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B1C1CC5-9A20-4668-8B96-89624C713769}" xr6:coauthVersionLast="47" xr6:coauthVersionMax="47" xr10:uidLastSave="{00000000-0000-0000-0000-000000000000}"/>
  <bookViews>
    <workbookView xWindow="-120" yWindow="-120" windowWidth="38640" windowHeight="21060" xr2:uid="{964FB9B6-5A0B-4BED-B971-24C834B20146}"/>
  </bookViews>
  <sheets>
    <sheet name="Main" sheetId="1" r:id="rId1"/>
    <sheet name="Model" sheetId="2" r:id="rId2"/>
    <sheet name="Ratio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2" l="1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Q28" i="2"/>
  <c r="P28" i="2"/>
  <c r="O28" i="2"/>
  <c r="N28" i="2"/>
  <c r="M31" i="2"/>
  <c r="M30" i="2"/>
  <c r="M29" i="2"/>
  <c r="M28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G31" i="2"/>
  <c r="G30" i="2"/>
  <c r="G29" i="2"/>
  <c r="G28" i="2"/>
  <c r="J35" i="2"/>
  <c r="J34" i="2"/>
  <c r="J33" i="2"/>
  <c r="H35" i="2"/>
  <c r="G35" i="2"/>
  <c r="H34" i="2"/>
  <c r="G34" i="2"/>
  <c r="H33" i="2"/>
  <c r="G33" i="2"/>
  <c r="G32" i="2"/>
  <c r="I35" i="2"/>
  <c r="I34" i="2"/>
  <c r="I33" i="2"/>
  <c r="P35" i="2"/>
  <c r="O35" i="2"/>
  <c r="N35" i="2"/>
  <c r="M35" i="2"/>
  <c r="P34" i="2"/>
  <c r="O34" i="2"/>
  <c r="N34" i="2"/>
  <c r="M34" i="2"/>
  <c r="P33" i="2"/>
  <c r="O33" i="2"/>
  <c r="N33" i="2"/>
  <c r="M33" i="2"/>
  <c r="M32" i="2"/>
  <c r="Q34" i="2"/>
  <c r="Q33" i="2"/>
  <c r="J16" i="2"/>
  <c r="I16" i="2"/>
  <c r="H16" i="2"/>
  <c r="G16" i="2"/>
  <c r="F16" i="2"/>
  <c r="E16" i="2"/>
  <c r="D16" i="2"/>
  <c r="C16" i="2"/>
  <c r="J12" i="2"/>
  <c r="I12" i="2"/>
  <c r="I36" i="2" s="1"/>
  <c r="H12" i="2"/>
  <c r="G12" i="2"/>
  <c r="F12" i="2"/>
  <c r="F36" i="2" s="1"/>
  <c r="D12" i="2"/>
  <c r="D36" i="2" s="1"/>
  <c r="C12" i="2"/>
  <c r="C36" i="2" s="1"/>
  <c r="E12" i="2"/>
  <c r="E36" i="2" s="1"/>
  <c r="H6" i="1"/>
  <c r="H5" i="1"/>
  <c r="H3" i="1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H37" i="4"/>
  <c r="G37" i="4"/>
  <c r="F37" i="4"/>
  <c r="E37" i="4"/>
  <c r="D37" i="4"/>
  <c r="I37" i="4"/>
  <c r="H36" i="4"/>
  <c r="G36" i="4"/>
  <c r="F36" i="4"/>
  <c r="E36" i="4"/>
  <c r="D36" i="4"/>
  <c r="I36" i="4"/>
  <c r="H27" i="4"/>
  <c r="G27" i="4"/>
  <c r="F27" i="4"/>
  <c r="E27" i="4"/>
  <c r="D27" i="4"/>
  <c r="I27" i="4"/>
  <c r="H14" i="4"/>
  <c r="G14" i="4"/>
  <c r="F14" i="4"/>
  <c r="E14" i="4"/>
  <c r="D14" i="4"/>
  <c r="I14" i="4"/>
  <c r="P26" i="2"/>
  <c r="H50" i="4" s="1"/>
  <c r="M26" i="2"/>
  <c r="E50" i="4" s="1"/>
  <c r="E51" i="4" s="1"/>
  <c r="L26" i="2"/>
  <c r="D50" i="4" s="1"/>
  <c r="D58" i="4" s="1"/>
  <c r="O26" i="2"/>
  <c r="G50" i="4" s="1"/>
  <c r="L120" i="2"/>
  <c r="L121" i="2" s="1"/>
  <c r="N121" i="2"/>
  <c r="M121" i="2"/>
  <c r="Q121" i="2"/>
  <c r="P121" i="2"/>
  <c r="O121" i="2"/>
  <c r="L111" i="2"/>
  <c r="L112" i="2" s="1"/>
  <c r="N26" i="2"/>
  <c r="F50" i="4" s="1"/>
  <c r="F51" i="4" s="1"/>
  <c r="N73" i="2"/>
  <c r="M66" i="2"/>
  <c r="E39" i="4" s="1"/>
  <c r="L66" i="2"/>
  <c r="D39" i="4" s="1"/>
  <c r="Q66" i="2"/>
  <c r="P66" i="2"/>
  <c r="O66" i="2"/>
  <c r="N66" i="2"/>
  <c r="F38" i="4" s="1"/>
  <c r="P125" i="2"/>
  <c r="P112" i="2"/>
  <c r="O112" i="2"/>
  <c r="N112" i="2"/>
  <c r="M112" i="2"/>
  <c r="Q112" i="2"/>
  <c r="P73" i="2"/>
  <c r="O73" i="2"/>
  <c r="M73" i="2"/>
  <c r="L73" i="2"/>
  <c r="Q73" i="2"/>
  <c r="P83" i="2"/>
  <c r="H22" i="4" s="1"/>
  <c r="O83" i="2"/>
  <c r="G22" i="4" s="1"/>
  <c r="N83" i="2"/>
  <c r="M83" i="2"/>
  <c r="L83" i="2"/>
  <c r="Q83" i="2"/>
  <c r="P57" i="2"/>
  <c r="O57" i="2"/>
  <c r="N57" i="2"/>
  <c r="M57" i="2"/>
  <c r="L57" i="2"/>
  <c r="Q57" i="2"/>
  <c r="P50" i="2"/>
  <c r="O50" i="2"/>
  <c r="N50" i="2"/>
  <c r="M50" i="2"/>
  <c r="L50" i="2"/>
  <c r="Q50" i="2"/>
  <c r="Q35" i="2"/>
  <c r="Q26" i="2"/>
  <c r="P16" i="2"/>
  <c r="O16" i="2"/>
  <c r="N16" i="2"/>
  <c r="M16" i="2"/>
  <c r="L16" i="2"/>
  <c r="Q16" i="2"/>
  <c r="P12" i="2"/>
  <c r="P36" i="2" s="1"/>
  <c r="O12" i="2"/>
  <c r="N12" i="2"/>
  <c r="M12" i="2"/>
  <c r="L12" i="2"/>
  <c r="Q12" i="2"/>
  <c r="Q36" i="2" s="1"/>
  <c r="H4" i="1"/>
  <c r="I50" i="4" s="1"/>
  <c r="H17" i="2" l="1"/>
  <c r="H36" i="2"/>
  <c r="G17" i="2"/>
  <c r="I17" i="2"/>
  <c r="J17" i="2"/>
  <c r="G36" i="2"/>
  <c r="J36" i="2"/>
  <c r="C17" i="2"/>
  <c r="D17" i="2"/>
  <c r="F17" i="2"/>
  <c r="E17" i="2"/>
  <c r="K36" i="4"/>
  <c r="L42" i="4"/>
  <c r="D44" i="4"/>
  <c r="E31" i="4"/>
  <c r="H44" i="4"/>
  <c r="F40" i="4"/>
  <c r="F44" i="4"/>
  <c r="I44" i="4"/>
  <c r="E44" i="4"/>
  <c r="F31" i="4"/>
  <c r="F39" i="4"/>
  <c r="G31" i="4"/>
  <c r="H31" i="4"/>
  <c r="L36" i="4"/>
  <c r="L37" i="4"/>
  <c r="G56" i="4"/>
  <c r="G51" i="4"/>
  <c r="G55" i="4"/>
  <c r="G58" i="4"/>
  <c r="E63" i="4"/>
  <c r="I31" i="4"/>
  <c r="I32" i="4"/>
  <c r="I22" i="4"/>
  <c r="G40" i="4"/>
  <c r="G39" i="4"/>
  <c r="G38" i="4"/>
  <c r="D32" i="4"/>
  <c r="D22" i="4"/>
  <c r="D31" i="4"/>
  <c r="H39" i="4"/>
  <c r="H38" i="4"/>
  <c r="H40" i="4"/>
  <c r="E22" i="4"/>
  <c r="E32" i="4"/>
  <c r="I40" i="4"/>
  <c r="I39" i="4"/>
  <c r="I38" i="4"/>
  <c r="K43" i="4"/>
  <c r="K37" i="4"/>
  <c r="F63" i="4"/>
  <c r="H56" i="4"/>
  <c r="H55" i="4"/>
  <c r="H51" i="4"/>
  <c r="H58" i="4"/>
  <c r="D40" i="4"/>
  <c r="E58" i="4"/>
  <c r="L27" i="4"/>
  <c r="E40" i="4"/>
  <c r="F32" i="4"/>
  <c r="H32" i="4"/>
  <c r="F55" i="4"/>
  <c r="D38" i="4"/>
  <c r="F58" i="4"/>
  <c r="G32" i="4"/>
  <c r="D55" i="4"/>
  <c r="E55" i="4"/>
  <c r="D51" i="4"/>
  <c r="E56" i="4"/>
  <c r="F56" i="4"/>
  <c r="F22" i="4"/>
  <c r="E38" i="4"/>
  <c r="G44" i="4"/>
  <c r="L43" i="4"/>
  <c r="D56" i="4"/>
  <c r="I55" i="4"/>
  <c r="I56" i="4"/>
  <c r="I58" i="4"/>
  <c r="K42" i="4"/>
  <c r="K27" i="4"/>
  <c r="L14" i="4"/>
  <c r="K14" i="4"/>
  <c r="N75" i="2"/>
  <c r="N85" i="2" s="1"/>
  <c r="F21" i="4" s="1"/>
  <c r="O59" i="2"/>
  <c r="P59" i="2"/>
  <c r="Q59" i="2"/>
  <c r="L59" i="2"/>
  <c r="O75" i="2"/>
  <c r="O85" i="2" s="1"/>
  <c r="G21" i="4" s="1"/>
  <c r="L75" i="2"/>
  <c r="L85" i="2" s="1"/>
  <c r="D21" i="4" s="1"/>
  <c r="M75" i="2"/>
  <c r="M85" i="2" s="1"/>
  <c r="E21" i="4" s="1"/>
  <c r="M59" i="2"/>
  <c r="N59" i="2"/>
  <c r="P75" i="2"/>
  <c r="P85" i="2" s="1"/>
  <c r="H21" i="4" s="1"/>
  <c r="Q75" i="2"/>
  <c r="Q85" i="2" s="1"/>
  <c r="I21" i="4" s="1"/>
  <c r="N17" i="2"/>
  <c r="F60" i="4" s="1"/>
  <c r="O17" i="2"/>
  <c r="L17" i="2"/>
  <c r="L36" i="2"/>
  <c r="M17" i="2"/>
  <c r="E60" i="4" s="1"/>
  <c r="M36" i="2"/>
  <c r="N36" i="2"/>
  <c r="O36" i="2"/>
  <c r="P17" i="2"/>
  <c r="Q17" i="2"/>
  <c r="H7" i="1"/>
  <c r="I51" i="4" s="1"/>
  <c r="F21" i="2" l="1"/>
  <c r="F23" i="2" s="1"/>
  <c r="F37" i="2"/>
  <c r="C21" i="2"/>
  <c r="C23" i="2" s="1"/>
  <c r="C37" i="2"/>
  <c r="E21" i="2"/>
  <c r="E23" i="2" s="1"/>
  <c r="E37" i="2"/>
  <c r="D21" i="2"/>
  <c r="D23" i="2" s="1"/>
  <c r="D37" i="2"/>
  <c r="J21" i="2"/>
  <c r="J23" i="2" s="1"/>
  <c r="J37" i="2"/>
  <c r="I21" i="2"/>
  <c r="I23" i="2" s="1"/>
  <c r="I37" i="2"/>
  <c r="G21" i="2"/>
  <c r="G23" i="2" s="1"/>
  <c r="G37" i="2"/>
  <c r="H21" i="2"/>
  <c r="H23" i="2" s="1"/>
  <c r="H37" i="2"/>
  <c r="L22" i="4"/>
  <c r="L31" i="4"/>
  <c r="L21" i="4"/>
  <c r="L32" i="4"/>
  <c r="K22" i="4"/>
  <c r="F61" i="4"/>
  <c r="I29" i="4"/>
  <c r="I30" i="4" s="1"/>
  <c r="I33" i="4"/>
  <c r="I41" i="4"/>
  <c r="I8" i="4"/>
  <c r="H33" i="4"/>
  <c r="H29" i="4"/>
  <c r="H30" i="4" s="1"/>
  <c r="H41" i="4"/>
  <c r="H8" i="4"/>
  <c r="K31" i="4"/>
  <c r="K38" i="4"/>
  <c r="L38" i="4"/>
  <c r="D63" i="4"/>
  <c r="D60" i="4"/>
  <c r="D61" i="4"/>
  <c r="K21" i="4"/>
  <c r="E61" i="4"/>
  <c r="H63" i="4"/>
  <c r="H61" i="4"/>
  <c r="H60" i="4"/>
  <c r="G41" i="4"/>
  <c r="G8" i="4"/>
  <c r="G33" i="4"/>
  <c r="N37" i="2"/>
  <c r="F11" i="4"/>
  <c r="F7" i="4"/>
  <c r="F10" i="4"/>
  <c r="F6" i="4"/>
  <c r="F24" i="4"/>
  <c r="F28" i="4"/>
  <c r="L55" i="4"/>
  <c r="I10" i="4"/>
  <c r="I7" i="4"/>
  <c r="I24" i="4"/>
  <c r="I11" i="4"/>
  <c r="I6" i="4"/>
  <c r="H10" i="4"/>
  <c r="H24" i="4"/>
  <c r="H6" i="4"/>
  <c r="H7" i="4"/>
  <c r="H11" i="4"/>
  <c r="K39" i="4"/>
  <c r="L39" i="4"/>
  <c r="K40" i="4"/>
  <c r="L40" i="4"/>
  <c r="E10" i="4"/>
  <c r="E24" i="4"/>
  <c r="E11" i="4"/>
  <c r="E7" i="4"/>
  <c r="E6" i="4"/>
  <c r="L37" i="2"/>
  <c r="D11" i="4"/>
  <c r="D7" i="4"/>
  <c r="D6" i="4"/>
  <c r="D10" i="4"/>
  <c r="D24" i="4"/>
  <c r="O37" i="2"/>
  <c r="G6" i="4"/>
  <c r="G10" i="4"/>
  <c r="G24" i="4"/>
  <c r="G11" i="4"/>
  <c r="G7" i="4"/>
  <c r="G29" i="4"/>
  <c r="K32" i="4"/>
  <c r="F29" i="4"/>
  <c r="F30" i="4" s="1"/>
  <c r="F33" i="4"/>
  <c r="F41" i="4"/>
  <c r="F8" i="4"/>
  <c r="E33" i="4"/>
  <c r="E29" i="4"/>
  <c r="E30" i="4" s="1"/>
  <c r="E41" i="4"/>
  <c r="E8" i="4"/>
  <c r="G61" i="4"/>
  <c r="G60" i="4"/>
  <c r="G63" i="4"/>
  <c r="K44" i="4"/>
  <c r="L44" i="4"/>
  <c r="D33" i="4"/>
  <c r="D8" i="4"/>
  <c r="D29" i="4"/>
  <c r="D30" i="4" s="1"/>
  <c r="D41" i="4"/>
  <c r="K55" i="4"/>
  <c r="I63" i="4"/>
  <c r="I61" i="4"/>
  <c r="I60" i="4"/>
  <c r="L58" i="4"/>
  <c r="K58" i="4"/>
  <c r="L56" i="4"/>
  <c r="K56" i="4"/>
  <c r="L21" i="2"/>
  <c r="L23" i="2" s="1"/>
  <c r="O21" i="2"/>
  <c r="O23" i="2" s="1"/>
  <c r="O25" i="2" s="1"/>
  <c r="N21" i="2"/>
  <c r="N23" i="2" s="1"/>
  <c r="Q37" i="2"/>
  <c r="Q21" i="2"/>
  <c r="Q23" i="2" s="1"/>
  <c r="P37" i="2"/>
  <c r="P21" i="2"/>
  <c r="P23" i="2" s="1"/>
  <c r="M37" i="2"/>
  <c r="M21" i="2"/>
  <c r="M23" i="2" s="1"/>
  <c r="H25" i="2" l="1"/>
  <c r="H38" i="2"/>
  <c r="H39" i="2"/>
  <c r="J25" i="2"/>
  <c r="J39" i="2"/>
  <c r="J38" i="2"/>
  <c r="D25" i="2"/>
  <c r="D39" i="2"/>
  <c r="D38" i="2"/>
  <c r="E25" i="2"/>
  <c r="E39" i="2"/>
  <c r="E38" i="2"/>
  <c r="G25" i="2"/>
  <c r="G39" i="2"/>
  <c r="G38" i="2"/>
  <c r="I25" i="2"/>
  <c r="I38" i="2"/>
  <c r="I39" i="2"/>
  <c r="C25" i="2"/>
  <c r="C38" i="2"/>
  <c r="C39" i="2"/>
  <c r="F25" i="2"/>
  <c r="F39" i="2"/>
  <c r="F38" i="2"/>
  <c r="K41" i="4"/>
  <c r="O39" i="2"/>
  <c r="G12" i="4" s="1"/>
  <c r="K33" i="4"/>
  <c r="O90" i="2"/>
  <c r="O106" i="2" s="1"/>
  <c r="G5" i="4"/>
  <c r="G9" i="4"/>
  <c r="G4" i="4"/>
  <c r="G52" i="4"/>
  <c r="D9" i="4"/>
  <c r="D5" i="4"/>
  <c r="D4" i="4"/>
  <c r="D15" i="4" s="1"/>
  <c r="D52" i="4"/>
  <c r="D53" i="4" s="1"/>
  <c r="L8" i="4"/>
  <c r="L24" i="4"/>
  <c r="K24" i="4"/>
  <c r="F9" i="4"/>
  <c r="F4" i="4"/>
  <c r="F15" i="4" s="1"/>
  <c r="F5" i="4"/>
  <c r="F52" i="4"/>
  <c r="K29" i="4"/>
  <c r="G30" i="4"/>
  <c r="L30" i="4" s="1"/>
  <c r="L29" i="4"/>
  <c r="K7" i="4"/>
  <c r="L7" i="4"/>
  <c r="L11" i="4"/>
  <c r="K11" i="4"/>
  <c r="E5" i="4"/>
  <c r="E9" i="4"/>
  <c r="E4" i="4"/>
  <c r="E15" i="4" s="1"/>
  <c r="E52" i="4"/>
  <c r="L41" i="4"/>
  <c r="P90" i="2"/>
  <c r="P106" i="2" s="1"/>
  <c r="H9" i="4"/>
  <c r="H4" i="4"/>
  <c r="H15" i="4" s="1"/>
  <c r="H5" i="4"/>
  <c r="H52" i="4"/>
  <c r="K8" i="4"/>
  <c r="K10" i="4"/>
  <c r="L10" i="4"/>
  <c r="Q90" i="2"/>
  <c r="Q106" i="2" s="1"/>
  <c r="I5" i="4"/>
  <c r="I9" i="4"/>
  <c r="I4" i="4"/>
  <c r="I15" i="4" s="1"/>
  <c r="I52" i="4"/>
  <c r="L33" i="4"/>
  <c r="K6" i="4"/>
  <c r="L6" i="4"/>
  <c r="O38" i="2"/>
  <c r="L60" i="4"/>
  <c r="K60" i="4"/>
  <c r="K61" i="4"/>
  <c r="L61" i="4"/>
  <c r="L63" i="4"/>
  <c r="K63" i="4"/>
  <c r="M90" i="2"/>
  <c r="M25" i="2"/>
  <c r="N25" i="2"/>
  <c r="N90" i="2"/>
  <c r="L39" i="2"/>
  <c r="L90" i="2"/>
  <c r="L25" i="2"/>
  <c r="N39" i="2"/>
  <c r="L38" i="2"/>
  <c r="N38" i="2"/>
  <c r="Q25" i="2"/>
  <c r="Q38" i="2"/>
  <c r="Q39" i="2"/>
  <c r="P39" i="2"/>
  <c r="P25" i="2"/>
  <c r="P38" i="2"/>
  <c r="M38" i="2"/>
  <c r="M39" i="2"/>
  <c r="G16" i="4" l="1"/>
  <c r="G17" i="4" s="1"/>
  <c r="G23" i="4"/>
  <c r="G62" i="4"/>
  <c r="Q123" i="2"/>
  <c r="Q125" i="2" s="1"/>
  <c r="I13" i="4"/>
  <c r="I25" i="4"/>
  <c r="I57" i="4"/>
  <c r="D62" i="4"/>
  <c r="D16" i="4"/>
  <c r="D12" i="4"/>
  <c r="D23" i="4"/>
  <c r="I53" i="4"/>
  <c r="I54" i="4"/>
  <c r="F53" i="4"/>
  <c r="F54" i="4"/>
  <c r="O123" i="2"/>
  <c r="G13" i="4"/>
  <c r="G25" i="4"/>
  <c r="G57" i="4"/>
  <c r="H54" i="4"/>
  <c r="H53" i="4"/>
  <c r="E62" i="4"/>
  <c r="E12" i="4"/>
  <c r="E23" i="4"/>
  <c r="E16" i="4"/>
  <c r="K9" i="4"/>
  <c r="H12" i="4"/>
  <c r="H23" i="4"/>
  <c r="H16" i="4"/>
  <c r="H62" i="4"/>
  <c r="G54" i="4"/>
  <c r="G53" i="4"/>
  <c r="L52" i="4"/>
  <c r="K52" i="4"/>
  <c r="L9" i="4"/>
  <c r="P123" i="2"/>
  <c r="P124" i="2" s="1"/>
  <c r="O125" i="2" s="1"/>
  <c r="H13" i="4"/>
  <c r="H25" i="4"/>
  <c r="H57" i="4"/>
  <c r="K30" i="4"/>
  <c r="L5" i="4"/>
  <c r="I12" i="4"/>
  <c r="I23" i="4"/>
  <c r="I62" i="4"/>
  <c r="I16" i="4"/>
  <c r="E54" i="4"/>
  <c r="E53" i="4"/>
  <c r="K4" i="4"/>
  <c r="G15" i="4"/>
  <c r="L4" i="4"/>
  <c r="K5" i="4"/>
  <c r="F23" i="4"/>
  <c r="F16" i="4"/>
  <c r="F12" i="4"/>
  <c r="F62" i="4"/>
  <c r="L106" i="2"/>
  <c r="N106" i="2"/>
  <c r="M106" i="2"/>
  <c r="E17" i="4" l="1"/>
  <c r="L23" i="4"/>
  <c r="O124" i="2"/>
  <c r="N125" i="2" s="1"/>
  <c r="H17" i="4"/>
  <c r="L16" i="4"/>
  <c r="I17" i="4"/>
  <c r="L12" i="4"/>
  <c r="K23" i="4"/>
  <c r="K16" i="4"/>
  <c r="M123" i="2"/>
  <c r="E13" i="4"/>
  <c r="E57" i="4"/>
  <c r="E25" i="4"/>
  <c r="N123" i="2"/>
  <c r="N124" i="2" s="1"/>
  <c r="M125" i="2" s="1"/>
  <c r="F13" i="4"/>
  <c r="F25" i="4"/>
  <c r="F57" i="4"/>
  <c r="L123" i="2"/>
  <c r="D25" i="4"/>
  <c r="K25" i="4" s="1"/>
  <c r="D13" i="4"/>
  <c r="K13" i="4" s="1"/>
  <c r="D57" i="4"/>
  <c r="L57" i="4" s="1"/>
  <c r="K53" i="4"/>
  <c r="L53" i="4"/>
  <c r="F17" i="4"/>
  <c r="L54" i="4"/>
  <c r="K54" i="4"/>
  <c r="D17" i="4"/>
  <c r="L62" i="4"/>
  <c r="K62" i="4"/>
  <c r="K15" i="4"/>
  <c r="L15" i="4"/>
  <c r="K12" i="4"/>
  <c r="K17" i="4" l="1"/>
  <c r="M124" i="2"/>
  <c r="L125" i="2" s="1"/>
  <c r="L17" i="4"/>
  <c r="L124" i="2"/>
  <c r="L25" i="4"/>
  <c r="K57" i="4"/>
  <c r="L13" i="4"/>
</calcChain>
</file>

<file path=xl/sharedStrings.xml><?xml version="1.0" encoding="utf-8"?>
<sst xmlns="http://schemas.openxmlformats.org/spreadsheetml/2006/main" count="390" uniqueCount="294">
  <si>
    <t>Ralph Lauren</t>
  </si>
  <si>
    <t>IR</t>
  </si>
  <si>
    <t>SEC</t>
  </si>
  <si>
    <t>Credit Score</t>
  </si>
  <si>
    <t>A3</t>
  </si>
  <si>
    <t>FY</t>
  </si>
  <si>
    <t>April 1 to March 30</t>
  </si>
  <si>
    <t>Price</t>
  </si>
  <si>
    <t>Shares out.</t>
  </si>
  <si>
    <t>MC</t>
  </si>
  <si>
    <t>Ratios</t>
  </si>
  <si>
    <t>Debt</t>
  </si>
  <si>
    <t xml:space="preserve">Cash </t>
  </si>
  <si>
    <t>EV</t>
  </si>
  <si>
    <t>x</t>
  </si>
  <si>
    <t>Businessmodel</t>
  </si>
  <si>
    <t>Founded 1967 by Ralph Lauren RL Corp is a global leader in marketing, desing and distribution of luxury lifestyle products like appereal, footwear &amp; accessoires, home, hospitalitiy and fragrances</t>
  </si>
  <si>
    <t xml:space="preserve">Brands and Products </t>
  </si>
  <si>
    <t>Appereal:</t>
  </si>
  <si>
    <t>collection of men, women and children clothing which are sold under brand names like Ralph Lauren Collection, Ralph Lauren Purple Labe (luxury line), Double Rl,</t>
  </si>
  <si>
    <t>Polo Ralph Lauren, Lauren Ralph Lauren, Polo Golf Ralph Lauren, Ralph Lauren Golf, RLX Ralph Lauren, Ralph Lauren Children, Chaps and other</t>
  </si>
  <si>
    <t>Footwear &amp; Accessoires:</t>
  </si>
  <si>
    <t xml:space="preserve">include products for men, women, children: casual shoes, boat shoes, dress shoes, sneakers, sandals, eyewaer, watches, fashion jewelry, scarves, hats, gloves umbrellas and leather goods </t>
  </si>
  <si>
    <t xml:space="preserve">Sold under: Ralph Lauren Collection, RL Purple Label, Double RL, Polo RL, Lauren RL, Polo RL Children, Chaps </t>
  </si>
  <si>
    <t>Fragrances:</t>
  </si>
  <si>
    <t>Fragrances for men, women: women fragrances -&gt; RL Collection, Woman by RL, Romance Collection, Ralph Collection, Polo  Eath for man and woman (sustainable)</t>
  </si>
  <si>
    <t>Man fragrances: Ralphs Club, Purple Label, Polo Blue, Polo Red, Polo Green, Polo Black, Polo 67, Polo Safari, Polo Sport, Big Pony Men</t>
  </si>
  <si>
    <t>Home:</t>
  </si>
  <si>
    <t>Sold under Ralph Lauren, Polo, Lauren by RL and Chaps -&gt; include furniture, bed and bath, lighting, floor decoration etc</t>
  </si>
  <si>
    <t xml:space="preserve">Hospitality </t>
  </si>
  <si>
    <t>"Culinar Art": Several Bars and Resuranst across the globe like The Polo Bar in NY, RL Resturant in Chicago, The Bar at Ralph Lauren Milan, Ralphs Bar in Chengdu China etc.</t>
  </si>
  <si>
    <t>Distribution</t>
  </si>
  <si>
    <t xml:space="preserve">Noth America </t>
  </si>
  <si>
    <t>44% of sales, retail and wholesale business in the US and Canada, Retail: RL Stores, Outlet Stores, Concession based stores in store, ecommerce sites</t>
  </si>
  <si>
    <t>Wholesale is focused on sales on department stores, third party digital and licensee partners</t>
  </si>
  <si>
    <t>Europe</t>
  </si>
  <si>
    <t>30% of sales, Retail in Europe: RL Stores, Outlet Stores, Concession based stores in store, ecommerce sites</t>
  </si>
  <si>
    <t>Wholesale is focused on sales on department stores, third party digital and licensee partners vaires from country to country</t>
  </si>
  <si>
    <t>Asia</t>
  </si>
  <si>
    <t>24% of sales, retail and wholesale in Asia, Australia, New Zeeland, Retail; RL Stores, Outlet Stores, Concession based stores in store, ecommerce sites and third party ecommerce sites</t>
  </si>
  <si>
    <t>Non operating segments</t>
  </si>
  <si>
    <t xml:space="preserve">2% of sales -&gt; lincenses </t>
  </si>
  <si>
    <t>Retail</t>
  </si>
  <si>
    <t>D2C through 564 retail stores and 699 stores in store (total of 4,2 million and 0,7 million square feet), e commerce sites and thrid party digital partners</t>
  </si>
  <si>
    <t xml:space="preserve">RL Stores </t>
  </si>
  <si>
    <t>50 in America, 44 in Europe, 138 in Asia -&gt; Total 232 , opened 34 in FY24, closed 11 in FY24</t>
  </si>
  <si>
    <t xml:space="preserve">Outlet Stores </t>
  </si>
  <si>
    <t>180 in America, 59 in Europe, 93 in Asia, Total 332, opened 5 in FY24 and losed 17 in FY24</t>
  </si>
  <si>
    <t>Shop within Shop</t>
  </si>
  <si>
    <t xml:space="preserve">1 in America, 27 in Europe, 671 in Asia, Total 699,  </t>
  </si>
  <si>
    <t xml:space="preserve">Ecommerce </t>
  </si>
  <si>
    <t>https://www.ralphlauren.de</t>
  </si>
  <si>
    <t>Whole Sale</t>
  </si>
  <si>
    <t>Executive Mangers</t>
  </si>
  <si>
    <t>84, Founder, Executive Chairman and Chief Creative Officer</t>
  </si>
  <si>
    <t>Patrice Louvet</t>
  </si>
  <si>
    <t>59, CEO and President since 2017, before he was at Procter&amp;Gamble</t>
  </si>
  <si>
    <t>Jane Hamilton Nielsen</t>
  </si>
  <si>
    <t>60, Chief Financial Officer since 2016 and Chief Operating Officer sine 2019, before she was at Coach Inc, and Pepsi</t>
  </si>
  <si>
    <t>David Lauren</t>
  </si>
  <si>
    <t>52, Chief Branding and Innovation Officer since 2022, was  a strategic advisor and vice chairman before</t>
  </si>
  <si>
    <t>Halide Alagöz</t>
  </si>
  <si>
    <t>52, Chief Product Officer since 2021, she was at H&amp;M corp before</t>
  </si>
  <si>
    <t>Main</t>
  </si>
  <si>
    <t>FY19</t>
  </si>
  <si>
    <t>FY20</t>
  </si>
  <si>
    <t>FY21</t>
  </si>
  <si>
    <t>FY22</t>
  </si>
  <si>
    <t>FY23</t>
  </si>
  <si>
    <t>FY24</t>
  </si>
  <si>
    <t>Wholesale</t>
  </si>
  <si>
    <t>Licensing</t>
  </si>
  <si>
    <t>n.a.</t>
  </si>
  <si>
    <t>FY25</t>
  </si>
  <si>
    <t>Revenue</t>
  </si>
  <si>
    <t>COGS</t>
  </si>
  <si>
    <t>Gross Profit</t>
  </si>
  <si>
    <t>SGA</t>
  </si>
  <si>
    <t>Impairment of Assets</t>
  </si>
  <si>
    <t>Restructruing and other</t>
  </si>
  <si>
    <t>Total OpEx</t>
  </si>
  <si>
    <t>Operating Profit</t>
  </si>
  <si>
    <t xml:space="preserve">Interest Expense </t>
  </si>
  <si>
    <t>Interest Income</t>
  </si>
  <si>
    <t>Other Income</t>
  </si>
  <si>
    <t>Pre Tax Income</t>
  </si>
  <si>
    <t>Tax Expenses</t>
  </si>
  <si>
    <t>Net Income</t>
  </si>
  <si>
    <t xml:space="preserve">Number of Shares </t>
  </si>
  <si>
    <t>EPS</t>
  </si>
  <si>
    <t>Revenue Growth</t>
  </si>
  <si>
    <t>Gross Margin</t>
  </si>
  <si>
    <t>Operarating Margin</t>
  </si>
  <si>
    <t>Profit Margin</t>
  </si>
  <si>
    <t>Tax Rate</t>
  </si>
  <si>
    <t>Balance Sheet</t>
  </si>
  <si>
    <t>Cash &amp; Cash Equivalents</t>
  </si>
  <si>
    <t>Short -Term Investments</t>
  </si>
  <si>
    <t>Accounts Receivables</t>
  </si>
  <si>
    <t xml:space="preserve">Inventories </t>
  </si>
  <si>
    <t>Income Tax Receivable</t>
  </si>
  <si>
    <t>Prepaid Expenses and other Assets</t>
  </si>
  <si>
    <t>Total Current Assets</t>
  </si>
  <si>
    <t>PP&amp;E</t>
  </si>
  <si>
    <t>Operating Lease right of use Assets</t>
  </si>
  <si>
    <t>Deffered Taxes Assets</t>
  </si>
  <si>
    <t>Goodwill</t>
  </si>
  <si>
    <t>Intangibles net</t>
  </si>
  <si>
    <t>Other non-current Assets</t>
  </si>
  <si>
    <t>Total Non Current Assets</t>
  </si>
  <si>
    <t>Total Assets</t>
  </si>
  <si>
    <t>Short Term Debt</t>
  </si>
  <si>
    <t>Accounts Payables</t>
  </si>
  <si>
    <t>Current Income Tax Payables</t>
  </si>
  <si>
    <t>Current Operating Lease Liabilities</t>
  </si>
  <si>
    <t xml:space="preserve">Accrued Expenses and other </t>
  </si>
  <si>
    <t>Total Current Liabilities</t>
  </si>
  <si>
    <t>Total Long Term Debt</t>
  </si>
  <si>
    <t>Long Term Finace Lease Liabilities</t>
  </si>
  <si>
    <t>Long Term Operating Lease Liabilities</t>
  </si>
  <si>
    <t>Non Current Income Tax Payables</t>
  </si>
  <si>
    <t>Non Current Liabiltiy for unrecognized tax benefits</t>
  </si>
  <si>
    <t>Other Non-Current Laibilties</t>
  </si>
  <si>
    <t>Total Non Current Liabilites</t>
  </si>
  <si>
    <t>Total Liabilties</t>
  </si>
  <si>
    <t>Class A Commom Stock</t>
  </si>
  <si>
    <t>Class B Commom Stock</t>
  </si>
  <si>
    <t>Additional Paid in Capital</t>
  </si>
  <si>
    <t>Retained Earnings</t>
  </si>
  <si>
    <t>Treassury Stock</t>
  </si>
  <si>
    <t>Accumalted comprehensive loss</t>
  </si>
  <si>
    <t xml:space="preserve">Total Equity </t>
  </si>
  <si>
    <t xml:space="preserve">Total Liabilites &amp; Equity </t>
  </si>
  <si>
    <t>Cash Flow Statement</t>
  </si>
  <si>
    <t>D&amp;A</t>
  </si>
  <si>
    <t>Deffered Income Tax expense/benefit</t>
  </si>
  <si>
    <t>Loss on Sale of Property</t>
  </si>
  <si>
    <t>Stock based compensation</t>
  </si>
  <si>
    <t>Bad Debt expense</t>
  </si>
  <si>
    <t>Other non-cash changes</t>
  </si>
  <si>
    <t>Change in WC:</t>
  </si>
  <si>
    <t>Accounts receivables</t>
  </si>
  <si>
    <t>Inventories</t>
  </si>
  <si>
    <t>Prepaid expenses and other current assets</t>
  </si>
  <si>
    <t>Accounts payable and accrued liabilities</t>
  </si>
  <si>
    <t xml:space="preserve">Income tax receivables and paybles </t>
  </si>
  <si>
    <t>Operating lease right of use assets and liabilities</t>
  </si>
  <si>
    <t>Other balance sheet changes</t>
  </si>
  <si>
    <t>CFFO</t>
  </si>
  <si>
    <t>CapEx</t>
  </si>
  <si>
    <t>Purchase of Investments</t>
  </si>
  <si>
    <t xml:space="preserve">Sales of Investments </t>
  </si>
  <si>
    <t>Sale of Property</t>
  </si>
  <si>
    <t>Other Investing Activities</t>
  </si>
  <si>
    <t>CFFI</t>
  </si>
  <si>
    <t>Issuance of Borrwings</t>
  </si>
  <si>
    <t>Repayment of Borrwings</t>
  </si>
  <si>
    <t>Issuance of long-term Debt</t>
  </si>
  <si>
    <t>Repayment of long-term Debt</t>
  </si>
  <si>
    <t>Payment of Lease Liabilites</t>
  </si>
  <si>
    <t>Payment of Dividends</t>
  </si>
  <si>
    <t>Repurchase of common stock</t>
  </si>
  <si>
    <t>Other</t>
  </si>
  <si>
    <t>CFFF</t>
  </si>
  <si>
    <t xml:space="preserve">Effect of exhange rates </t>
  </si>
  <si>
    <t>Net Change in Cash</t>
  </si>
  <si>
    <t>Cash and Cash equivalents BOP</t>
  </si>
  <si>
    <t>Cash and Cash equivalents EOP</t>
  </si>
  <si>
    <t>Average</t>
  </si>
  <si>
    <t>Median</t>
  </si>
  <si>
    <t>Beschreibung</t>
  </si>
  <si>
    <t>Etragskennzahlen</t>
  </si>
  <si>
    <t>Eigenkapitalrendite (ROE)</t>
  </si>
  <si>
    <t>Net Income/Book Value of Equity</t>
  </si>
  <si>
    <t>Umsatzrendite</t>
  </si>
  <si>
    <t>Net Income/Revenue</t>
  </si>
  <si>
    <t>EBIT-Marge</t>
  </si>
  <si>
    <t>EBIT/Revenue</t>
  </si>
  <si>
    <t>EBITDA-Marge</t>
  </si>
  <si>
    <t>EBITDA/Revenue</t>
  </si>
  <si>
    <t>Kapitalumschlag</t>
  </si>
  <si>
    <t>Revenue/Total Liabilties and Equity</t>
  </si>
  <si>
    <t>Return on Capital</t>
  </si>
  <si>
    <t>(Net Income+Interest paid on debt)/Total Liabilies and Equity</t>
  </si>
  <si>
    <t>Return on Assets</t>
  </si>
  <si>
    <t>EBIT/Total Assets</t>
  </si>
  <si>
    <t>Return on Capital Employed (ROCE)</t>
  </si>
  <si>
    <t>EBIT/(Long Term Assets + Working Capital (Exclusive of cash)-Accounts Payables)</t>
  </si>
  <si>
    <t>Return on Capital Invested (ROIC)</t>
  </si>
  <si>
    <t>(EBIT-Tax Expenses)/(Book Value of Equity + Book Value of Debt - Book Value of Cash)</t>
  </si>
  <si>
    <t>Umsatzverdienstrate</t>
  </si>
  <si>
    <t>Operativer Cahsflow/Revenue</t>
  </si>
  <si>
    <t>Retention Rate</t>
  </si>
  <si>
    <t>1 - Dividends/Net Income</t>
  </si>
  <si>
    <t>Expected Growth</t>
  </si>
  <si>
    <t>Retention rate * ROE</t>
  </si>
  <si>
    <t>Reinvestment Rate</t>
  </si>
  <si>
    <t>Net CapEx + Change in WC / EBIT * (1-t)</t>
  </si>
  <si>
    <t>Reinvestment rate * ROIC</t>
  </si>
  <si>
    <t>Kennzahlen zur finanziellen Stabilität</t>
  </si>
  <si>
    <t>EK-Quote</t>
  </si>
  <si>
    <t>Book Value of Equity/Total of Balance Sheet</t>
  </si>
  <si>
    <t>Gearing</t>
  </si>
  <si>
    <t>(Debt - Cash (Net Debt))/Book Value of Equity</t>
  </si>
  <si>
    <t>Dynamischer Verschuldungsgrad</t>
  </si>
  <si>
    <t>Net Debt/Free Cashflow</t>
  </si>
  <si>
    <t>Net Debt / EBITDA</t>
  </si>
  <si>
    <t>Net Debt/EBITDA</t>
  </si>
  <si>
    <t>Sachinvestitionsquote</t>
  </si>
  <si>
    <t>CapEx/CFFO</t>
  </si>
  <si>
    <t>Anlageabnutzungsgrad</t>
  </si>
  <si>
    <t>Accumlated Depreciation/Cost of fixed Assets</t>
  </si>
  <si>
    <t>Wachstumsquote</t>
  </si>
  <si>
    <t>CapeX/Depreciation</t>
  </si>
  <si>
    <t>Cash Burn Rate</t>
  </si>
  <si>
    <t>positiv</t>
  </si>
  <si>
    <t>Book Value of Equity/Absolute value of Loss</t>
  </si>
  <si>
    <t>Umlaufintensität</t>
  </si>
  <si>
    <t>Short term Assets/Total Assets</t>
  </si>
  <si>
    <t>Anlageintensität</t>
  </si>
  <si>
    <t>Long term Assets/Total Assets</t>
  </si>
  <si>
    <t>Anlagedeckungsgrad I</t>
  </si>
  <si>
    <t>Book Value of Equity/Long term Assets</t>
  </si>
  <si>
    <t>Anlagedeckungsgrad II</t>
  </si>
  <si>
    <t>Book Value of Equity + Long Term Borrowings/Long Term Assets</t>
  </si>
  <si>
    <t>Goodwill-Anteil</t>
  </si>
  <si>
    <t>Goodwill/Balance Sheet Total</t>
  </si>
  <si>
    <t>Kennzahlen WC Management</t>
  </si>
  <si>
    <t>Debitorenlaufzeit</t>
  </si>
  <si>
    <t>Accounts Receivables/Revenue*360</t>
  </si>
  <si>
    <t>Kreditorenlaufzeit</t>
  </si>
  <si>
    <t>Accounts Payable/Revenue*360</t>
  </si>
  <si>
    <t>Liquidität 1.Grades</t>
  </si>
  <si>
    <t>Cash and Cash Equivalents/Short term liabilites</t>
  </si>
  <si>
    <t>Liquidität 2.Grades</t>
  </si>
  <si>
    <t>(Cash and Cash Equivalents + Accounts Receivables) /Short term liabilities</t>
  </si>
  <si>
    <t>Liquidität 3.Grades</t>
  </si>
  <si>
    <t>Short term assets/short term liabilites</t>
  </si>
  <si>
    <t>Vorratsintensität</t>
  </si>
  <si>
    <t>Inventory/Balance Sheet Total</t>
  </si>
  <si>
    <t>Umschlaghäufigkeit der Vorräte</t>
  </si>
  <si>
    <t>Cogs/Inventory</t>
  </si>
  <si>
    <t>Lagedauer</t>
  </si>
  <si>
    <t>360/Umschlaghäufigkeit der Vorräte</t>
  </si>
  <si>
    <t>Geldumschlag</t>
  </si>
  <si>
    <t>Cash Conversion Cycle = Debitorenlaufzeit + Lagedauer - Kreditorenlaufzeit</t>
  </si>
  <si>
    <t>Auftragsrate</t>
  </si>
  <si>
    <t>Auftragsbestand/Revenue LTM</t>
  </si>
  <si>
    <t>Book to Bill Ratio</t>
  </si>
  <si>
    <t>Auftragseingang/Revenue</t>
  </si>
  <si>
    <t>Bewertungskennzahlen</t>
  </si>
  <si>
    <t>Equitymultiplikatoren:</t>
  </si>
  <si>
    <t>Market Cap</t>
  </si>
  <si>
    <t>KGV</t>
  </si>
  <si>
    <t>Share Price/EPS</t>
  </si>
  <si>
    <t>Einstandsrendite</t>
  </si>
  <si>
    <t>EPS/Share Price</t>
  </si>
  <si>
    <t>PEG Ratio</t>
  </si>
  <si>
    <t>P/E Ratio / Growth</t>
  </si>
  <si>
    <t>KBV</t>
  </si>
  <si>
    <t>Market Cap/Book Vakue of Equity</t>
  </si>
  <si>
    <t>KTBV</t>
  </si>
  <si>
    <t>Market Cap / Tangible Book Value</t>
  </si>
  <si>
    <t>KCV</t>
  </si>
  <si>
    <t>Share Price/Cashflow per share</t>
  </si>
  <si>
    <t>KUV</t>
  </si>
  <si>
    <t>Share Price/Revenue per Share</t>
  </si>
  <si>
    <t>Entitymultipliaktoren</t>
  </si>
  <si>
    <t>EV/EBITDA</t>
  </si>
  <si>
    <t>EV/EBIT</t>
  </si>
  <si>
    <t>EV/FCF</t>
  </si>
  <si>
    <t>EV/Sales</t>
  </si>
  <si>
    <t>EV/Revenue</t>
  </si>
  <si>
    <t>numbers in mio USD</t>
  </si>
  <si>
    <t>Notes</t>
  </si>
  <si>
    <t>Q224</t>
  </si>
  <si>
    <t>Q324</t>
  </si>
  <si>
    <t>Q124</t>
  </si>
  <si>
    <t>Q424</t>
  </si>
  <si>
    <t>Q125</t>
  </si>
  <si>
    <t>Q225</t>
  </si>
  <si>
    <t>Q325</t>
  </si>
  <si>
    <t>Q425</t>
  </si>
  <si>
    <t>Retail Growth</t>
  </si>
  <si>
    <t>Wholesale Growth</t>
  </si>
  <si>
    <t>Liecnesing Growth</t>
  </si>
  <si>
    <t>North America Revenue</t>
  </si>
  <si>
    <t>Europe Revenue</t>
  </si>
  <si>
    <t>Asia Revenue</t>
  </si>
  <si>
    <t>Other Revenue</t>
  </si>
  <si>
    <t>North America Growth</t>
  </si>
  <si>
    <t>Europe Growth</t>
  </si>
  <si>
    <t>Asia Growth</t>
  </si>
  <si>
    <t>Other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</si>
</sst>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0.0%"/>
    <numFmt numFmtId="166" formatCode="#,##0.0;\(#,##0.0\)"/>
    <numFmt numFmtId="167" formatCode="#,##0.00;\(#,##0.00\)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165" fontId="0" fillId="0" borderId="0" xfId="2" applyNumberFormat="1" applyFont="1"/>
    <xf numFmtId="164" fontId="2" fillId="0" borderId="0" xfId="0" applyNumberFormat="1" applyFont="1"/>
    <xf numFmtId="0" fontId="5" fillId="0" borderId="0" xfId="0" applyFont="1"/>
    <xf numFmtId="9" fontId="0" fillId="0" borderId="0" xfId="2" applyFont="1"/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2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165" fontId="0" fillId="0" borderId="0" xfId="2" applyNumberFormat="1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1136650</xdr:colOff>
      <xdr:row>54</xdr:row>
      <xdr:rowOff>31750</xdr:rowOff>
    </xdr:from>
    <xdr:to>
      <xdr:col>13</xdr:col>
      <xdr:colOff>333375</xdr:colOff>
      <xdr:row>58</xdr:row>
      <xdr:rowOff>33007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8FE39-4083-388A-DD2D-B6D97F8F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10528300"/>
          <a:ext cx="7772400" cy="737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ralphlauren.com/investor-relations" TargetMode="External"/><Relationship Id="rId2" Type="http://schemas.openxmlformats.org/officeDocument/2006/relationships/hyperlink" Target="https://www.sec.gov/cgi-bin/browse-edgar?action=getcompany&amp;CIK=0001037038&amp;owner=include&amp;count=40&amp;hidefilings=0" TargetMode="External"/><Relationship Id="rId1" Type="http://schemas.openxmlformats.org/officeDocument/2006/relationships/hyperlink" Target="https://www.ralphlauren.d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CDE8-C26A-4808-A8C2-0F2D976889B8}">
  <dimension ref="A1:I66"/>
  <sheetViews>
    <sheetView tabSelected="1" zoomScale="200" zoomScaleNormal="200" workbookViewId="0">
      <selection activeCell="H2" sqref="H2"/>
    </sheetView>
  </sheetViews>
  <sheetFormatPr defaultRowHeight="15" x14ac:dyDescent="0.25"/>
  <cols>
    <col min="1" max="1" width="3.5703125" customWidth="1"/>
    <col min="2" max="2" width="20.85546875" customWidth="1"/>
    <col min="3" max="3" width="10.28515625" customWidth="1"/>
    <col min="4" max="4" width="11.42578125" bestFit="1" customWidth="1"/>
    <col min="6" max="6" width="9.85546875" bestFit="1" customWidth="1"/>
  </cols>
  <sheetData>
    <row r="1" spans="1:9" x14ac:dyDescent="0.25">
      <c r="A1" s="2" t="s">
        <v>0</v>
      </c>
    </row>
    <row r="2" spans="1:9" x14ac:dyDescent="0.25">
      <c r="A2" t="s">
        <v>273</v>
      </c>
      <c r="G2" t="s">
        <v>7</v>
      </c>
      <c r="H2">
        <v>279.5</v>
      </c>
    </row>
    <row r="3" spans="1:9" x14ac:dyDescent="0.25">
      <c r="G3" t="s">
        <v>8</v>
      </c>
      <c r="H3" s="3">
        <f>39.882939+21.881276</f>
        <v>61.764215</v>
      </c>
      <c r="I3" s="12" t="s">
        <v>276</v>
      </c>
    </row>
    <row r="4" spans="1:9" x14ac:dyDescent="0.25">
      <c r="B4" s="1" t="s">
        <v>1</v>
      </c>
      <c r="C4" s="1"/>
      <c r="G4" t="s">
        <v>9</v>
      </c>
      <c r="H4" s="3">
        <f>H3*H2</f>
        <v>17263.0980925</v>
      </c>
    </row>
    <row r="5" spans="1:9" x14ac:dyDescent="0.25">
      <c r="B5" s="1" t="s">
        <v>2</v>
      </c>
      <c r="C5" s="1"/>
      <c r="G5" t="s">
        <v>12</v>
      </c>
      <c r="H5" s="3">
        <f>1940.2+203</f>
        <v>2143.1999999999998</v>
      </c>
      <c r="I5" s="12" t="s">
        <v>276</v>
      </c>
    </row>
    <row r="6" spans="1:9" x14ac:dyDescent="0.25">
      <c r="B6" t="s">
        <v>5</v>
      </c>
      <c r="C6" t="s">
        <v>6</v>
      </c>
      <c r="G6" t="s">
        <v>11</v>
      </c>
      <c r="H6" s="3">
        <f>399.5+742.6</f>
        <v>1142.0999999999999</v>
      </c>
      <c r="I6" s="12" t="s">
        <v>276</v>
      </c>
    </row>
    <row r="7" spans="1:9" x14ac:dyDescent="0.25">
      <c r="G7" t="s">
        <v>13</v>
      </c>
      <c r="H7" s="3">
        <f>H4+H5-H6</f>
        <v>18264.198092500003</v>
      </c>
    </row>
    <row r="8" spans="1:9" x14ac:dyDescent="0.25">
      <c r="F8" s="4"/>
    </row>
    <row r="12" spans="1:9" x14ac:dyDescent="0.25">
      <c r="A12" s="18" t="s">
        <v>14</v>
      </c>
      <c r="B12" s="9" t="s">
        <v>274</v>
      </c>
    </row>
    <row r="13" spans="1:9" x14ac:dyDescent="0.25">
      <c r="B13" t="s">
        <v>3</v>
      </c>
      <c r="C13" t="s">
        <v>4</v>
      </c>
    </row>
    <row r="15" spans="1:9" x14ac:dyDescent="0.25">
      <c r="A15" s="5" t="s">
        <v>14</v>
      </c>
      <c r="B15" s="6" t="s">
        <v>15</v>
      </c>
    </row>
    <row r="16" spans="1:9" x14ac:dyDescent="0.25">
      <c r="B16" t="s">
        <v>16</v>
      </c>
    </row>
    <row r="18" spans="1:3" x14ac:dyDescent="0.25">
      <c r="A18" s="5" t="s">
        <v>14</v>
      </c>
      <c r="B18" s="6" t="s">
        <v>17</v>
      </c>
    </row>
    <row r="19" spans="1:3" x14ac:dyDescent="0.25">
      <c r="B19" t="s">
        <v>18</v>
      </c>
      <c r="C19" t="s">
        <v>19</v>
      </c>
    </row>
    <row r="20" spans="1:3" x14ac:dyDescent="0.25">
      <c r="C20" t="s">
        <v>20</v>
      </c>
    </row>
    <row r="22" spans="1:3" x14ac:dyDescent="0.25">
      <c r="B22" t="s">
        <v>21</v>
      </c>
      <c r="C22" t="s">
        <v>22</v>
      </c>
    </row>
    <row r="23" spans="1:3" x14ac:dyDescent="0.25">
      <c r="C23" t="s">
        <v>23</v>
      </c>
    </row>
    <row r="25" spans="1:3" x14ac:dyDescent="0.25">
      <c r="B25" t="s">
        <v>24</v>
      </c>
      <c r="C25" t="s">
        <v>25</v>
      </c>
    </row>
    <row r="26" spans="1:3" x14ac:dyDescent="0.25">
      <c r="C26" t="s">
        <v>26</v>
      </c>
    </row>
    <row r="28" spans="1:3" x14ac:dyDescent="0.25">
      <c r="B28" t="s">
        <v>27</v>
      </c>
      <c r="C28" t="s">
        <v>28</v>
      </c>
    </row>
    <row r="30" spans="1:3" x14ac:dyDescent="0.25">
      <c r="B30" t="s">
        <v>29</v>
      </c>
      <c r="C30" t="s">
        <v>30</v>
      </c>
    </row>
    <row r="32" spans="1:3" x14ac:dyDescent="0.25">
      <c r="A32" s="5" t="s">
        <v>14</v>
      </c>
      <c r="B32" s="6" t="s">
        <v>31</v>
      </c>
    </row>
    <row r="34" spans="2:3" x14ac:dyDescent="0.25">
      <c r="B34" t="s">
        <v>32</v>
      </c>
      <c r="C34" t="s">
        <v>33</v>
      </c>
    </row>
    <row r="35" spans="2:3" x14ac:dyDescent="0.25">
      <c r="C35" t="s">
        <v>34</v>
      </c>
    </row>
    <row r="37" spans="2:3" x14ac:dyDescent="0.25">
      <c r="B37" t="s">
        <v>35</v>
      </c>
      <c r="C37" t="s">
        <v>36</v>
      </c>
    </row>
    <row r="38" spans="2:3" x14ac:dyDescent="0.25">
      <c r="C38" t="s">
        <v>37</v>
      </c>
    </row>
    <row r="40" spans="2:3" x14ac:dyDescent="0.25">
      <c r="B40" t="s">
        <v>38</v>
      </c>
      <c r="C40" t="s">
        <v>39</v>
      </c>
    </row>
    <row r="41" spans="2:3" x14ac:dyDescent="0.25">
      <c r="C41" t="s">
        <v>34</v>
      </c>
    </row>
    <row r="43" spans="2:3" x14ac:dyDescent="0.25">
      <c r="B43" t="s">
        <v>40</v>
      </c>
      <c r="C43" t="s">
        <v>41</v>
      </c>
    </row>
    <row r="45" spans="2:3" x14ac:dyDescent="0.25">
      <c r="B45" s="2" t="s">
        <v>42</v>
      </c>
      <c r="C45" t="s">
        <v>43</v>
      </c>
    </row>
    <row r="47" spans="2:3" x14ac:dyDescent="0.25">
      <c r="B47" t="s">
        <v>44</v>
      </c>
      <c r="C47" t="s">
        <v>45</v>
      </c>
    </row>
    <row r="50" spans="1:3" x14ac:dyDescent="0.25">
      <c r="B50" t="s">
        <v>46</v>
      </c>
      <c r="C50" t="s">
        <v>47</v>
      </c>
    </row>
    <row r="52" spans="1:3" x14ac:dyDescent="0.25">
      <c r="B52" t="s">
        <v>48</v>
      </c>
      <c r="C52" t="s">
        <v>49</v>
      </c>
    </row>
    <row r="54" spans="1:3" x14ac:dyDescent="0.25">
      <c r="B54" t="s">
        <v>50</v>
      </c>
      <c r="C54" s="1" t="s">
        <v>51</v>
      </c>
    </row>
    <row r="56" spans="1:3" x14ac:dyDescent="0.25">
      <c r="B56" s="2" t="s">
        <v>52</v>
      </c>
    </row>
    <row r="61" spans="1:3" x14ac:dyDescent="0.25">
      <c r="A61" s="5" t="s">
        <v>14</v>
      </c>
      <c r="B61" s="6" t="s">
        <v>53</v>
      </c>
    </row>
    <row r="62" spans="1:3" x14ac:dyDescent="0.25">
      <c r="B62" t="s">
        <v>0</v>
      </c>
      <c r="C62" t="s">
        <v>54</v>
      </c>
    </row>
    <row r="63" spans="1:3" x14ac:dyDescent="0.25">
      <c r="B63" t="s">
        <v>55</v>
      </c>
      <c r="C63" t="s">
        <v>56</v>
      </c>
    </row>
    <row r="64" spans="1:3" x14ac:dyDescent="0.25">
      <c r="B64" t="s">
        <v>57</v>
      </c>
      <c r="C64" t="s">
        <v>58</v>
      </c>
    </row>
    <row r="65" spans="2:3" x14ac:dyDescent="0.25">
      <c r="B65" t="s">
        <v>59</v>
      </c>
      <c r="C65" t="s">
        <v>60</v>
      </c>
    </row>
    <row r="66" spans="2:3" x14ac:dyDescent="0.25">
      <c r="B66" t="s">
        <v>61</v>
      </c>
      <c r="C66" t="s">
        <v>62</v>
      </c>
    </row>
  </sheetData>
  <hyperlinks>
    <hyperlink ref="C54" r:id="rId1" xr:uid="{F5DB0ED7-C030-4F62-8833-0DE5C4098825}"/>
    <hyperlink ref="B5" r:id="rId2" display="SEC:" xr:uid="{6255D668-83DF-4CD9-8CA6-8C9D01B09882}"/>
    <hyperlink ref="B4" r:id="rId3" xr:uid="{58EFC1CC-004F-475F-BF1F-0BD48249344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D0C8-AF9F-4DAB-A92B-C0DC872AC0C1}">
  <dimension ref="A1:Z125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RowHeight="15" x14ac:dyDescent="0.25"/>
  <cols>
    <col min="1" max="1" width="4.140625" customWidth="1"/>
    <col min="2" max="2" width="40.5703125" customWidth="1"/>
    <col min="12" max="18" width="8.7109375" style="3"/>
  </cols>
  <sheetData>
    <row r="1" spans="1:26" x14ac:dyDescent="0.25">
      <c r="A1" s="1" t="s">
        <v>63</v>
      </c>
      <c r="L1"/>
      <c r="M1"/>
      <c r="N1"/>
      <c r="O1"/>
      <c r="P1"/>
      <c r="Q1"/>
      <c r="R1"/>
    </row>
    <row r="2" spans="1:26" x14ac:dyDescent="0.25">
      <c r="C2" s="12" t="s">
        <v>277</v>
      </c>
      <c r="D2" s="12" t="s">
        <v>275</v>
      </c>
      <c r="E2" s="12" t="s">
        <v>276</v>
      </c>
      <c r="F2" s="12" t="s">
        <v>278</v>
      </c>
      <c r="G2" s="12" t="s">
        <v>279</v>
      </c>
      <c r="H2" s="12" t="s">
        <v>280</v>
      </c>
      <c r="I2" s="12" t="s">
        <v>281</v>
      </c>
      <c r="J2" s="12" t="s">
        <v>282</v>
      </c>
      <c r="K2" s="12"/>
      <c r="L2" s="12" t="s">
        <v>64</v>
      </c>
      <c r="M2" s="12" t="s">
        <v>65</v>
      </c>
      <c r="N2" s="12" t="s">
        <v>66</v>
      </c>
      <c r="O2" s="12" t="s">
        <v>67</v>
      </c>
      <c r="P2" s="12" t="s">
        <v>68</v>
      </c>
      <c r="Q2" s="12" t="s">
        <v>69</v>
      </c>
      <c r="R2" s="12" t="s">
        <v>73</v>
      </c>
    </row>
    <row r="3" spans="1:26" x14ac:dyDescent="0.25">
      <c r="B3" t="s">
        <v>286</v>
      </c>
      <c r="C3" s="19"/>
      <c r="D3" s="19"/>
      <c r="E3" s="19">
        <v>933.3</v>
      </c>
      <c r="F3" s="19"/>
      <c r="G3" s="19"/>
      <c r="H3" s="19"/>
      <c r="I3" s="19">
        <v>997.7</v>
      </c>
      <c r="J3" s="19"/>
      <c r="K3" s="19"/>
      <c r="S3" s="19"/>
      <c r="T3" s="19"/>
    </row>
    <row r="4" spans="1:26" x14ac:dyDescent="0.25">
      <c r="B4" t="s">
        <v>287</v>
      </c>
      <c r="C4" s="19"/>
      <c r="D4" s="19"/>
      <c r="E4" s="19">
        <v>521.5</v>
      </c>
      <c r="F4" s="19"/>
      <c r="G4" s="19"/>
      <c r="H4" s="19"/>
      <c r="I4" s="19">
        <v>604.4</v>
      </c>
      <c r="J4" s="19"/>
      <c r="K4" s="19"/>
      <c r="S4" s="19"/>
      <c r="T4" s="19"/>
    </row>
    <row r="5" spans="1:26" x14ac:dyDescent="0.25">
      <c r="B5" t="s">
        <v>288</v>
      </c>
      <c r="C5" s="19"/>
      <c r="D5" s="19"/>
      <c r="E5" s="19">
        <v>446.4</v>
      </c>
      <c r="F5" s="19"/>
      <c r="G5" s="19"/>
      <c r="H5" s="19"/>
      <c r="I5" s="19">
        <v>506.7</v>
      </c>
      <c r="J5" s="19"/>
      <c r="K5" s="19"/>
      <c r="S5" s="19"/>
      <c r="T5" s="19"/>
    </row>
    <row r="6" spans="1:26" x14ac:dyDescent="0.25">
      <c r="B6" t="s">
        <v>289</v>
      </c>
      <c r="C6" s="19"/>
      <c r="D6" s="19"/>
      <c r="E6" s="19">
        <v>32.799999999999997</v>
      </c>
      <c r="F6" s="19"/>
      <c r="G6" s="19"/>
      <c r="H6" s="19"/>
      <c r="I6" s="19">
        <v>34.700000000000003</v>
      </c>
      <c r="J6" s="19"/>
      <c r="K6" s="19"/>
      <c r="S6" s="19"/>
      <c r="T6" s="19"/>
    </row>
    <row r="7" spans="1:26" x14ac:dyDescent="0.25">
      <c r="B7" t="s">
        <v>42</v>
      </c>
      <c r="C7" s="19"/>
      <c r="D7" s="19"/>
      <c r="E7" s="19">
        <v>1415.8</v>
      </c>
      <c r="F7" s="19"/>
      <c r="G7" s="19"/>
      <c r="H7" s="19"/>
      <c r="I7" s="19">
        <v>1581.8</v>
      </c>
      <c r="J7" s="19"/>
      <c r="K7" s="3"/>
      <c r="L7" s="3">
        <v>3747.8</v>
      </c>
      <c r="M7" s="3">
        <v>3740.9</v>
      </c>
      <c r="N7" s="3">
        <v>2779.8</v>
      </c>
      <c r="O7" s="3">
        <v>3941.5</v>
      </c>
      <c r="P7" s="3">
        <v>4053.1</v>
      </c>
      <c r="Q7" s="3">
        <v>4351</v>
      </c>
      <c r="S7" s="19"/>
      <c r="T7" s="19"/>
    </row>
    <row r="8" spans="1:26" x14ac:dyDescent="0.25">
      <c r="B8" t="s">
        <v>70</v>
      </c>
      <c r="C8" s="19"/>
      <c r="D8" s="19"/>
      <c r="E8" s="19">
        <v>485.4</v>
      </c>
      <c r="F8" s="19"/>
      <c r="G8" s="19"/>
      <c r="H8" s="19"/>
      <c r="I8" s="19">
        <v>527</v>
      </c>
      <c r="J8" s="19"/>
      <c r="K8" s="3"/>
      <c r="L8" s="3">
        <v>2392.5</v>
      </c>
      <c r="M8" s="3">
        <v>2250.8000000000002</v>
      </c>
      <c r="N8" s="3">
        <v>1498.6</v>
      </c>
      <c r="O8" s="3">
        <v>2127.3000000000002</v>
      </c>
      <c r="P8" s="3">
        <v>2233.3000000000002</v>
      </c>
      <c r="Q8" s="3">
        <v>2134.1</v>
      </c>
      <c r="S8" s="19"/>
      <c r="T8" s="19"/>
    </row>
    <row r="9" spans="1:26" x14ac:dyDescent="0.25">
      <c r="B9" t="s">
        <v>71</v>
      </c>
      <c r="C9" s="19"/>
      <c r="D9" s="19"/>
      <c r="E9" s="19">
        <v>32.799999999999997</v>
      </c>
      <c r="F9" s="19"/>
      <c r="G9" s="19"/>
      <c r="H9" s="19"/>
      <c r="I9" s="19">
        <v>34.700000000000003</v>
      </c>
      <c r="J9" s="19"/>
      <c r="K9" s="3"/>
      <c r="L9" s="3">
        <v>172.7</v>
      </c>
      <c r="M9" s="3">
        <v>168.1</v>
      </c>
      <c r="N9" s="3">
        <v>122.4</v>
      </c>
      <c r="O9" s="3">
        <v>149.69999999999999</v>
      </c>
      <c r="P9" s="3">
        <v>157.19999999999999</v>
      </c>
      <c r="Q9" s="3">
        <v>146.30000000000001</v>
      </c>
      <c r="S9" s="19"/>
      <c r="T9" s="19"/>
    </row>
    <row r="10" spans="1:26" x14ac:dyDescent="0.25">
      <c r="A10" s="5"/>
      <c r="B10" s="2" t="s">
        <v>74</v>
      </c>
      <c r="C10" s="20"/>
      <c r="D10" s="20"/>
      <c r="E10" s="20">
        <v>1934</v>
      </c>
      <c r="F10" s="20"/>
      <c r="G10" s="20"/>
      <c r="H10" s="20"/>
      <c r="I10" s="20">
        <v>2143.5</v>
      </c>
      <c r="J10" s="20"/>
      <c r="K10" s="20"/>
      <c r="L10" s="20">
        <v>6313</v>
      </c>
      <c r="M10" s="20">
        <v>6159.8</v>
      </c>
      <c r="N10" s="20">
        <v>4400.8</v>
      </c>
      <c r="O10" s="20">
        <v>6218.5</v>
      </c>
      <c r="P10" s="20">
        <v>6443.6</v>
      </c>
      <c r="Q10" s="20">
        <v>6631.4</v>
      </c>
      <c r="R10" s="20"/>
      <c r="S10" s="20"/>
      <c r="T10" s="20"/>
      <c r="U10" s="20"/>
      <c r="V10" s="20"/>
      <c r="W10" s="2"/>
      <c r="X10" s="2"/>
      <c r="Y10" s="2"/>
      <c r="Z10" s="2"/>
    </row>
    <row r="11" spans="1:26" x14ac:dyDescent="0.25">
      <c r="B11" t="s">
        <v>75</v>
      </c>
      <c r="C11" s="19"/>
      <c r="D11" s="19"/>
      <c r="E11" s="19">
        <v>648</v>
      </c>
      <c r="F11" s="19"/>
      <c r="G11" s="19"/>
      <c r="H11" s="19"/>
      <c r="I11" s="19">
        <v>677.4</v>
      </c>
      <c r="J11" s="19"/>
      <c r="K11" s="19"/>
      <c r="L11" s="19">
        <v>2427</v>
      </c>
      <c r="M11" s="19">
        <v>2506.5</v>
      </c>
      <c r="N11" s="19">
        <v>1539.4</v>
      </c>
      <c r="O11" s="19">
        <v>2071</v>
      </c>
      <c r="P11" s="19">
        <v>2277.8000000000002</v>
      </c>
      <c r="Q11" s="19">
        <v>2199.6</v>
      </c>
      <c r="R11" s="19"/>
      <c r="S11" s="19"/>
      <c r="T11" s="19"/>
      <c r="U11" s="19"/>
      <c r="V11" s="19"/>
    </row>
    <row r="12" spans="1:26" x14ac:dyDescent="0.25">
      <c r="B12" t="s">
        <v>76</v>
      </c>
      <c r="C12" s="19">
        <f t="shared" ref="C12:D12" si="0">+C10-C11</f>
        <v>0</v>
      </c>
      <c r="D12" s="19">
        <f t="shared" si="0"/>
        <v>0</v>
      </c>
      <c r="E12" s="19">
        <f>+E10-E11</f>
        <v>1286</v>
      </c>
      <c r="F12" s="19">
        <f t="shared" ref="F12:J12" si="1">+F10-F11</f>
        <v>0</v>
      </c>
      <c r="G12" s="19">
        <f t="shared" si="1"/>
        <v>0</v>
      </c>
      <c r="H12" s="19">
        <f t="shared" si="1"/>
        <v>0</v>
      </c>
      <c r="I12" s="19">
        <f t="shared" si="1"/>
        <v>1466.1</v>
      </c>
      <c r="J12" s="19">
        <f t="shared" si="1"/>
        <v>0</v>
      </c>
      <c r="K12" s="19"/>
      <c r="L12" s="19">
        <f t="shared" ref="L12:P12" si="2">L10-L11</f>
        <v>3886</v>
      </c>
      <c r="M12" s="19">
        <f t="shared" si="2"/>
        <v>3653.3</v>
      </c>
      <c r="N12" s="19">
        <f t="shared" si="2"/>
        <v>2861.4</v>
      </c>
      <c r="O12" s="19">
        <f t="shared" si="2"/>
        <v>4147.5</v>
      </c>
      <c r="P12" s="19">
        <f t="shared" si="2"/>
        <v>4165.8</v>
      </c>
      <c r="Q12" s="19">
        <f>Q10-Q11</f>
        <v>4431.7999999999993</v>
      </c>
      <c r="R12" s="19"/>
      <c r="S12" s="19"/>
      <c r="T12" s="19"/>
      <c r="U12" s="19"/>
      <c r="V12" s="19"/>
    </row>
    <row r="13" spans="1:26" x14ac:dyDescent="0.25">
      <c r="B13" t="s">
        <v>77</v>
      </c>
      <c r="C13" s="19"/>
      <c r="D13" s="19"/>
      <c r="E13" s="19">
        <v>967.6</v>
      </c>
      <c r="F13" s="19"/>
      <c r="G13" s="19"/>
      <c r="H13" s="19"/>
      <c r="I13" s="19">
        <v>1064.2</v>
      </c>
      <c r="J13" s="19"/>
      <c r="K13" s="19"/>
      <c r="L13" s="19">
        <v>3168.3</v>
      </c>
      <c r="M13" s="19">
        <v>3237.5</v>
      </c>
      <c r="N13" s="19">
        <v>2638.5</v>
      </c>
      <c r="O13" s="19">
        <v>3305.6</v>
      </c>
      <c r="P13" s="19">
        <v>3408.9</v>
      </c>
      <c r="Q13" s="19">
        <v>3600.5</v>
      </c>
      <c r="R13" s="19"/>
      <c r="S13" s="19"/>
      <c r="T13" s="19"/>
      <c r="U13" s="19"/>
      <c r="V13" s="19"/>
    </row>
    <row r="14" spans="1:26" x14ac:dyDescent="0.25">
      <c r="B14" t="s">
        <v>78</v>
      </c>
      <c r="C14" s="19"/>
      <c r="D14" s="19"/>
      <c r="E14" s="19">
        <v>0</v>
      </c>
      <c r="F14" s="19"/>
      <c r="G14" s="19"/>
      <c r="H14" s="19"/>
      <c r="I14" s="19">
        <v>0</v>
      </c>
      <c r="J14" s="19"/>
      <c r="K14" s="19"/>
      <c r="L14" s="19">
        <v>25.8</v>
      </c>
      <c r="M14" s="19">
        <v>31.6</v>
      </c>
      <c r="N14" s="19">
        <v>96</v>
      </c>
      <c r="O14" s="19">
        <v>21.3</v>
      </c>
      <c r="P14" s="19">
        <v>9.6999999999999993</v>
      </c>
      <c r="Q14" s="19">
        <v>0</v>
      </c>
      <c r="R14" s="19"/>
      <c r="S14" s="19"/>
      <c r="T14" s="19"/>
      <c r="U14" s="19"/>
      <c r="V14" s="19"/>
    </row>
    <row r="15" spans="1:26" x14ac:dyDescent="0.25">
      <c r="B15" t="s">
        <v>79</v>
      </c>
      <c r="C15" s="19"/>
      <c r="D15" s="19"/>
      <c r="E15" s="19">
        <v>0.7</v>
      </c>
      <c r="F15" s="19"/>
      <c r="G15" s="19"/>
      <c r="H15" s="19"/>
      <c r="I15" s="19">
        <v>12.2</v>
      </c>
      <c r="J15" s="19"/>
      <c r="K15" s="19"/>
      <c r="L15" s="19">
        <v>130.1</v>
      </c>
      <c r="M15" s="19">
        <v>67.2</v>
      </c>
      <c r="N15" s="19">
        <v>170.5</v>
      </c>
      <c r="O15" s="19">
        <v>22.2</v>
      </c>
      <c r="P15" s="19">
        <v>43</v>
      </c>
      <c r="Q15" s="19">
        <v>74.900000000000006</v>
      </c>
      <c r="R15" s="19"/>
      <c r="S15" s="19"/>
      <c r="T15" s="19"/>
      <c r="U15" s="19"/>
      <c r="V15" s="19"/>
    </row>
    <row r="16" spans="1:26" x14ac:dyDescent="0.25">
      <c r="B16" t="s">
        <v>80</v>
      </c>
      <c r="C16" s="19">
        <f t="shared" ref="C16:J16" si="3">SUM(C13:C15)</f>
        <v>0</v>
      </c>
      <c r="D16" s="19">
        <f t="shared" si="3"/>
        <v>0</v>
      </c>
      <c r="E16" s="19">
        <f t="shared" si="3"/>
        <v>968.30000000000007</v>
      </c>
      <c r="F16" s="19">
        <f t="shared" si="3"/>
        <v>0</v>
      </c>
      <c r="G16" s="19">
        <f t="shared" si="3"/>
        <v>0</v>
      </c>
      <c r="H16" s="19">
        <f t="shared" si="3"/>
        <v>0</v>
      </c>
      <c r="I16" s="19">
        <f t="shared" si="3"/>
        <v>1076.4000000000001</v>
      </c>
      <c r="J16" s="19">
        <f t="shared" si="3"/>
        <v>0</v>
      </c>
      <c r="K16" s="19"/>
      <c r="L16" s="19">
        <f t="shared" ref="L16:P16" si="4">SUM(L13:L15)</f>
        <v>3324.2000000000003</v>
      </c>
      <c r="M16" s="19">
        <f t="shared" si="4"/>
        <v>3336.2999999999997</v>
      </c>
      <c r="N16" s="19">
        <f t="shared" si="4"/>
        <v>2905</v>
      </c>
      <c r="O16" s="19">
        <f t="shared" si="4"/>
        <v>3349.1</v>
      </c>
      <c r="P16" s="19">
        <f t="shared" si="4"/>
        <v>3461.6</v>
      </c>
      <c r="Q16" s="19">
        <f>SUM(Q13:Q15)</f>
        <v>3675.4</v>
      </c>
      <c r="R16" s="19"/>
      <c r="S16" s="19"/>
      <c r="T16" s="19"/>
      <c r="U16" s="19"/>
      <c r="V16" s="19"/>
    </row>
    <row r="17" spans="2:22" x14ac:dyDescent="0.25">
      <c r="B17" t="s">
        <v>81</v>
      </c>
      <c r="C17" s="19">
        <f t="shared" ref="C17:J17" si="5">C12-C16</f>
        <v>0</v>
      </c>
      <c r="D17" s="19">
        <f t="shared" si="5"/>
        <v>0</v>
      </c>
      <c r="E17" s="19">
        <f t="shared" si="5"/>
        <v>317.69999999999993</v>
      </c>
      <c r="F17" s="19">
        <f t="shared" si="5"/>
        <v>0</v>
      </c>
      <c r="G17" s="19">
        <f t="shared" si="5"/>
        <v>0</v>
      </c>
      <c r="H17" s="19">
        <f t="shared" si="5"/>
        <v>0</v>
      </c>
      <c r="I17" s="19">
        <f t="shared" si="5"/>
        <v>389.69999999999982</v>
      </c>
      <c r="J17" s="19">
        <f t="shared" si="5"/>
        <v>0</v>
      </c>
      <c r="K17" s="19"/>
      <c r="L17" s="19">
        <f t="shared" ref="L17:P17" si="6">L12-L16</f>
        <v>561.79999999999973</v>
      </c>
      <c r="M17" s="19">
        <f t="shared" si="6"/>
        <v>317.00000000000045</v>
      </c>
      <c r="N17" s="19">
        <f t="shared" si="6"/>
        <v>-43.599999999999909</v>
      </c>
      <c r="O17" s="19">
        <f t="shared" si="6"/>
        <v>798.40000000000009</v>
      </c>
      <c r="P17" s="19">
        <f t="shared" si="6"/>
        <v>704.20000000000027</v>
      </c>
      <c r="Q17" s="19">
        <f>Q12-Q16</f>
        <v>756.39999999999918</v>
      </c>
      <c r="R17" s="19"/>
      <c r="S17" s="19"/>
      <c r="T17" s="19"/>
      <c r="U17" s="19"/>
      <c r="V17" s="19"/>
    </row>
    <row r="18" spans="2:22" x14ac:dyDescent="0.25">
      <c r="B18" t="s">
        <v>82</v>
      </c>
      <c r="C18" s="19"/>
      <c r="D18" s="19"/>
      <c r="E18" s="19">
        <v>10.6</v>
      </c>
      <c r="F18" s="19"/>
      <c r="G18" s="19"/>
      <c r="H18" s="19"/>
      <c r="I18" s="19">
        <v>11.6</v>
      </c>
      <c r="J18" s="19"/>
      <c r="K18" s="19"/>
      <c r="L18" s="19">
        <v>20.7</v>
      </c>
      <c r="M18" s="19">
        <v>17.600000000000001</v>
      </c>
      <c r="N18" s="19">
        <v>48.5</v>
      </c>
      <c r="O18" s="19">
        <v>54</v>
      </c>
      <c r="P18" s="19">
        <v>40.4</v>
      </c>
      <c r="Q18" s="19">
        <v>42.2</v>
      </c>
      <c r="R18" s="19"/>
      <c r="S18" s="19"/>
      <c r="T18" s="19"/>
      <c r="U18" s="19"/>
      <c r="V18" s="19"/>
    </row>
    <row r="19" spans="2:22" x14ac:dyDescent="0.25">
      <c r="B19" t="s">
        <v>83</v>
      </c>
      <c r="C19" s="19"/>
      <c r="D19" s="19"/>
      <c r="E19" s="19">
        <v>20.7</v>
      </c>
      <c r="F19" s="19"/>
      <c r="G19" s="19"/>
      <c r="H19" s="19"/>
      <c r="I19" s="19">
        <v>17.8</v>
      </c>
      <c r="J19" s="19"/>
      <c r="K19" s="19"/>
      <c r="L19" s="19">
        <v>40.799999999999997</v>
      </c>
      <c r="M19" s="19">
        <v>34.4</v>
      </c>
      <c r="N19" s="19">
        <v>9.6999999999999993</v>
      </c>
      <c r="O19" s="19">
        <v>5.5</v>
      </c>
      <c r="P19" s="19">
        <v>32.200000000000003</v>
      </c>
      <c r="Q19" s="19">
        <v>73</v>
      </c>
      <c r="R19" s="19"/>
      <c r="S19" s="19"/>
      <c r="T19" s="19"/>
      <c r="U19" s="19"/>
      <c r="V19" s="19"/>
    </row>
    <row r="20" spans="2:22" x14ac:dyDescent="0.25">
      <c r="B20" t="s">
        <v>84</v>
      </c>
      <c r="C20" s="19"/>
      <c r="D20" s="19"/>
      <c r="E20" s="19">
        <v>2</v>
      </c>
      <c r="F20" s="19"/>
      <c r="G20" s="19"/>
      <c r="H20" s="19"/>
      <c r="I20" s="19">
        <v>-12.2</v>
      </c>
      <c r="J20" s="19"/>
      <c r="K20" s="19"/>
      <c r="L20" s="19">
        <v>0.6</v>
      </c>
      <c r="M20" s="19">
        <v>-7.4</v>
      </c>
      <c r="N20" s="19">
        <v>7.6</v>
      </c>
      <c r="O20" s="19">
        <v>4.7</v>
      </c>
      <c r="P20" s="19">
        <v>-4.0999999999999996</v>
      </c>
      <c r="Q20" s="19">
        <v>-9.8000000000000007</v>
      </c>
      <c r="R20" s="19"/>
      <c r="S20" s="19"/>
      <c r="T20" s="19"/>
      <c r="U20" s="19"/>
      <c r="V20" s="19"/>
    </row>
    <row r="21" spans="2:22" x14ac:dyDescent="0.25">
      <c r="B21" t="s">
        <v>85</v>
      </c>
      <c r="C21" s="19">
        <f t="shared" ref="C21:J21" si="7">C17-C18+C19+C20</f>
        <v>0</v>
      </c>
      <c r="D21" s="19">
        <f t="shared" si="7"/>
        <v>0</v>
      </c>
      <c r="E21" s="19">
        <f t="shared" si="7"/>
        <v>329.7999999999999</v>
      </c>
      <c r="F21" s="19">
        <f t="shared" si="7"/>
        <v>0</v>
      </c>
      <c r="G21" s="19">
        <f t="shared" si="7"/>
        <v>0</v>
      </c>
      <c r="H21" s="19">
        <f t="shared" si="7"/>
        <v>0</v>
      </c>
      <c r="I21" s="19">
        <f t="shared" si="7"/>
        <v>383.69999999999982</v>
      </c>
      <c r="J21" s="19">
        <f t="shared" si="7"/>
        <v>0</v>
      </c>
      <c r="K21" s="19"/>
      <c r="L21" s="19">
        <f t="shared" ref="L21:P21" si="8">L17-L18+L19+L20</f>
        <v>582.49999999999966</v>
      </c>
      <c r="M21" s="19">
        <f t="shared" si="8"/>
        <v>326.40000000000043</v>
      </c>
      <c r="N21" s="19">
        <f t="shared" si="8"/>
        <v>-74.799999999999912</v>
      </c>
      <c r="O21" s="19">
        <f t="shared" si="8"/>
        <v>754.60000000000014</v>
      </c>
      <c r="P21" s="19">
        <f t="shared" si="8"/>
        <v>691.90000000000032</v>
      </c>
      <c r="Q21" s="19">
        <f>Q17-Q18+Q19+Q20</f>
        <v>777.39999999999918</v>
      </c>
      <c r="R21" s="19"/>
      <c r="S21" s="19"/>
      <c r="T21" s="19"/>
      <c r="U21" s="19"/>
      <c r="V21" s="19"/>
    </row>
    <row r="22" spans="2:22" x14ac:dyDescent="0.25">
      <c r="B22" t="s">
        <v>86</v>
      </c>
      <c r="C22" s="19"/>
      <c r="D22" s="19"/>
      <c r="E22" s="19">
        <v>53.2</v>
      </c>
      <c r="F22" s="19"/>
      <c r="G22" s="19"/>
      <c r="H22" s="19"/>
      <c r="I22" s="19">
        <v>86.3</v>
      </c>
      <c r="J22" s="19"/>
      <c r="K22" s="19"/>
      <c r="L22" s="19">
        <v>151.6</v>
      </c>
      <c r="M22" s="19">
        <v>-57.9</v>
      </c>
      <c r="N22" s="19">
        <v>46.3</v>
      </c>
      <c r="O22" s="19">
        <v>154.5</v>
      </c>
      <c r="P22" s="19">
        <v>169.2</v>
      </c>
      <c r="Q22" s="19">
        <v>131.1</v>
      </c>
      <c r="R22" s="19"/>
      <c r="S22" s="19"/>
      <c r="T22" s="19"/>
      <c r="U22" s="19"/>
      <c r="V22" s="19"/>
    </row>
    <row r="23" spans="2:22" x14ac:dyDescent="0.25">
      <c r="B23" t="s">
        <v>87</v>
      </c>
      <c r="C23" s="19">
        <f t="shared" ref="C23:J23" si="9">C21-C22</f>
        <v>0</v>
      </c>
      <c r="D23" s="19">
        <f t="shared" si="9"/>
        <v>0</v>
      </c>
      <c r="E23" s="19">
        <f t="shared" si="9"/>
        <v>276.59999999999991</v>
      </c>
      <c r="F23" s="19">
        <f t="shared" si="9"/>
        <v>0</v>
      </c>
      <c r="G23" s="19">
        <f t="shared" si="9"/>
        <v>0</v>
      </c>
      <c r="H23" s="19">
        <f t="shared" si="9"/>
        <v>0</v>
      </c>
      <c r="I23" s="19">
        <f t="shared" si="9"/>
        <v>297.39999999999981</v>
      </c>
      <c r="J23" s="19">
        <f t="shared" si="9"/>
        <v>0</v>
      </c>
      <c r="K23" s="19"/>
      <c r="L23" s="19">
        <f t="shared" ref="L23:P23" si="10">L21-L22</f>
        <v>430.89999999999964</v>
      </c>
      <c r="M23" s="19">
        <f t="shared" si="10"/>
        <v>384.30000000000041</v>
      </c>
      <c r="N23" s="19">
        <f t="shared" si="10"/>
        <v>-121.09999999999991</v>
      </c>
      <c r="O23" s="19">
        <f t="shared" si="10"/>
        <v>600.10000000000014</v>
      </c>
      <c r="P23" s="19">
        <f t="shared" si="10"/>
        <v>522.70000000000027</v>
      </c>
      <c r="Q23" s="19">
        <f>Q21-Q22</f>
        <v>646.29999999999916</v>
      </c>
      <c r="R23" s="19"/>
      <c r="S23" s="19"/>
      <c r="T23" s="19"/>
      <c r="U23" s="19"/>
      <c r="V23" s="19"/>
    </row>
    <row r="24" spans="2:22" x14ac:dyDescent="0.25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2:22" x14ac:dyDescent="0.25">
      <c r="B25" t="s">
        <v>89</v>
      </c>
      <c r="C25" s="21" t="e">
        <f t="shared" ref="C25:H25" si="11">+C23/C26</f>
        <v>#DIV/0!</v>
      </c>
      <c r="D25" s="21" t="e">
        <f t="shared" si="11"/>
        <v>#DIV/0!</v>
      </c>
      <c r="E25" s="21">
        <f t="shared" si="11"/>
        <v>4.2553846153846138</v>
      </c>
      <c r="F25" s="21" t="e">
        <f t="shared" si="11"/>
        <v>#DIV/0!</v>
      </c>
      <c r="G25" s="21" t="e">
        <f t="shared" si="11"/>
        <v>#DIV/0!</v>
      </c>
      <c r="H25" s="21" t="e">
        <f t="shared" si="11"/>
        <v>#DIV/0!</v>
      </c>
      <c r="I25" s="21">
        <f>+I23/I26</f>
        <v>4.7583999999999973</v>
      </c>
      <c r="J25" s="21" t="e">
        <f t="shared" ref="J25" si="12">+J23/J26</f>
        <v>#DIV/0!</v>
      </c>
      <c r="K25" s="19"/>
      <c r="L25" s="19">
        <f t="shared" ref="L25:Q25" si="13">L23/L26</f>
        <v>5.5191935752436772</v>
      </c>
      <c r="M25" s="19">
        <f t="shared" si="13"/>
        <v>5.2892357240183383</v>
      </c>
      <c r="N25" s="19">
        <f t="shared" si="13"/>
        <v>-1.6559325046833751</v>
      </c>
      <c r="O25" s="19">
        <f t="shared" si="13"/>
        <v>8.5636817695326446</v>
      </c>
      <c r="P25" s="19">
        <f t="shared" si="13"/>
        <v>7.9918659409210493</v>
      </c>
      <c r="Q25" s="19">
        <f t="shared" si="13"/>
        <v>10.4639879256945</v>
      </c>
      <c r="R25" s="19"/>
      <c r="S25" s="19"/>
      <c r="T25" s="19"/>
      <c r="U25" s="19"/>
      <c r="V25" s="19"/>
    </row>
    <row r="26" spans="2:22" x14ac:dyDescent="0.25">
      <c r="B26" t="s">
        <v>88</v>
      </c>
      <c r="C26" s="19"/>
      <c r="D26" s="19"/>
      <c r="E26" s="19">
        <v>65</v>
      </c>
      <c r="F26" s="19"/>
      <c r="G26" s="19"/>
      <c r="H26" s="19"/>
      <c r="I26" s="19">
        <v>62.5</v>
      </c>
      <c r="J26" s="19"/>
      <c r="K26" s="19"/>
      <c r="L26" s="19">
        <f>52.192+25.881</f>
        <v>78.073000000000008</v>
      </c>
      <c r="M26" s="19">
        <f>47.777+24.88^1</f>
        <v>72.656999999999996</v>
      </c>
      <c r="N26" s="19">
        <f>48.25+24.881</f>
        <v>73.131</v>
      </c>
      <c r="O26" s="19">
        <f>45.194+24.881</f>
        <v>70.075000000000003</v>
      </c>
      <c r="P26" s="19">
        <f>40.523+24.881</f>
        <v>65.403999999999996</v>
      </c>
      <c r="Q26" s="19">
        <f>Main!H3</f>
        <v>61.764215</v>
      </c>
      <c r="R26" s="19"/>
      <c r="S26" s="19"/>
      <c r="T26" s="19"/>
      <c r="U26" s="19"/>
      <c r="V26" s="19"/>
    </row>
    <row r="27" spans="2:22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2:22" x14ac:dyDescent="0.25">
      <c r="B28" t="s">
        <v>290</v>
      </c>
      <c r="C28" s="22" t="s">
        <v>72</v>
      </c>
      <c r="D28" s="22" t="s">
        <v>72</v>
      </c>
      <c r="E28" s="22" t="s">
        <v>72</v>
      </c>
      <c r="F28" s="22" t="s">
        <v>72</v>
      </c>
      <c r="G28" s="10" t="e">
        <f t="shared" ref="G28:G31" si="14">+G3/C3-1</f>
        <v>#DIV/0!</v>
      </c>
      <c r="H28" s="10" t="e">
        <f t="shared" ref="H28:H32" si="15">+H3/D3-1</f>
        <v>#DIV/0!</v>
      </c>
      <c r="I28" s="10">
        <f t="shared" ref="I28:I32" si="16">+I3/E3-1</f>
        <v>6.9002464373727701E-2</v>
      </c>
      <c r="J28" s="10" t="e">
        <f t="shared" ref="J28:J32" si="17">+J3/F3-1</f>
        <v>#DIV/0!</v>
      </c>
      <c r="K28" s="19"/>
      <c r="L28" s="22" t="s">
        <v>72</v>
      </c>
      <c r="M28" s="7" t="e">
        <f t="shared" ref="M28:Q31" si="18">M3/L3-1</f>
        <v>#DIV/0!</v>
      </c>
      <c r="N28" s="7" t="e">
        <f t="shared" si="18"/>
        <v>#DIV/0!</v>
      </c>
      <c r="O28" s="7" t="e">
        <f t="shared" si="18"/>
        <v>#DIV/0!</v>
      </c>
      <c r="P28" s="7" t="e">
        <f t="shared" si="18"/>
        <v>#DIV/0!</v>
      </c>
      <c r="Q28" s="7" t="e">
        <f t="shared" si="18"/>
        <v>#DIV/0!</v>
      </c>
      <c r="R28" s="19"/>
      <c r="S28" s="19"/>
      <c r="T28" s="19"/>
      <c r="U28" s="19"/>
      <c r="V28" s="19"/>
    </row>
    <row r="29" spans="2:22" x14ac:dyDescent="0.25">
      <c r="B29" t="s">
        <v>291</v>
      </c>
      <c r="C29" s="22" t="s">
        <v>72</v>
      </c>
      <c r="D29" s="22" t="s">
        <v>72</v>
      </c>
      <c r="E29" s="22" t="s">
        <v>72</v>
      </c>
      <c r="F29" s="22" t="s">
        <v>72</v>
      </c>
      <c r="G29" s="10" t="e">
        <f t="shared" si="14"/>
        <v>#DIV/0!</v>
      </c>
      <c r="H29" s="10" t="e">
        <f t="shared" si="15"/>
        <v>#DIV/0!</v>
      </c>
      <c r="I29" s="10">
        <f t="shared" si="16"/>
        <v>0.1589645254074783</v>
      </c>
      <c r="J29" s="10" t="e">
        <f t="shared" si="17"/>
        <v>#DIV/0!</v>
      </c>
      <c r="K29" s="19"/>
      <c r="L29" s="22" t="s">
        <v>72</v>
      </c>
      <c r="M29" s="7" t="e">
        <f t="shared" si="18"/>
        <v>#DIV/0!</v>
      </c>
      <c r="N29" s="7" t="e">
        <f t="shared" si="18"/>
        <v>#DIV/0!</v>
      </c>
      <c r="O29" s="7" t="e">
        <f t="shared" si="18"/>
        <v>#DIV/0!</v>
      </c>
      <c r="P29" s="7" t="e">
        <f t="shared" si="18"/>
        <v>#DIV/0!</v>
      </c>
      <c r="Q29" s="7" t="e">
        <f t="shared" si="18"/>
        <v>#DIV/0!</v>
      </c>
      <c r="R29" s="19"/>
      <c r="S29" s="19"/>
      <c r="T29" s="19"/>
      <c r="U29" s="19"/>
      <c r="V29" s="19"/>
    </row>
    <row r="30" spans="2:22" x14ac:dyDescent="0.25">
      <c r="B30" t="s">
        <v>292</v>
      </c>
      <c r="C30" s="22" t="s">
        <v>72</v>
      </c>
      <c r="D30" s="22" t="s">
        <v>72</v>
      </c>
      <c r="E30" s="22" t="s">
        <v>72</v>
      </c>
      <c r="F30" s="22" t="s">
        <v>72</v>
      </c>
      <c r="G30" s="10" t="e">
        <f t="shared" si="14"/>
        <v>#DIV/0!</v>
      </c>
      <c r="H30" s="10" t="e">
        <f t="shared" si="15"/>
        <v>#DIV/0!</v>
      </c>
      <c r="I30" s="10">
        <f t="shared" si="16"/>
        <v>0.13508064516129026</v>
      </c>
      <c r="J30" s="10" t="e">
        <f t="shared" si="17"/>
        <v>#DIV/0!</v>
      </c>
      <c r="K30" s="19"/>
      <c r="L30" s="22" t="s">
        <v>72</v>
      </c>
      <c r="M30" s="7" t="e">
        <f t="shared" si="18"/>
        <v>#DIV/0!</v>
      </c>
      <c r="N30" s="7" t="e">
        <f t="shared" si="18"/>
        <v>#DIV/0!</v>
      </c>
      <c r="O30" s="7" t="e">
        <f t="shared" si="18"/>
        <v>#DIV/0!</v>
      </c>
      <c r="P30" s="7" t="e">
        <f t="shared" si="18"/>
        <v>#DIV/0!</v>
      </c>
      <c r="Q30" s="7" t="e">
        <f t="shared" si="18"/>
        <v>#DIV/0!</v>
      </c>
      <c r="R30" s="19"/>
      <c r="S30" s="19"/>
      <c r="T30" s="19"/>
      <c r="U30" s="19"/>
      <c r="V30" s="19"/>
    </row>
    <row r="31" spans="2:22" x14ac:dyDescent="0.25">
      <c r="B31" t="s">
        <v>293</v>
      </c>
      <c r="C31" s="22" t="s">
        <v>72</v>
      </c>
      <c r="D31" s="22" t="s">
        <v>72</v>
      </c>
      <c r="E31" s="22" t="s">
        <v>72</v>
      </c>
      <c r="F31" s="22" t="s">
        <v>72</v>
      </c>
      <c r="G31" s="10" t="e">
        <f t="shared" si="14"/>
        <v>#DIV/0!</v>
      </c>
      <c r="H31" s="10" t="e">
        <f t="shared" si="15"/>
        <v>#DIV/0!</v>
      </c>
      <c r="I31" s="10">
        <f t="shared" si="16"/>
        <v>5.7926829268292845E-2</v>
      </c>
      <c r="J31" s="10" t="e">
        <f t="shared" si="17"/>
        <v>#DIV/0!</v>
      </c>
      <c r="K31" s="19"/>
      <c r="L31" s="22" t="s">
        <v>72</v>
      </c>
      <c r="M31" s="7" t="e">
        <f t="shared" si="18"/>
        <v>#DIV/0!</v>
      </c>
      <c r="N31" s="7" t="e">
        <f t="shared" si="18"/>
        <v>#DIV/0!</v>
      </c>
      <c r="O31" s="7" t="e">
        <f t="shared" si="18"/>
        <v>#DIV/0!</v>
      </c>
      <c r="P31" s="7" t="e">
        <f t="shared" si="18"/>
        <v>#DIV/0!</v>
      </c>
      <c r="Q31" s="7" t="e">
        <f t="shared" si="18"/>
        <v>#DIV/0!</v>
      </c>
      <c r="R31" s="19"/>
      <c r="S31" s="19"/>
      <c r="T31" s="19"/>
      <c r="U31" s="19"/>
      <c r="V31" s="19"/>
    </row>
    <row r="32" spans="2:22" x14ac:dyDescent="0.25">
      <c r="B32" t="s">
        <v>283</v>
      </c>
      <c r="C32" s="22" t="s">
        <v>72</v>
      </c>
      <c r="D32" s="22" t="s">
        <v>72</v>
      </c>
      <c r="E32" s="22" t="s">
        <v>72</v>
      </c>
      <c r="F32" s="22" t="s">
        <v>72</v>
      </c>
      <c r="G32" s="10" t="e">
        <f t="shared" ref="G32:H35" si="19">+G7/C7-1</f>
        <v>#DIV/0!</v>
      </c>
      <c r="H32" s="10" t="e">
        <f t="shared" si="15"/>
        <v>#DIV/0!</v>
      </c>
      <c r="I32" s="10">
        <f t="shared" si="16"/>
        <v>0.11724819889814952</v>
      </c>
      <c r="J32" s="10" t="e">
        <f t="shared" si="17"/>
        <v>#DIV/0!</v>
      </c>
      <c r="K32" s="19"/>
      <c r="L32" s="22" t="s">
        <v>72</v>
      </c>
      <c r="M32" s="7">
        <f>M7/L7-1</f>
        <v>-1.8410801003255761E-3</v>
      </c>
      <c r="N32" s="7">
        <f t="shared" ref="N32:Q32" si="20">N7/M7-1</f>
        <v>-0.25691678473094703</v>
      </c>
      <c r="O32" s="7">
        <f t="shared" si="20"/>
        <v>0.41790776314842781</v>
      </c>
      <c r="P32" s="7">
        <f t="shared" si="20"/>
        <v>2.831409361918058E-2</v>
      </c>
      <c r="Q32" s="7">
        <f t="shared" si="20"/>
        <v>7.3499296834521832E-2</v>
      </c>
      <c r="R32" s="19"/>
      <c r="S32" s="19"/>
      <c r="T32" s="19"/>
      <c r="U32" s="19"/>
      <c r="V32" s="19"/>
    </row>
    <row r="33" spans="1:22" x14ac:dyDescent="0.25">
      <c r="B33" t="s">
        <v>284</v>
      </c>
      <c r="C33" s="22" t="s">
        <v>72</v>
      </c>
      <c r="D33" s="22" t="s">
        <v>72</v>
      </c>
      <c r="E33" s="22" t="s">
        <v>72</v>
      </c>
      <c r="F33" s="22" t="s">
        <v>72</v>
      </c>
      <c r="G33" s="10" t="e">
        <f t="shared" si="19"/>
        <v>#DIV/0!</v>
      </c>
      <c r="H33" s="10" t="e">
        <f t="shared" si="19"/>
        <v>#DIV/0!</v>
      </c>
      <c r="I33" s="10">
        <f t="shared" ref="I33:J35" si="21">+I8/E8-1</f>
        <v>8.5702513391017865E-2</v>
      </c>
      <c r="J33" s="10" t="e">
        <f t="shared" si="21"/>
        <v>#DIV/0!</v>
      </c>
      <c r="K33" s="19"/>
      <c r="L33" s="22" t="s">
        <v>72</v>
      </c>
      <c r="M33" s="7">
        <f>M8/L8-1</f>
        <v>-5.9226750261232919E-2</v>
      </c>
      <c r="N33" s="7">
        <f t="shared" ref="N33:P35" si="22">N8/M8-1</f>
        <v>-0.33419228718677818</v>
      </c>
      <c r="O33" s="7">
        <f t="shared" si="22"/>
        <v>0.41952488989723768</v>
      </c>
      <c r="P33" s="7">
        <f t="shared" si="22"/>
        <v>4.9828421003149437E-2</v>
      </c>
      <c r="Q33" s="7">
        <f t="shared" ref="Q33:Q34" si="23">Q8/P8-1</f>
        <v>-4.4418573411543538E-2</v>
      </c>
      <c r="R33" s="19"/>
      <c r="S33" s="19"/>
      <c r="T33" s="19"/>
      <c r="U33" s="19"/>
      <c r="V33" s="19"/>
    </row>
    <row r="34" spans="1:22" x14ac:dyDescent="0.25">
      <c r="B34" t="s">
        <v>285</v>
      </c>
      <c r="C34" s="22" t="s">
        <v>72</v>
      </c>
      <c r="D34" s="22" t="s">
        <v>72</v>
      </c>
      <c r="E34" s="22" t="s">
        <v>72</v>
      </c>
      <c r="F34" s="22" t="s">
        <v>72</v>
      </c>
      <c r="G34" s="10" t="e">
        <f t="shared" si="19"/>
        <v>#DIV/0!</v>
      </c>
      <c r="H34" s="10" t="e">
        <f t="shared" si="19"/>
        <v>#DIV/0!</v>
      </c>
      <c r="I34" s="10">
        <f t="shared" si="21"/>
        <v>5.7926829268292845E-2</v>
      </c>
      <c r="J34" s="10" t="e">
        <f t="shared" si="21"/>
        <v>#DIV/0!</v>
      </c>
      <c r="K34" s="19"/>
      <c r="L34" s="22" t="s">
        <v>72</v>
      </c>
      <c r="M34" s="7">
        <f>M9/L9-1</f>
        <v>-2.6635784597567991E-2</v>
      </c>
      <c r="N34" s="7">
        <f t="shared" si="22"/>
        <v>-0.27186198691255203</v>
      </c>
      <c r="O34" s="7">
        <f t="shared" si="22"/>
        <v>0.22303921568627438</v>
      </c>
      <c r="P34" s="7">
        <f t="shared" si="22"/>
        <v>5.0100200400801542E-2</v>
      </c>
      <c r="Q34" s="7">
        <f t="shared" si="23"/>
        <v>-6.9338422391857391E-2</v>
      </c>
      <c r="R34" s="19"/>
      <c r="S34" s="19"/>
      <c r="T34" s="19"/>
      <c r="U34" s="19"/>
      <c r="V34" s="19"/>
    </row>
    <row r="35" spans="1:22" x14ac:dyDescent="0.25">
      <c r="B35" t="s">
        <v>90</v>
      </c>
      <c r="C35" s="22" t="s">
        <v>72</v>
      </c>
      <c r="D35" s="22" t="s">
        <v>72</v>
      </c>
      <c r="E35" s="22" t="s">
        <v>72</v>
      </c>
      <c r="F35" s="22" t="s">
        <v>72</v>
      </c>
      <c r="G35" s="10" t="e">
        <f t="shared" si="19"/>
        <v>#DIV/0!</v>
      </c>
      <c r="H35" s="10" t="e">
        <f t="shared" si="19"/>
        <v>#DIV/0!</v>
      </c>
      <c r="I35" s="10">
        <f t="shared" si="21"/>
        <v>0.1083247156153051</v>
      </c>
      <c r="J35" s="10" t="e">
        <f t="shared" si="21"/>
        <v>#DIV/0!</v>
      </c>
      <c r="L35" s="22" t="s">
        <v>72</v>
      </c>
      <c r="M35" s="7">
        <f>M10/L10-1</f>
        <v>-2.4267384761603061E-2</v>
      </c>
      <c r="N35" s="7">
        <f t="shared" si="22"/>
        <v>-0.28556121952011426</v>
      </c>
      <c r="O35" s="7">
        <f t="shared" si="22"/>
        <v>0.413038538447555</v>
      </c>
      <c r="P35" s="7">
        <f t="shared" si="22"/>
        <v>3.6198440138297094E-2</v>
      </c>
      <c r="Q35" s="7">
        <f>Q10/P10-1</f>
        <v>2.9145198336333555E-2</v>
      </c>
    </row>
    <row r="36" spans="1:22" x14ac:dyDescent="0.25">
      <c r="B36" t="s">
        <v>91</v>
      </c>
      <c r="C36" s="7" t="e">
        <f t="shared" ref="C36:J36" si="24">C12/C10</f>
        <v>#DIV/0!</v>
      </c>
      <c r="D36" s="7" t="e">
        <f t="shared" si="24"/>
        <v>#DIV/0!</v>
      </c>
      <c r="E36" s="7">
        <f t="shared" si="24"/>
        <v>0.66494312306101344</v>
      </c>
      <c r="F36" s="7" t="e">
        <f t="shared" si="24"/>
        <v>#DIV/0!</v>
      </c>
      <c r="G36" s="7" t="e">
        <f t="shared" si="24"/>
        <v>#DIV/0!</v>
      </c>
      <c r="H36" s="7" t="e">
        <f t="shared" si="24"/>
        <v>#DIV/0!</v>
      </c>
      <c r="I36" s="7">
        <f t="shared" si="24"/>
        <v>0.68397480755773266</v>
      </c>
      <c r="J36" s="7" t="e">
        <f t="shared" si="24"/>
        <v>#DIV/0!</v>
      </c>
      <c r="L36" s="7">
        <f t="shared" ref="L36:Q36" si="25">L12/L10</f>
        <v>0.61555520354823379</v>
      </c>
      <c r="M36" s="7">
        <f t="shared" si="25"/>
        <v>0.59308743790382801</v>
      </c>
      <c r="N36" s="7">
        <f t="shared" si="25"/>
        <v>0.65019996364297394</v>
      </c>
      <c r="O36" s="7">
        <f t="shared" si="25"/>
        <v>0.66696148588887993</v>
      </c>
      <c r="P36" s="7">
        <f t="shared" si="25"/>
        <v>0.64650195542864242</v>
      </c>
      <c r="Q36" s="7">
        <f t="shared" si="25"/>
        <v>0.66830533522333135</v>
      </c>
    </row>
    <row r="37" spans="1:22" x14ac:dyDescent="0.25">
      <c r="B37" t="s">
        <v>92</v>
      </c>
      <c r="C37" s="7" t="e">
        <f t="shared" ref="C37:J37" si="26">C17/C10</f>
        <v>#DIV/0!</v>
      </c>
      <c r="D37" s="7" t="e">
        <f t="shared" si="26"/>
        <v>#DIV/0!</v>
      </c>
      <c r="E37" s="7">
        <f t="shared" si="26"/>
        <v>0.16427094105480866</v>
      </c>
      <c r="F37" s="7" t="e">
        <f t="shared" si="26"/>
        <v>#DIV/0!</v>
      </c>
      <c r="G37" s="7" t="e">
        <f t="shared" si="26"/>
        <v>#DIV/0!</v>
      </c>
      <c r="H37" s="7" t="e">
        <f t="shared" si="26"/>
        <v>#DIV/0!</v>
      </c>
      <c r="I37" s="7">
        <f t="shared" si="26"/>
        <v>0.18180545836249118</v>
      </c>
      <c r="J37" s="7" t="e">
        <f t="shared" si="26"/>
        <v>#DIV/0!</v>
      </c>
      <c r="L37" s="7">
        <f t="shared" ref="L37:Q37" si="27">L17/L10</f>
        <v>8.8990971012197009E-2</v>
      </c>
      <c r="M37" s="7">
        <f t="shared" si="27"/>
        <v>5.1462709828241249E-2</v>
      </c>
      <c r="N37" s="7">
        <f t="shared" si="27"/>
        <v>-9.9072895837120315E-3</v>
      </c>
      <c r="O37" s="7">
        <f t="shared" si="27"/>
        <v>0.12839109109913968</v>
      </c>
      <c r="P37" s="7">
        <f t="shared" si="27"/>
        <v>0.10928673412378177</v>
      </c>
      <c r="Q37" s="7">
        <f t="shared" si="27"/>
        <v>0.11406339536146201</v>
      </c>
    </row>
    <row r="38" spans="1:22" x14ac:dyDescent="0.25">
      <c r="B38" t="s">
        <v>93</v>
      </c>
      <c r="C38" s="7" t="e">
        <f t="shared" ref="C38:J38" si="28">C23/C10</f>
        <v>#DIV/0!</v>
      </c>
      <c r="D38" s="7" t="e">
        <f t="shared" si="28"/>
        <v>#DIV/0!</v>
      </c>
      <c r="E38" s="7">
        <f t="shared" si="28"/>
        <v>0.1430196483971044</v>
      </c>
      <c r="F38" s="7" t="e">
        <f t="shared" si="28"/>
        <v>#DIV/0!</v>
      </c>
      <c r="G38" s="7" t="e">
        <f t="shared" si="28"/>
        <v>#DIV/0!</v>
      </c>
      <c r="H38" s="7" t="e">
        <f t="shared" si="28"/>
        <v>#DIV/0!</v>
      </c>
      <c r="I38" s="7">
        <f t="shared" si="28"/>
        <v>0.13874504315372047</v>
      </c>
      <c r="J38" s="7" t="e">
        <f t="shared" si="28"/>
        <v>#DIV/0!</v>
      </c>
      <c r="L38" s="7">
        <f t="shared" ref="L38:Q38" si="29">L23/L10</f>
        <v>6.8255979724378205E-2</v>
      </c>
      <c r="M38" s="7">
        <f t="shared" si="29"/>
        <v>6.2388389233416733E-2</v>
      </c>
      <c r="N38" s="7">
        <f t="shared" si="29"/>
        <v>-2.7517724050172675E-2</v>
      </c>
      <c r="O38" s="7">
        <f t="shared" si="29"/>
        <v>9.6502371954651459E-2</v>
      </c>
      <c r="P38" s="7">
        <f t="shared" si="29"/>
        <v>8.1119250108634966E-2</v>
      </c>
      <c r="Q38" s="7">
        <f t="shared" si="29"/>
        <v>9.7460566396235973E-2</v>
      </c>
      <c r="U38" s="17"/>
    </row>
    <row r="39" spans="1:22" x14ac:dyDescent="0.25">
      <c r="B39" t="s">
        <v>94</v>
      </c>
      <c r="C39" s="7" t="e">
        <f t="shared" ref="C39:J39" si="30">C22/C23</f>
        <v>#DIV/0!</v>
      </c>
      <c r="D39" s="7" t="e">
        <f t="shared" si="30"/>
        <v>#DIV/0!</v>
      </c>
      <c r="E39" s="7">
        <f t="shared" si="30"/>
        <v>0.19233550253073037</v>
      </c>
      <c r="F39" s="7" t="e">
        <f t="shared" si="30"/>
        <v>#DIV/0!</v>
      </c>
      <c r="G39" s="7" t="e">
        <f t="shared" si="30"/>
        <v>#DIV/0!</v>
      </c>
      <c r="H39" s="7" t="e">
        <f t="shared" si="30"/>
        <v>#DIV/0!</v>
      </c>
      <c r="I39" s="7">
        <f t="shared" si="30"/>
        <v>0.29018157363819791</v>
      </c>
      <c r="J39" s="7" t="e">
        <f t="shared" si="30"/>
        <v>#DIV/0!</v>
      </c>
      <c r="L39" s="7">
        <f t="shared" ref="L39:Q39" si="31">L22/L23</f>
        <v>0.35182176839173851</v>
      </c>
      <c r="M39" s="7">
        <f t="shared" si="31"/>
        <v>-0.15066354410616689</v>
      </c>
      <c r="N39" s="7">
        <f t="shared" si="31"/>
        <v>-0.38232865400495486</v>
      </c>
      <c r="O39" s="7">
        <f t="shared" si="31"/>
        <v>0.2574570904849191</v>
      </c>
      <c r="P39" s="7">
        <f t="shared" si="31"/>
        <v>0.32370384541802161</v>
      </c>
      <c r="Q39" s="7">
        <f t="shared" si="31"/>
        <v>0.20284697508896823</v>
      </c>
      <c r="R39" s="3">
        <v>27</v>
      </c>
    </row>
    <row r="41" spans="1:22" x14ac:dyDescent="0.25">
      <c r="Q41" s="10"/>
    </row>
    <row r="42" spans="1:22" x14ac:dyDescent="0.25">
      <c r="A42" s="5" t="s">
        <v>14</v>
      </c>
      <c r="B42" s="6" t="s">
        <v>95</v>
      </c>
    </row>
    <row r="44" spans="1:22" x14ac:dyDescent="0.25">
      <c r="B44" t="s">
        <v>96</v>
      </c>
      <c r="L44" s="3">
        <v>584.1</v>
      </c>
      <c r="M44" s="3">
        <v>1620.4</v>
      </c>
      <c r="N44" s="3">
        <v>2579</v>
      </c>
      <c r="O44" s="3">
        <v>1863.8</v>
      </c>
      <c r="P44" s="3">
        <v>1529.3</v>
      </c>
      <c r="Q44" s="3">
        <v>1662.2</v>
      </c>
    </row>
    <row r="45" spans="1:22" x14ac:dyDescent="0.25">
      <c r="B45" t="s">
        <v>97</v>
      </c>
      <c r="L45" s="3">
        <v>1403.4</v>
      </c>
      <c r="M45" s="3">
        <v>495.9</v>
      </c>
      <c r="N45" s="3">
        <v>197.5</v>
      </c>
      <c r="O45" s="3">
        <v>734.6</v>
      </c>
      <c r="P45" s="3">
        <v>36.4</v>
      </c>
      <c r="Q45" s="3">
        <v>121</v>
      </c>
    </row>
    <row r="46" spans="1:22" x14ac:dyDescent="0.25">
      <c r="B46" t="s">
        <v>98</v>
      </c>
      <c r="L46" s="3">
        <v>398.1</v>
      </c>
      <c r="M46" s="3">
        <v>277.10000000000002</v>
      </c>
      <c r="N46" s="3">
        <v>451.5</v>
      </c>
      <c r="O46" s="3">
        <v>405.4</v>
      </c>
      <c r="P46" s="3">
        <v>447.7</v>
      </c>
      <c r="Q46" s="3">
        <v>446.5</v>
      </c>
    </row>
    <row r="47" spans="1:22" x14ac:dyDescent="0.25">
      <c r="B47" t="s">
        <v>99</v>
      </c>
      <c r="L47" s="3">
        <v>817.8</v>
      </c>
      <c r="M47" s="3">
        <v>736.2</v>
      </c>
      <c r="N47" s="3">
        <v>759</v>
      </c>
      <c r="O47" s="3">
        <v>977.3</v>
      </c>
      <c r="P47" s="3">
        <v>1071.3</v>
      </c>
      <c r="Q47" s="3">
        <v>902.2</v>
      </c>
    </row>
    <row r="48" spans="1:22" x14ac:dyDescent="0.25">
      <c r="B48" t="s">
        <v>100</v>
      </c>
      <c r="L48" s="3">
        <v>32.1</v>
      </c>
      <c r="M48" s="3">
        <v>84.8</v>
      </c>
      <c r="N48" s="3">
        <v>54.4</v>
      </c>
      <c r="O48" s="3">
        <v>63.7</v>
      </c>
      <c r="P48" s="3">
        <v>50.7</v>
      </c>
      <c r="Q48" s="3">
        <v>56</v>
      </c>
    </row>
    <row r="49" spans="2:17" x14ac:dyDescent="0.25">
      <c r="B49" t="s">
        <v>101</v>
      </c>
      <c r="L49" s="3">
        <v>359.3</v>
      </c>
      <c r="M49" s="3">
        <v>160.80000000000001</v>
      </c>
      <c r="N49" s="3">
        <v>166.6</v>
      </c>
      <c r="O49" s="3">
        <v>172.5</v>
      </c>
      <c r="P49" s="3">
        <v>188.7</v>
      </c>
      <c r="Q49" s="3">
        <v>171.9</v>
      </c>
    </row>
    <row r="50" spans="2:17" x14ac:dyDescent="0.25">
      <c r="B50" s="2" t="s">
        <v>102</v>
      </c>
      <c r="L50" s="8">
        <f t="shared" ref="L50:P50" si="32">SUM(L44:L49)</f>
        <v>3594.7999999999997</v>
      </c>
      <c r="M50" s="8">
        <f t="shared" si="32"/>
        <v>3375.2000000000007</v>
      </c>
      <c r="N50" s="8">
        <f t="shared" si="32"/>
        <v>4208</v>
      </c>
      <c r="O50" s="8">
        <f t="shared" si="32"/>
        <v>4217.3</v>
      </c>
      <c r="P50" s="8">
        <f t="shared" si="32"/>
        <v>3324.0999999999995</v>
      </c>
      <c r="Q50" s="8">
        <f>SUM(Q44:Q49)</f>
        <v>3359.7999999999997</v>
      </c>
    </row>
    <row r="51" spans="2:17" x14ac:dyDescent="0.25">
      <c r="B51" t="s">
        <v>103</v>
      </c>
      <c r="L51" s="3">
        <v>1039.2</v>
      </c>
      <c r="M51" s="3">
        <v>979.5</v>
      </c>
      <c r="N51" s="3">
        <v>1014</v>
      </c>
      <c r="O51" s="3">
        <v>969.5</v>
      </c>
      <c r="P51" s="3">
        <v>955.5</v>
      </c>
      <c r="Q51" s="3">
        <v>850.4</v>
      </c>
    </row>
    <row r="52" spans="2:17" x14ac:dyDescent="0.25">
      <c r="B52" t="s">
        <v>104</v>
      </c>
      <c r="L52" s="3">
        <v>0</v>
      </c>
      <c r="M52" s="3">
        <v>1511.6</v>
      </c>
      <c r="N52" s="3">
        <v>1239.5</v>
      </c>
      <c r="O52" s="3">
        <v>1111.3</v>
      </c>
      <c r="P52" s="3">
        <v>1134</v>
      </c>
      <c r="Q52" s="3">
        <v>1014.6</v>
      </c>
    </row>
    <row r="53" spans="2:17" x14ac:dyDescent="0.25">
      <c r="B53" t="s">
        <v>105</v>
      </c>
      <c r="L53" s="3">
        <v>67</v>
      </c>
      <c r="M53" s="3">
        <v>245.2</v>
      </c>
      <c r="N53" s="3">
        <v>283.89999999999998</v>
      </c>
      <c r="O53" s="3">
        <v>303.8</v>
      </c>
      <c r="P53" s="3">
        <v>255.1</v>
      </c>
      <c r="Q53" s="3">
        <v>288.3</v>
      </c>
    </row>
    <row r="54" spans="2:17" x14ac:dyDescent="0.25">
      <c r="B54" t="s">
        <v>106</v>
      </c>
      <c r="L54" s="3">
        <v>919.6</v>
      </c>
      <c r="M54" s="3">
        <v>915.5</v>
      </c>
      <c r="N54" s="3">
        <v>934.6</v>
      </c>
      <c r="O54" s="3">
        <v>908.7</v>
      </c>
      <c r="P54" s="3">
        <v>898.9</v>
      </c>
      <c r="Q54" s="3">
        <v>888.1</v>
      </c>
    </row>
    <row r="55" spans="2:17" x14ac:dyDescent="0.25">
      <c r="B55" t="s">
        <v>107</v>
      </c>
      <c r="L55" s="3">
        <v>163.69999999999999</v>
      </c>
      <c r="M55" s="3">
        <v>141</v>
      </c>
      <c r="N55" s="3">
        <v>121.1</v>
      </c>
      <c r="O55" s="3">
        <v>102.9</v>
      </c>
      <c r="P55" s="3">
        <v>88.9</v>
      </c>
      <c r="Q55" s="3">
        <v>75.7</v>
      </c>
    </row>
    <row r="56" spans="2:17" x14ac:dyDescent="0.25">
      <c r="B56" t="s">
        <v>108</v>
      </c>
      <c r="L56" s="3">
        <v>158.5</v>
      </c>
      <c r="M56" s="3">
        <v>111.9</v>
      </c>
      <c r="N56" s="3">
        <v>86.4</v>
      </c>
      <c r="O56" s="3">
        <v>111.2</v>
      </c>
      <c r="P56" s="3">
        <v>133</v>
      </c>
      <c r="Q56" s="3">
        <v>125.7</v>
      </c>
    </row>
    <row r="57" spans="2:17" x14ac:dyDescent="0.25">
      <c r="B57" s="2" t="s">
        <v>109</v>
      </c>
      <c r="L57" s="8">
        <f t="shared" ref="L57:P57" si="33">SUM(L51:L56)</f>
        <v>2348</v>
      </c>
      <c r="M57" s="8">
        <f t="shared" si="33"/>
        <v>3904.7</v>
      </c>
      <c r="N57" s="8">
        <f t="shared" si="33"/>
        <v>3679.5</v>
      </c>
      <c r="O57" s="8">
        <f t="shared" si="33"/>
        <v>3507.4</v>
      </c>
      <c r="P57" s="8">
        <f t="shared" si="33"/>
        <v>3465.4</v>
      </c>
      <c r="Q57" s="8">
        <f>SUM(Q51:Q56)</f>
        <v>3242.7999999999997</v>
      </c>
    </row>
    <row r="59" spans="2:17" x14ac:dyDescent="0.25">
      <c r="B59" s="2" t="s">
        <v>110</v>
      </c>
      <c r="L59" s="8">
        <f t="shared" ref="L59:P59" si="34">L50+L57</f>
        <v>5942.7999999999993</v>
      </c>
      <c r="M59" s="8">
        <f t="shared" si="34"/>
        <v>7279.9000000000005</v>
      </c>
      <c r="N59" s="8">
        <f t="shared" si="34"/>
        <v>7887.5</v>
      </c>
      <c r="O59" s="8">
        <f t="shared" si="34"/>
        <v>7724.7000000000007</v>
      </c>
      <c r="P59" s="8">
        <f t="shared" si="34"/>
        <v>6789.5</v>
      </c>
      <c r="Q59" s="8">
        <f>Q50+Q57</f>
        <v>6602.5999999999995</v>
      </c>
    </row>
    <row r="61" spans="2:17" x14ac:dyDescent="0.25">
      <c r="B61" t="s">
        <v>111</v>
      </c>
      <c r="L61" s="3">
        <v>0</v>
      </c>
      <c r="M61" s="3">
        <v>774.6</v>
      </c>
      <c r="N61" s="3">
        <v>0</v>
      </c>
      <c r="O61" s="3">
        <v>499.8</v>
      </c>
      <c r="P61" s="3">
        <v>0</v>
      </c>
      <c r="Q61" s="3">
        <v>0</v>
      </c>
    </row>
    <row r="62" spans="2:17" x14ac:dyDescent="0.25">
      <c r="B62" t="s">
        <v>112</v>
      </c>
      <c r="L62" s="3">
        <v>202.3</v>
      </c>
      <c r="M62" s="3">
        <v>246.8</v>
      </c>
      <c r="N62" s="3">
        <v>355.9</v>
      </c>
      <c r="O62" s="3">
        <v>448.7</v>
      </c>
      <c r="P62" s="3">
        <v>371.6</v>
      </c>
      <c r="Q62" s="3">
        <v>332.2</v>
      </c>
    </row>
    <row r="63" spans="2:17" x14ac:dyDescent="0.25">
      <c r="B63" t="s">
        <v>113</v>
      </c>
      <c r="L63" s="3">
        <v>29.4</v>
      </c>
      <c r="M63" s="3">
        <v>65.099999999999994</v>
      </c>
      <c r="N63" s="3">
        <v>50.6</v>
      </c>
      <c r="O63" s="3">
        <v>53.8</v>
      </c>
      <c r="P63" s="3">
        <v>59.7</v>
      </c>
      <c r="Q63" s="3">
        <v>79.8</v>
      </c>
    </row>
    <row r="64" spans="2:17" x14ac:dyDescent="0.25">
      <c r="B64" t="s">
        <v>114</v>
      </c>
      <c r="L64" s="3">
        <v>0</v>
      </c>
      <c r="M64" s="3">
        <v>288.39999999999998</v>
      </c>
      <c r="N64" s="3">
        <v>302.89999999999998</v>
      </c>
      <c r="O64" s="3">
        <v>262</v>
      </c>
      <c r="P64" s="3">
        <v>266.7</v>
      </c>
      <c r="Q64" s="3">
        <v>245.5</v>
      </c>
    </row>
    <row r="65" spans="2:19" x14ac:dyDescent="0.25">
      <c r="B65" t="s">
        <v>115</v>
      </c>
      <c r="L65" s="3">
        <v>968.4</v>
      </c>
      <c r="M65" s="3">
        <v>717.1</v>
      </c>
      <c r="N65" s="3">
        <v>875.4</v>
      </c>
      <c r="O65" s="3">
        <v>991.4</v>
      </c>
      <c r="P65" s="3">
        <v>795.5</v>
      </c>
      <c r="Q65" s="3">
        <v>809.7</v>
      </c>
    </row>
    <row r="66" spans="2:19" x14ac:dyDescent="0.25">
      <c r="B66" s="2" t="s">
        <v>116</v>
      </c>
      <c r="L66" s="8">
        <f t="shared" ref="L66:M66" si="35">SUM(L61:L65)</f>
        <v>1200.0999999999999</v>
      </c>
      <c r="M66" s="8">
        <f t="shared" si="35"/>
        <v>2092</v>
      </c>
      <c r="N66" s="8">
        <f>SUM(N61:N65)</f>
        <v>1584.8</v>
      </c>
      <c r="O66" s="8">
        <f t="shared" ref="O66:Q66" si="36">SUM(O61:O65)</f>
        <v>2255.6999999999998</v>
      </c>
      <c r="P66" s="8">
        <f t="shared" si="36"/>
        <v>1493.5</v>
      </c>
      <c r="Q66" s="8">
        <f t="shared" si="36"/>
        <v>1467.2</v>
      </c>
    </row>
    <row r="67" spans="2:19" x14ac:dyDescent="0.25">
      <c r="B67" t="s">
        <v>117</v>
      </c>
      <c r="L67" s="3">
        <v>689.1</v>
      </c>
      <c r="M67" s="3">
        <v>396.4</v>
      </c>
      <c r="N67" s="3">
        <v>1632.9</v>
      </c>
      <c r="O67" s="3">
        <v>1136.5</v>
      </c>
      <c r="P67" s="3">
        <v>1138.5</v>
      </c>
      <c r="Q67" s="3">
        <v>1140.5</v>
      </c>
      <c r="S67" s="3"/>
    </row>
    <row r="68" spans="2:19" x14ac:dyDescent="0.25">
      <c r="B68" t="s">
        <v>118</v>
      </c>
      <c r="L68" s="3">
        <v>0</v>
      </c>
      <c r="M68" s="3">
        <v>0</v>
      </c>
      <c r="N68" s="3">
        <v>0</v>
      </c>
      <c r="O68" s="3">
        <v>341.6</v>
      </c>
      <c r="P68" s="3">
        <v>315.3</v>
      </c>
      <c r="Q68" s="3">
        <v>256.10000000000002</v>
      </c>
    </row>
    <row r="69" spans="2:19" x14ac:dyDescent="0.25">
      <c r="B69" t="s">
        <v>119</v>
      </c>
      <c r="L69" s="3">
        <v>0</v>
      </c>
      <c r="M69" s="3">
        <v>1568.3</v>
      </c>
      <c r="N69" s="3">
        <v>1294.5</v>
      </c>
      <c r="O69" s="3">
        <v>1132.2</v>
      </c>
      <c r="P69" s="3">
        <v>1141.0999999999999</v>
      </c>
      <c r="Q69" s="3">
        <v>1014</v>
      </c>
    </row>
    <row r="70" spans="2:19" x14ac:dyDescent="0.25">
      <c r="B70" t="s">
        <v>120</v>
      </c>
      <c r="L70" s="3">
        <v>146.69999999999999</v>
      </c>
      <c r="M70" s="3">
        <v>132.69999999999999</v>
      </c>
      <c r="N70" s="3">
        <v>118.7</v>
      </c>
      <c r="O70" s="3">
        <v>98.9</v>
      </c>
      <c r="P70" s="3">
        <v>75.900000000000006</v>
      </c>
      <c r="Q70" s="3">
        <v>42.2</v>
      </c>
    </row>
    <row r="71" spans="2:19" x14ac:dyDescent="0.25">
      <c r="B71" t="s">
        <v>121</v>
      </c>
      <c r="L71" s="3">
        <v>78.8</v>
      </c>
      <c r="M71" s="3">
        <v>88.9</v>
      </c>
      <c r="N71" s="3">
        <v>91.4</v>
      </c>
      <c r="O71" s="3">
        <v>91.9</v>
      </c>
      <c r="P71" s="3">
        <v>93.8</v>
      </c>
      <c r="Q71" s="3">
        <v>118.7</v>
      </c>
    </row>
    <row r="72" spans="2:19" x14ac:dyDescent="0.25">
      <c r="B72" t="s">
        <v>122</v>
      </c>
      <c r="L72" s="3">
        <v>540.9</v>
      </c>
      <c r="M72" s="3">
        <v>308.5</v>
      </c>
      <c r="N72" s="3">
        <v>560.79999999999995</v>
      </c>
      <c r="O72" s="3">
        <v>131.9</v>
      </c>
      <c r="P72" s="3">
        <v>100.9</v>
      </c>
      <c r="Q72" s="3">
        <v>113.6</v>
      </c>
    </row>
    <row r="73" spans="2:19" x14ac:dyDescent="0.25">
      <c r="B73" s="2" t="s">
        <v>123</v>
      </c>
      <c r="L73" s="8">
        <f t="shared" ref="L73:P73" si="37">SUM(L67:L72)</f>
        <v>1455.5</v>
      </c>
      <c r="M73" s="8">
        <f t="shared" si="37"/>
        <v>2494.7999999999997</v>
      </c>
      <c r="N73" s="8">
        <f>SUM(N67:N72)</f>
        <v>3698.3</v>
      </c>
      <c r="O73" s="8">
        <f t="shared" si="37"/>
        <v>2933.0000000000005</v>
      </c>
      <c r="P73" s="8">
        <f t="shared" si="37"/>
        <v>2865.5</v>
      </c>
      <c r="Q73" s="8">
        <f>SUM(Q67:Q72)</f>
        <v>2685.0999999999995</v>
      </c>
    </row>
    <row r="75" spans="2:19" x14ac:dyDescent="0.25">
      <c r="B75" s="2" t="s">
        <v>124</v>
      </c>
      <c r="L75" s="8">
        <f t="shared" ref="L75:P75" si="38">L66+L73</f>
        <v>2655.6</v>
      </c>
      <c r="M75" s="8">
        <f t="shared" si="38"/>
        <v>4586.7999999999993</v>
      </c>
      <c r="N75" s="8">
        <f>N66+N73</f>
        <v>5283.1</v>
      </c>
      <c r="O75" s="8">
        <f t="shared" si="38"/>
        <v>5188.7000000000007</v>
      </c>
      <c r="P75" s="8">
        <f t="shared" si="38"/>
        <v>4359</v>
      </c>
      <c r="Q75" s="8">
        <f>Q66+Q73</f>
        <v>4152.2999999999993</v>
      </c>
    </row>
    <row r="77" spans="2:19" x14ac:dyDescent="0.25">
      <c r="B77" t="s">
        <v>125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1.1000000000000001</v>
      </c>
    </row>
    <row r="78" spans="2:19" x14ac:dyDescent="0.25">
      <c r="B78" t="s">
        <v>126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0.2</v>
      </c>
    </row>
    <row r="79" spans="2:19" x14ac:dyDescent="0.25">
      <c r="B79" t="s">
        <v>127</v>
      </c>
      <c r="L79" s="3">
        <v>2493.8000000000002</v>
      </c>
      <c r="M79" s="3">
        <v>2594.4</v>
      </c>
      <c r="N79" s="3">
        <v>2667.1</v>
      </c>
      <c r="O79" s="3">
        <v>2748.8</v>
      </c>
      <c r="P79" s="3">
        <v>2824.3</v>
      </c>
      <c r="Q79" s="3">
        <v>2923.8</v>
      </c>
    </row>
    <row r="80" spans="2:19" x14ac:dyDescent="0.25">
      <c r="B80" t="s">
        <v>128</v>
      </c>
      <c r="L80" s="3">
        <v>5979.1</v>
      </c>
      <c r="M80" s="3">
        <v>5994</v>
      </c>
      <c r="N80" s="3">
        <v>5872.9</v>
      </c>
      <c r="O80" s="3">
        <v>6274.9</v>
      </c>
      <c r="P80" s="3">
        <v>6598.2</v>
      </c>
      <c r="Q80" s="3">
        <v>7051.6</v>
      </c>
    </row>
    <row r="81" spans="1:17" x14ac:dyDescent="0.25">
      <c r="B81" t="s">
        <v>129</v>
      </c>
      <c r="L81" s="3">
        <v>-5083.6000000000004</v>
      </c>
      <c r="M81" s="3">
        <v>-5778.4</v>
      </c>
      <c r="N81" s="3">
        <v>-5816.1</v>
      </c>
      <c r="O81" s="3">
        <v>-6308.7</v>
      </c>
      <c r="P81" s="3">
        <v>-6797.3</v>
      </c>
      <c r="Q81" s="3">
        <v>-7250.3</v>
      </c>
    </row>
    <row r="82" spans="1:17" x14ac:dyDescent="0.25">
      <c r="B82" t="s">
        <v>130</v>
      </c>
      <c r="L82" s="3">
        <v>-103.4</v>
      </c>
      <c r="M82" s="3">
        <v>-118.2</v>
      </c>
      <c r="N82" s="3">
        <v>-120.8</v>
      </c>
      <c r="O82" s="3">
        <v>-180.3</v>
      </c>
      <c r="P82" s="3">
        <v>-196</v>
      </c>
      <c r="Q82" s="3">
        <v>-276.10000000000002</v>
      </c>
    </row>
    <row r="83" spans="1:17" x14ac:dyDescent="0.25">
      <c r="B83" s="2" t="s">
        <v>131</v>
      </c>
      <c r="L83" s="8">
        <f t="shared" ref="L83:P83" si="39">SUM(L77:L82)</f>
        <v>3287.2000000000003</v>
      </c>
      <c r="M83" s="8">
        <f t="shared" si="39"/>
        <v>2693.1000000000013</v>
      </c>
      <c r="N83" s="8">
        <f t="shared" si="39"/>
        <v>2604.3999999999987</v>
      </c>
      <c r="O83" s="8">
        <f t="shared" si="39"/>
        <v>2536</v>
      </c>
      <c r="P83" s="8">
        <f t="shared" si="39"/>
        <v>2430.4999999999991</v>
      </c>
      <c r="Q83" s="8">
        <f>SUM(Q77:Q82)</f>
        <v>2450.3000000000006</v>
      </c>
    </row>
    <row r="85" spans="1:17" x14ac:dyDescent="0.25">
      <c r="B85" s="2" t="s">
        <v>132</v>
      </c>
      <c r="C85" s="2"/>
      <c r="D85" s="2"/>
      <c r="E85" s="2"/>
      <c r="F85" s="2"/>
      <c r="G85" s="2"/>
      <c r="H85" s="2"/>
      <c r="I85" s="2"/>
      <c r="J85" s="2"/>
      <c r="K85" s="2"/>
      <c r="L85" s="8">
        <f t="shared" ref="L85:O85" si="40">L83+L75</f>
        <v>5942.8</v>
      </c>
      <c r="M85" s="8">
        <f t="shared" si="40"/>
        <v>7279.9000000000005</v>
      </c>
      <c r="N85" s="8">
        <f>N83+N75</f>
        <v>7887.4999999999991</v>
      </c>
      <c r="O85" s="8">
        <f t="shared" si="40"/>
        <v>7724.7000000000007</v>
      </c>
      <c r="P85" s="8">
        <f>P83+P75</f>
        <v>6789.4999999999991</v>
      </c>
      <c r="Q85" s="8">
        <f>Q83+Q75</f>
        <v>6602.6</v>
      </c>
    </row>
    <row r="88" spans="1:17" x14ac:dyDescent="0.25">
      <c r="A88" s="5" t="s">
        <v>14</v>
      </c>
      <c r="B88" s="6" t="s">
        <v>133</v>
      </c>
    </row>
    <row r="90" spans="1:17" x14ac:dyDescent="0.25">
      <c r="B90" t="s">
        <v>87</v>
      </c>
      <c r="L90" s="3">
        <f t="shared" ref="L90:Q90" si="41">L23</f>
        <v>430.89999999999964</v>
      </c>
      <c r="M90" s="3">
        <f t="shared" si="41"/>
        <v>384.30000000000041</v>
      </c>
      <c r="N90" s="3">
        <f t="shared" si="41"/>
        <v>-121.09999999999991</v>
      </c>
      <c r="O90" s="3">
        <f t="shared" si="41"/>
        <v>600.10000000000014</v>
      </c>
      <c r="P90" s="3">
        <f t="shared" si="41"/>
        <v>522.70000000000027</v>
      </c>
      <c r="Q90" s="3">
        <f t="shared" si="41"/>
        <v>646.29999999999916</v>
      </c>
    </row>
    <row r="91" spans="1:17" x14ac:dyDescent="0.25">
      <c r="B91" t="s">
        <v>134</v>
      </c>
      <c r="L91" s="3">
        <v>281.3</v>
      </c>
      <c r="M91" s="3">
        <v>269.5</v>
      </c>
      <c r="N91" s="3">
        <v>247.6</v>
      </c>
      <c r="O91" s="3">
        <v>229.7</v>
      </c>
      <c r="P91" s="3">
        <v>220.5</v>
      </c>
      <c r="Q91" s="3">
        <v>229</v>
      </c>
    </row>
    <row r="92" spans="1:17" x14ac:dyDescent="0.25">
      <c r="B92" t="s">
        <v>135</v>
      </c>
      <c r="L92" s="3">
        <v>8.5</v>
      </c>
      <c r="M92" s="3">
        <v>-168.8</v>
      </c>
      <c r="N92" s="3">
        <v>35.6</v>
      </c>
      <c r="O92" s="3">
        <v>-46.1</v>
      </c>
      <c r="P92" s="3">
        <v>3.9</v>
      </c>
      <c r="Q92" s="3">
        <v>-41.1</v>
      </c>
    </row>
    <row r="93" spans="1:17" x14ac:dyDescent="0.25">
      <c r="B93" t="s">
        <v>136</v>
      </c>
      <c r="L93" s="3">
        <v>11.6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25">
      <c r="B94" t="s">
        <v>137</v>
      </c>
      <c r="L94" s="3">
        <v>88.6</v>
      </c>
      <c r="M94" s="3">
        <v>100.6</v>
      </c>
      <c r="N94" s="3">
        <v>72.7</v>
      </c>
      <c r="O94" s="3">
        <v>81.7</v>
      </c>
      <c r="P94" s="3">
        <v>75.5</v>
      </c>
      <c r="Q94" s="3">
        <v>99.5</v>
      </c>
    </row>
    <row r="95" spans="1:17" x14ac:dyDescent="0.25">
      <c r="B95" t="s">
        <v>78</v>
      </c>
      <c r="L95" s="3">
        <v>25.8</v>
      </c>
      <c r="M95" s="3">
        <v>38.700000000000003</v>
      </c>
      <c r="N95" s="3">
        <v>96</v>
      </c>
      <c r="O95" s="3">
        <v>21.3</v>
      </c>
      <c r="P95" s="3">
        <v>9.6999999999999993</v>
      </c>
      <c r="Q95" s="3">
        <v>0</v>
      </c>
    </row>
    <row r="96" spans="1:17" x14ac:dyDescent="0.25">
      <c r="B96" t="s">
        <v>138</v>
      </c>
      <c r="L96" s="3">
        <v>0.4</v>
      </c>
      <c r="M96" s="3">
        <v>58.7</v>
      </c>
      <c r="N96" s="3">
        <v>-27.6</v>
      </c>
      <c r="O96" s="3">
        <v>-2.2000000000000002</v>
      </c>
      <c r="P96" s="3">
        <v>2.2999999999999998</v>
      </c>
      <c r="Q96" s="3">
        <v>7.3</v>
      </c>
    </row>
    <row r="97" spans="2:17" x14ac:dyDescent="0.25">
      <c r="B97" t="s">
        <v>139</v>
      </c>
      <c r="L97" s="3">
        <v>6.5</v>
      </c>
      <c r="M97" s="3">
        <v>-2.2999999999999998</v>
      </c>
      <c r="N97" s="3">
        <v>1.8</v>
      </c>
      <c r="O97" s="3">
        <v>1</v>
      </c>
      <c r="P97" s="3">
        <v>1</v>
      </c>
      <c r="Q97" s="3">
        <v>13.7</v>
      </c>
    </row>
    <row r="98" spans="2:17" x14ac:dyDescent="0.25">
      <c r="B98" s="9" t="s">
        <v>140</v>
      </c>
    </row>
    <row r="99" spans="2:17" x14ac:dyDescent="0.25">
      <c r="B99" t="s">
        <v>141</v>
      </c>
      <c r="L99" s="3">
        <v>10.1</v>
      </c>
      <c r="M99" s="3">
        <v>57.6</v>
      </c>
      <c r="N99" s="3">
        <v>-143</v>
      </c>
      <c r="O99" s="3">
        <v>32.4</v>
      </c>
      <c r="P99" s="3">
        <v>-52.6</v>
      </c>
      <c r="Q99" s="3">
        <v>-15.3</v>
      </c>
    </row>
    <row r="100" spans="2:17" x14ac:dyDescent="0.25">
      <c r="B100" t="s">
        <v>142</v>
      </c>
      <c r="L100" s="3">
        <v>-83.6</v>
      </c>
      <c r="M100" s="3">
        <v>72.3</v>
      </c>
      <c r="N100" s="3">
        <v>3.7</v>
      </c>
      <c r="O100" s="3">
        <v>-269.3</v>
      </c>
      <c r="P100" s="3">
        <v>-106.2</v>
      </c>
      <c r="Q100" s="3">
        <v>149.1</v>
      </c>
    </row>
    <row r="101" spans="2:17" x14ac:dyDescent="0.25">
      <c r="B101" t="s">
        <v>143</v>
      </c>
      <c r="L101" s="3">
        <v>-40.5</v>
      </c>
      <c r="M101" s="3">
        <v>58.2</v>
      </c>
      <c r="N101" s="3">
        <v>5.2</v>
      </c>
      <c r="O101" s="3">
        <v>-28.3</v>
      </c>
      <c r="P101" s="3">
        <v>-19.899999999999999</v>
      </c>
      <c r="Q101" s="3">
        <v>16.100000000000001</v>
      </c>
    </row>
    <row r="102" spans="2:17" x14ac:dyDescent="0.25">
      <c r="B102" t="s">
        <v>144</v>
      </c>
      <c r="L102" s="3">
        <v>-4.7</v>
      </c>
      <c r="M102" s="3">
        <v>-64.3</v>
      </c>
      <c r="N102" s="3">
        <v>296.8</v>
      </c>
      <c r="O102" s="3">
        <v>194.6</v>
      </c>
      <c r="P102" s="3">
        <v>-225</v>
      </c>
      <c r="Q102" s="3">
        <v>15.6</v>
      </c>
    </row>
    <row r="103" spans="2:17" x14ac:dyDescent="0.25">
      <c r="B103" t="s">
        <v>145</v>
      </c>
      <c r="L103" s="3">
        <v>29.7</v>
      </c>
      <c r="M103" s="3">
        <v>-42.5</v>
      </c>
      <c r="N103" s="3">
        <v>-37.799999999999997</v>
      </c>
      <c r="O103" s="3">
        <v>-62.3</v>
      </c>
      <c r="P103" s="3">
        <v>5.7</v>
      </c>
      <c r="Q103" s="3">
        <v>-18.5</v>
      </c>
    </row>
    <row r="104" spans="2:17" x14ac:dyDescent="0.25">
      <c r="B104" t="s">
        <v>146</v>
      </c>
      <c r="L104" s="3">
        <v>-16.5</v>
      </c>
      <c r="M104" s="3">
        <v>0</v>
      </c>
      <c r="N104" s="3">
        <v>-3.2</v>
      </c>
      <c r="O104" s="3">
        <v>-61.6</v>
      </c>
      <c r="P104" s="3">
        <v>-17.5</v>
      </c>
      <c r="Q104" s="3">
        <v>-36.299999999999997</v>
      </c>
    </row>
    <row r="105" spans="2:17" x14ac:dyDescent="0.25">
      <c r="B105" t="s">
        <v>147</v>
      </c>
      <c r="L105" s="3">
        <v>35.700000000000003</v>
      </c>
      <c r="M105" s="3">
        <v>-7.4</v>
      </c>
      <c r="N105" s="3">
        <v>-45.8</v>
      </c>
      <c r="O105" s="3">
        <v>24.9</v>
      </c>
      <c r="P105" s="3">
        <v>-9.1</v>
      </c>
      <c r="Q105" s="3">
        <v>4.3</v>
      </c>
    </row>
    <row r="106" spans="2:17" x14ac:dyDescent="0.25">
      <c r="B106" s="2" t="s">
        <v>148</v>
      </c>
      <c r="L106" s="8">
        <f t="shared" ref="L106:P106" si="42">L90+SUM(L91:L97)+SUM(L99:L105)</f>
        <v>783.79999999999973</v>
      </c>
      <c r="M106" s="8">
        <f>M90+SUM(M91:M97)+SUM(M99:M105)</f>
        <v>754.60000000000036</v>
      </c>
      <c r="N106" s="8">
        <f t="shared" si="42"/>
        <v>380.90000000000003</v>
      </c>
      <c r="O106" s="8">
        <f t="shared" si="42"/>
        <v>715.90000000000032</v>
      </c>
      <c r="P106" s="8">
        <f t="shared" si="42"/>
        <v>411.00000000000017</v>
      </c>
      <c r="Q106" s="8">
        <f>Q90+SUM(Q91:Q97)+SUM(Q99:Q105)</f>
        <v>1069.6999999999991</v>
      </c>
    </row>
    <row r="107" spans="2:17" x14ac:dyDescent="0.25">
      <c r="B107" t="s">
        <v>149</v>
      </c>
      <c r="L107" s="3">
        <v>-197.7</v>
      </c>
      <c r="M107" s="3">
        <v>-270.3</v>
      </c>
      <c r="N107" s="3">
        <v>-107.8</v>
      </c>
      <c r="O107" s="3">
        <v>-166.9</v>
      </c>
      <c r="P107" s="3">
        <v>-217.5</v>
      </c>
      <c r="Q107" s="3">
        <v>-164.8</v>
      </c>
    </row>
    <row r="108" spans="2:17" x14ac:dyDescent="0.25">
      <c r="B108" t="s">
        <v>150</v>
      </c>
      <c r="L108" s="3">
        <v>-3030.8</v>
      </c>
      <c r="M108" s="3">
        <v>-1289.7</v>
      </c>
      <c r="N108" s="3">
        <v>-704.6</v>
      </c>
      <c r="O108" s="3">
        <v>-1510.6</v>
      </c>
      <c r="P108" s="3">
        <v>-598.6</v>
      </c>
      <c r="Q108" s="3">
        <v>-392.8</v>
      </c>
    </row>
    <row r="109" spans="2:17" x14ac:dyDescent="0.25">
      <c r="B109" t="s">
        <v>151</v>
      </c>
      <c r="L109" s="3">
        <v>2357.5</v>
      </c>
      <c r="M109" s="3">
        <v>2240.4</v>
      </c>
      <c r="N109" s="3">
        <v>1007.2</v>
      </c>
      <c r="O109" s="3">
        <v>964.6</v>
      </c>
      <c r="P109" s="3">
        <v>1293.4000000000001</v>
      </c>
      <c r="Q109" s="3">
        <v>304.3</v>
      </c>
    </row>
    <row r="110" spans="2:17" x14ac:dyDescent="0.25">
      <c r="B110" t="s">
        <v>152</v>
      </c>
      <c r="L110" s="3">
        <v>20</v>
      </c>
      <c r="M110" s="3">
        <v>20.8</v>
      </c>
      <c r="N110" s="3">
        <v>0</v>
      </c>
      <c r="O110" s="3">
        <v>0</v>
      </c>
      <c r="P110" s="3">
        <v>0</v>
      </c>
      <c r="Q110" s="3">
        <v>0</v>
      </c>
    </row>
    <row r="111" spans="2:17" x14ac:dyDescent="0.25">
      <c r="B111" t="s">
        <v>153</v>
      </c>
      <c r="L111" s="3">
        <f>-23.8-4.5</f>
        <v>-28.3</v>
      </c>
      <c r="M111" s="3">
        <v>0.9</v>
      </c>
      <c r="N111" s="3">
        <v>0.2</v>
      </c>
      <c r="O111" s="3">
        <v>-5</v>
      </c>
      <c r="P111" s="3">
        <v>-5.8</v>
      </c>
      <c r="Q111" s="3">
        <v>-3.5</v>
      </c>
    </row>
    <row r="112" spans="2:17" x14ac:dyDescent="0.25">
      <c r="B112" s="2" t="s">
        <v>154</v>
      </c>
      <c r="L112" s="8">
        <f t="shared" ref="L112:P112" si="43">SUM(L107:L111)</f>
        <v>-879.3</v>
      </c>
      <c r="M112" s="8">
        <f t="shared" si="43"/>
        <v>702.1</v>
      </c>
      <c r="N112" s="8">
        <f t="shared" si="43"/>
        <v>195.00000000000006</v>
      </c>
      <c r="O112" s="8">
        <f t="shared" si="43"/>
        <v>-717.9</v>
      </c>
      <c r="P112" s="8">
        <f t="shared" si="43"/>
        <v>471.50000000000006</v>
      </c>
      <c r="Q112" s="8">
        <f>SUM(Q107:Q111)</f>
        <v>-256.8</v>
      </c>
    </row>
    <row r="113" spans="2:17" x14ac:dyDescent="0.25">
      <c r="B113" t="s">
        <v>155</v>
      </c>
      <c r="L113" s="3">
        <v>0</v>
      </c>
      <c r="M113" s="3">
        <v>475</v>
      </c>
      <c r="N113" s="3">
        <v>0</v>
      </c>
      <c r="O113" s="3">
        <v>0</v>
      </c>
      <c r="P113" s="3">
        <v>0</v>
      </c>
      <c r="Q113" s="3">
        <v>0</v>
      </c>
    </row>
    <row r="114" spans="2:17" x14ac:dyDescent="0.25">
      <c r="B114" t="s">
        <v>156</v>
      </c>
      <c r="L114" s="3">
        <v>-9.9</v>
      </c>
      <c r="M114" s="3">
        <v>0</v>
      </c>
      <c r="N114" s="3">
        <v>-475</v>
      </c>
      <c r="O114" s="3">
        <v>0</v>
      </c>
      <c r="P114" s="3">
        <v>0</v>
      </c>
      <c r="Q114" s="3">
        <v>0</v>
      </c>
    </row>
    <row r="115" spans="2:17" x14ac:dyDescent="0.25">
      <c r="B115" t="s">
        <v>157</v>
      </c>
      <c r="L115" s="3">
        <v>398.1</v>
      </c>
      <c r="M115" s="3">
        <v>0</v>
      </c>
      <c r="N115" s="3">
        <v>1241.9000000000001</v>
      </c>
      <c r="O115" s="3">
        <v>0</v>
      </c>
      <c r="P115" s="3">
        <v>0</v>
      </c>
      <c r="Q115" s="3">
        <v>0</v>
      </c>
    </row>
    <row r="116" spans="2:17" x14ac:dyDescent="0.25">
      <c r="B116" t="s">
        <v>158</v>
      </c>
      <c r="L116" s="3">
        <v>-300</v>
      </c>
      <c r="M116" s="3">
        <v>0</v>
      </c>
      <c r="N116" s="3">
        <v>-300</v>
      </c>
      <c r="O116" s="3">
        <v>0</v>
      </c>
      <c r="P116" s="3">
        <v>-500</v>
      </c>
      <c r="Q116" s="3">
        <v>0</v>
      </c>
    </row>
    <row r="117" spans="2:17" x14ac:dyDescent="0.25">
      <c r="B117" t="s">
        <v>159</v>
      </c>
      <c r="L117" s="3">
        <v>-19.600000000000001</v>
      </c>
      <c r="M117" s="3">
        <v>-13.6</v>
      </c>
      <c r="N117" s="3">
        <v>-13.9</v>
      </c>
      <c r="O117" s="3">
        <v>-23.1</v>
      </c>
      <c r="P117" s="3">
        <v>-21.9</v>
      </c>
      <c r="Q117" s="3">
        <v>-21.3</v>
      </c>
    </row>
    <row r="118" spans="2:17" x14ac:dyDescent="0.25">
      <c r="B118" t="s">
        <v>160</v>
      </c>
      <c r="L118" s="3">
        <v>-190.7</v>
      </c>
      <c r="M118" s="3">
        <v>-203.9</v>
      </c>
      <c r="N118" s="3">
        <v>-49.8</v>
      </c>
      <c r="O118" s="3">
        <v>-150</v>
      </c>
      <c r="P118" s="3">
        <v>-198.3</v>
      </c>
      <c r="Q118" s="3">
        <v>-194.6</v>
      </c>
    </row>
    <row r="119" spans="2:17" x14ac:dyDescent="0.25">
      <c r="B119" t="s">
        <v>161</v>
      </c>
      <c r="L119" s="3">
        <v>-502.6</v>
      </c>
      <c r="M119" s="3">
        <v>-694.8</v>
      </c>
      <c r="N119" s="3">
        <v>-37.700000000000003</v>
      </c>
      <c r="O119" s="3">
        <v>-492.6</v>
      </c>
      <c r="P119" s="3">
        <v>-488.6</v>
      </c>
      <c r="Q119" s="3">
        <v>-449.7</v>
      </c>
    </row>
    <row r="120" spans="2:17" x14ac:dyDescent="0.25">
      <c r="B120" t="s">
        <v>162</v>
      </c>
      <c r="L120" s="3">
        <f>21.8-2.8</f>
        <v>19</v>
      </c>
      <c r="M120" s="3">
        <v>-0.9</v>
      </c>
      <c r="N120" s="3">
        <v>-8.6999999999999993</v>
      </c>
      <c r="O120" s="3">
        <v>0</v>
      </c>
      <c r="P120" s="3">
        <v>0</v>
      </c>
      <c r="Q120" s="3">
        <v>0</v>
      </c>
    </row>
    <row r="121" spans="2:17" x14ac:dyDescent="0.25">
      <c r="B121" s="2" t="s">
        <v>163</v>
      </c>
      <c r="C121" s="2"/>
      <c r="D121" s="2"/>
      <c r="E121" s="2"/>
      <c r="F121" s="2"/>
      <c r="G121" s="2"/>
      <c r="H121" s="2"/>
      <c r="I121" s="2"/>
      <c r="J121" s="2"/>
      <c r="K121" s="2"/>
      <c r="L121" s="8">
        <f t="shared" ref="L121:N121" si="44">SUM(L113:L120)</f>
        <v>-605.69999999999993</v>
      </c>
      <c r="M121" s="8">
        <f t="shared" si="44"/>
        <v>-438.19999999999993</v>
      </c>
      <c r="N121" s="8">
        <f t="shared" si="44"/>
        <v>356.80000000000013</v>
      </c>
      <c r="O121" s="8">
        <f>SUM(O113:O120)</f>
        <v>-665.7</v>
      </c>
      <c r="P121" s="8">
        <f t="shared" ref="P121:Q121" si="45">SUM(P113:P120)</f>
        <v>-1208.8000000000002</v>
      </c>
      <c r="Q121" s="8">
        <f t="shared" si="45"/>
        <v>-665.6</v>
      </c>
    </row>
    <row r="122" spans="2:17" x14ac:dyDescent="0.25">
      <c r="B122" t="s">
        <v>164</v>
      </c>
      <c r="L122" s="3">
        <v>-27.8</v>
      </c>
      <c r="M122" s="3">
        <v>-15.2</v>
      </c>
      <c r="N122" s="3">
        <v>25.5</v>
      </c>
      <c r="O122" s="3">
        <v>-48.3</v>
      </c>
      <c r="P122" s="3">
        <v>-8.8000000000000007</v>
      </c>
      <c r="Q122" s="3">
        <v>-13.6</v>
      </c>
    </row>
    <row r="123" spans="2:17" x14ac:dyDescent="0.25">
      <c r="B123" s="2" t="s">
        <v>165</v>
      </c>
      <c r="L123" s="8">
        <f t="shared" ref="L123:P123" si="46">L106+L112+L121+L122</f>
        <v>-729.00000000000011</v>
      </c>
      <c r="M123" s="8">
        <f t="shared" si="46"/>
        <v>1003.3000000000003</v>
      </c>
      <c r="N123" s="8">
        <f t="shared" si="46"/>
        <v>958.20000000000027</v>
      </c>
      <c r="O123" s="8">
        <f t="shared" si="46"/>
        <v>-715.99999999999966</v>
      </c>
      <c r="P123" s="8">
        <f t="shared" si="46"/>
        <v>-335.09999999999997</v>
      </c>
      <c r="Q123" s="8">
        <f>Q106+Q112+Q121+Q122</f>
        <v>133.69999999999916</v>
      </c>
    </row>
    <row r="124" spans="2:17" x14ac:dyDescent="0.25">
      <c r="B124" t="s">
        <v>166</v>
      </c>
      <c r="L124" s="3">
        <f>L125-L123</f>
        <v>1355.4999999999991</v>
      </c>
      <c r="M124" s="3">
        <f>M125-M123</f>
        <v>626.49999999999898</v>
      </c>
      <c r="N124" s="3">
        <f>N125-N123</f>
        <v>1629.7999999999993</v>
      </c>
      <c r="O124" s="3">
        <f>O125-O123</f>
        <v>2587.9999999999995</v>
      </c>
      <c r="P124" s="3">
        <f>P125-P123</f>
        <v>1872</v>
      </c>
      <c r="Q124" s="3">
        <v>1536.9</v>
      </c>
    </row>
    <row r="125" spans="2:17" x14ac:dyDescent="0.25">
      <c r="B125" t="s">
        <v>167</v>
      </c>
      <c r="L125" s="3">
        <f>M124</f>
        <v>626.49999999999898</v>
      </c>
      <c r="M125" s="3">
        <f>N124</f>
        <v>1629.7999999999993</v>
      </c>
      <c r="N125" s="3">
        <f>O124</f>
        <v>2587.9999999999995</v>
      </c>
      <c r="O125" s="3">
        <f>P124</f>
        <v>1872</v>
      </c>
      <c r="P125" s="3">
        <f>Q124</f>
        <v>1536.9</v>
      </c>
      <c r="Q125" s="3">
        <f>Q124+Q123</f>
        <v>1670.5999999999992</v>
      </c>
    </row>
  </sheetData>
  <hyperlinks>
    <hyperlink ref="A1" location="Main!A1" display="Main" xr:uid="{5A46FF83-2395-41B8-B04B-7AA595AC8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CB99-A63D-488B-8623-A5EEB19E3317}">
  <dimension ref="A1:P63"/>
  <sheetViews>
    <sheetView zoomScale="200" zoomScaleNormal="200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F52" sqref="F52"/>
    </sheetView>
  </sheetViews>
  <sheetFormatPr defaultRowHeight="15" x14ac:dyDescent="0.25"/>
  <cols>
    <col min="1" max="1" width="4.5703125" customWidth="1"/>
    <col min="2" max="2" width="35" customWidth="1"/>
    <col min="4" max="5" width="8.85546875" bestFit="1" customWidth="1"/>
    <col min="6" max="6" width="9" bestFit="1" customWidth="1"/>
    <col min="7" max="9" width="8.85546875" bestFit="1" customWidth="1"/>
  </cols>
  <sheetData>
    <row r="1" spans="1:14" x14ac:dyDescent="0.25">
      <c r="A1" s="1" t="s">
        <v>63</v>
      </c>
    </row>
    <row r="2" spans="1:14" x14ac:dyDescent="0.25">
      <c r="B2" s="6" t="s">
        <v>10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K2" t="s">
        <v>168</v>
      </c>
      <c r="L2" t="s">
        <v>169</v>
      </c>
      <c r="N2" t="s">
        <v>170</v>
      </c>
    </row>
    <row r="3" spans="1:14" x14ac:dyDescent="0.25">
      <c r="B3" s="6" t="s">
        <v>171</v>
      </c>
    </row>
    <row r="4" spans="1:14" x14ac:dyDescent="0.25">
      <c r="B4" t="s">
        <v>172</v>
      </c>
      <c r="D4" s="10">
        <f>Model!L23/Model!L83</f>
        <v>0.13108420540277427</v>
      </c>
      <c r="E4" s="10">
        <f>Model!M23/Model!M83</f>
        <v>0.14269800601537269</v>
      </c>
      <c r="F4" s="10">
        <f>Model!N23/Model!N83</f>
        <v>-4.649823375825525E-2</v>
      </c>
      <c r="G4" s="10">
        <f>Model!O23/Model!O83</f>
        <v>0.23663249211356471</v>
      </c>
      <c r="H4" s="10">
        <f>Model!P23/Model!P83</f>
        <v>0.21505862991154104</v>
      </c>
      <c r="I4" s="10">
        <f>Model!Q23/Model!Q83</f>
        <v>0.26376362078112842</v>
      </c>
      <c r="J4" s="10"/>
      <c r="K4" s="13">
        <f>AVERAGE(G4:I4,D4)</f>
        <v>0.21163473705225211</v>
      </c>
      <c r="L4" s="13">
        <f>MEDIAN(G4:I4,D4:E4)</f>
        <v>0.21505862991154104</v>
      </c>
      <c r="N4" t="s">
        <v>173</v>
      </c>
    </row>
    <row r="5" spans="1:14" x14ac:dyDescent="0.25">
      <c r="B5" t="s">
        <v>174</v>
      </c>
      <c r="D5" s="10">
        <f>Model!L23/Model!L10</f>
        <v>6.8255979724378205E-2</v>
      </c>
      <c r="E5" s="10">
        <f>Model!M23/Model!M10</f>
        <v>6.2388389233416733E-2</v>
      </c>
      <c r="F5" s="10">
        <f>Model!N23/Model!N10</f>
        <v>-2.7517724050172675E-2</v>
      </c>
      <c r="G5" s="10">
        <f>Model!O23/Model!O10</f>
        <v>9.6502371954651459E-2</v>
      </c>
      <c r="H5" s="10">
        <f>Model!P23/Model!P10</f>
        <v>8.1119250108634966E-2</v>
      </c>
      <c r="I5" s="10">
        <f>Model!Q23/Model!Q10</f>
        <v>9.7460566396235973E-2</v>
      </c>
      <c r="J5" s="10"/>
      <c r="K5" s="13">
        <f t="shared" ref="K5:L17" si="0">AVERAGE(G5:I5,D5)</f>
        <v>8.583454204597514E-2</v>
      </c>
      <c r="L5" s="13">
        <f t="shared" ref="L5:L17" si="1">MEDIAN(G5:I5,D5:E5)</f>
        <v>8.1119250108634966E-2</v>
      </c>
      <c r="N5" t="s">
        <v>175</v>
      </c>
    </row>
    <row r="6" spans="1:14" x14ac:dyDescent="0.25">
      <c r="B6" t="s">
        <v>176</v>
      </c>
      <c r="D6" s="10">
        <f>Model!L17/Model!L10</f>
        <v>8.8990971012197009E-2</v>
      </c>
      <c r="E6" s="10">
        <f>Model!M17/Model!M10</f>
        <v>5.1462709828241249E-2</v>
      </c>
      <c r="F6" s="10">
        <f>Model!N17/Model!N10</f>
        <v>-9.9072895837120315E-3</v>
      </c>
      <c r="G6" s="10">
        <f>Model!O17/Model!O10</f>
        <v>0.12839109109913968</v>
      </c>
      <c r="H6" s="10">
        <f>Model!P17/Model!P10</f>
        <v>0.10928673412378177</v>
      </c>
      <c r="I6" s="10">
        <f>Model!Q17/Model!Q10</f>
        <v>0.11406339536146201</v>
      </c>
      <c r="J6" s="10"/>
      <c r="K6" s="13">
        <f t="shared" si="0"/>
        <v>0.11018304789914513</v>
      </c>
      <c r="L6" s="13">
        <f t="shared" si="1"/>
        <v>0.10928673412378177</v>
      </c>
      <c r="N6" t="s">
        <v>177</v>
      </c>
    </row>
    <row r="7" spans="1:14" x14ac:dyDescent="0.25">
      <c r="B7" t="s">
        <v>178</v>
      </c>
      <c r="D7" s="10">
        <f>(Model!L17+Model!L91)/Model!L10</f>
        <v>0.13354981783621095</v>
      </c>
      <c r="E7" s="10">
        <f>(Model!M17+Model!M91)/Model!M10</f>
        <v>9.5214130328906854E-2</v>
      </c>
      <c r="F7" s="10">
        <f>(Model!N17+Model!N91)/Model!N10</f>
        <v>4.6355208143973842E-2</v>
      </c>
      <c r="G7" s="10">
        <f>(Model!O17+Model!O91)/Model!O10</f>
        <v>0.16532925946771732</v>
      </c>
      <c r="H7" s="10">
        <f>(Model!P17+Model!P91)/Model!P10</f>
        <v>0.14350673536532377</v>
      </c>
      <c r="I7" s="10">
        <f>(Model!Q17+Model!Q91)/Model!Q10</f>
        <v>0.1485960732273727</v>
      </c>
      <c r="K7" s="13">
        <f t="shared" si="0"/>
        <v>0.14774547147415618</v>
      </c>
      <c r="L7" s="13">
        <f t="shared" si="1"/>
        <v>0.14350673536532377</v>
      </c>
      <c r="N7" t="s">
        <v>179</v>
      </c>
    </row>
    <row r="8" spans="1:14" x14ac:dyDescent="0.25">
      <c r="B8" t="s">
        <v>180</v>
      </c>
      <c r="D8" s="3">
        <f>Model!L10/Model!L59</f>
        <v>1.0622938682102714</v>
      </c>
      <c r="E8" s="3">
        <f>Model!M10/Model!M59</f>
        <v>0.84613799640104947</v>
      </c>
      <c r="F8" s="3">
        <f>Model!N10/Model!N59</f>
        <v>0.55794611727416799</v>
      </c>
      <c r="G8" s="3">
        <f>Model!O10/Model!O59</f>
        <v>0.80501508149183776</v>
      </c>
      <c r="H8" s="3">
        <f>Model!P10/Model!P59</f>
        <v>0.94905368583842709</v>
      </c>
      <c r="I8" s="3">
        <f>Model!Q10/Model!Q59</f>
        <v>1.0043619180322902</v>
      </c>
      <c r="K8" s="11">
        <f t="shared" si="0"/>
        <v>0.95518113839320651</v>
      </c>
      <c r="L8" s="11">
        <f t="shared" si="0"/>
        <v>0.93318453342392227</v>
      </c>
      <c r="N8" t="s">
        <v>181</v>
      </c>
    </row>
    <row r="9" spans="1:14" x14ac:dyDescent="0.25">
      <c r="B9" t="s">
        <v>182</v>
      </c>
      <c r="D9" s="10">
        <f>(Model!L23+Model!L18)/Model!L59</f>
        <v>7.5991115299185522E-2</v>
      </c>
      <c r="E9" s="10">
        <f>(Model!M23+Model!M18)/Model!M59</f>
        <v>5.5206802291240323E-2</v>
      </c>
      <c r="F9" s="10">
        <f>(Model!N23+Model!N18)/Model!N59</f>
        <v>-9.2044374009508604E-3</v>
      </c>
      <c r="G9" s="10">
        <f>(Model!O23+Model!O18)/Model!O59</f>
        <v>8.4676427563529985E-2</v>
      </c>
      <c r="H9" s="10">
        <f>(Model!P23+Model!P18)/Model!P59</f>
        <v>8.2936887841520035E-2</v>
      </c>
      <c r="I9" s="10">
        <f>(Model!Q23+Model!Q18)/Model!Q59</f>
        <v>0.10427710295944011</v>
      </c>
      <c r="K9" s="13">
        <f t="shared" si="0"/>
        <v>8.6970383415918909E-2</v>
      </c>
      <c r="L9" s="13">
        <f t="shared" si="1"/>
        <v>8.2936887841520035E-2</v>
      </c>
      <c r="N9" t="s">
        <v>183</v>
      </c>
    </row>
    <row r="10" spans="1:14" x14ac:dyDescent="0.25">
      <c r="B10" t="s">
        <v>184</v>
      </c>
      <c r="D10" s="10">
        <f>Model!L17/Model!L59</f>
        <v>9.4534562832334898E-2</v>
      </c>
      <c r="E10" s="10">
        <f>Model!M17/Model!M59</f>
        <v>4.3544554183436647E-2</v>
      </c>
      <c r="F10" s="10">
        <f>Model!N17/Model!N59</f>
        <v>-5.5277337559429358E-3</v>
      </c>
      <c r="G10" s="10">
        <f>Model!O17/Model!O59</f>
        <v>0.1033567646639999</v>
      </c>
      <c r="H10" s="10">
        <f>Model!P17/Model!P59</f>
        <v>0.1037189778334193</v>
      </c>
      <c r="I10" s="10">
        <f>Model!Q17/Model!Q59</f>
        <v>0.11456093054251344</v>
      </c>
      <c r="K10" s="13">
        <f t="shared" si="0"/>
        <v>0.10404280896806689</v>
      </c>
      <c r="L10" s="13">
        <f t="shared" si="1"/>
        <v>0.1033567646639999</v>
      </c>
      <c r="N10" t="s">
        <v>185</v>
      </c>
    </row>
    <row r="11" spans="1:14" x14ac:dyDescent="0.25">
      <c r="B11" t="s">
        <v>186</v>
      </c>
      <c r="D11" s="10">
        <f>Model!L17/(Model!L57+SUM(Model!L45:L49)-Model!L62)</f>
        <v>0.10895198200294773</v>
      </c>
      <c r="E11" s="10">
        <f>Model!M17/(Model!M57+SUM(Model!M45:M49)-Model!M62)</f>
        <v>5.8565965229922308E-2</v>
      </c>
      <c r="F11" s="10">
        <f>Model!N17/(Model!N57+SUM(Model!N45:N49)-Model!N62)</f>
        <v>-8.8034567701813001E-3</v>
      </c>
      <c r="G11" s="10">
        <f>Model!O17/(Model!O57+SUM(Model!O45:O49)-Model!O62)</f>
        <v>0.1475185691585677</v>
      </c>
      <c r="H11" s="10">
        <f>Model!P17/(Model!P57+SUM(Model!P45:P49)-Model!P62)</f>
        <v>0.1440494211021561</v>
      </c>
      <c r="I11" s="10">
        <f>Model!Q17/(Model!Q57+SUM(Model!Q45:Q49)-Model!Q62)</f>
        <v>0.16414218132893521</v>
      </c>
      <c r="K11" s="13">
        <f t="shared" si="0"/>
        <v>0.14116553839815169</v>
      </c>
      <c r="L11" s="13">
        <f t="shared" si="1"/>
        <v>0.1440494211021561</v>
      </c>
      <c r="N11" t="s">
        <v>187</v>
      </c>
    </row>
    <row r="12" spans="1:14" x14ac:dyDescent="0.25">
      <c r="B12" t="s">
        <v>188</v>
      </c>
      <c r="D12" s="10">
        <f>(Model!L17*(1-Model!L39))/(Model!L75+Model!L83-Model!L44)</f>
        <v>6.7954266989665613E-2</v>
      </c>
      <c r="E12" s="10">
        <f>(Model!M17*(1-Model!M39))/(Model!M75+Model!M83-Model!M44)</f>
        <v>6.4450983917599694E-2</v>
      </c>
      <c r="F12" s="10">
        <f>(Model!N17*(1-Model!N39))/(Model!N75+Model!N83-Model!N44)</f>
        <v>-1.1353401019989813E-2</v>
      </c>
      <c r="G12" s="10">
        <f>(Model!O17*(1-Model!O39))/(Model!O75+Model!O83-Model!O44)</f>
        <v>0.10115276816817223</v>
      </c>
      <c r="H12" s="10">
        <f>(Model!P17*(1-Model!P39))/(Model!P75+Model!P83-Model!P44)</f>
        <v>9.0537955221594135E-2</v>
      </c>
      <c r="I12" s="10">
        <f>(Model!Q17*(1-Model!Q39))/(Model!Q75+Model!Q83-Model!Q44)</f>
        <v>0.12204812323753214</v>
      </c>
      <c r="K12" s="13">
        <f t="shared" si="0"/>
        <v>9.542327840424103E-2</v>
      </c>
      <c r="L12" s="13">
        <f t="shared" si="1"/>
        <v>9.0537955221594135E-2</v>
      </c>
      <c r="N12" t="s">
        <v>189</v>
      </c>
    </row>
    <row r="13" spans="1:14" x14ac:dyDescent="0.25">
      <c r="B13" t="s">
        <v>190</v>
      </c>
      <c r="D13" s="10">
        <f>Model!L106/Model!L10</f>
        <v>0.12415650245525102</v>
      </c>
      <c r="E13" s="10">
        <f>Model!M106/Model!M10</f>
        <v>0.12250397740186375</v>
      </c>
      <c r="F13" s="10">
        <f>Model!N106/Model!N10</f>
        <v>8.6552445009998188E-2</v>
      </c>
      <c r="G13" s="10">
        <f>Model!O106/Model!O10</f>
        <v>0.11512422609954175</v>
      </c>
      <c r="H13" s="10">
        <f>Model!P106/Model!P10</f>
        <v>6.3784220001241565E-2</v>
      </c>
      <c r="I13" s="10">
        <f>Model!Q106/Model!Q10</f>
        <v>0.1613083210181861</v>
      </c>
      <c r="K13" s="13">
        <f t="shared" si="0"/>
        <v>0.11609331739355511</v>
      </c>
      <c r="L13" s="13">
        <f t="shared" si="1"/>
        <v>0.12250397740186375</v>
      </c>
      <c r="N13" t="s">
        <v>191</v>
      </c>
    </row>
    <row r="14" spans="1:14" x14ac:dyDescent="0.25">
      <c r="B14" t="s">
        <v>192</v>
      </c>
      <c r="D14" s="10">
        <f>1-(Model!L118/Model!L119)</f>
        <v>0.62057302029446881</v>
      </c>
      <c r="E14" s="10">
        <f>1-(Model!M118/Model!M119)</f>
        <v>0.70653425446171558</v>
      </c>
      <c r="F14" s="10">
        <f>1-(Model!N118/Model!N119)</f>
        <v>-0.32095490716180364</v>
      </c>
      <c r="G14" s="10">
        <f>1-(Model!O118/Model!O119)</f>
        <v>0.69549330085261873</v>
      </c>
      <c r="H14" s="10">
        <f>1-(Model!P118/Model!P119)</f>
        <v>0.59414654113794518</v>
      </c>
      <c r="I14" s="10">
        <f>1-(Model!Q118/Model!Q119)</f>
        <v>0.56726706693351125</v>
      </c>
      <c r="K14" s="13">
        <f t="shared" si="0"/>
        <v>0.61936998230463591</v>
      </c>
      <c r="L14" s="13">
        <f t="shared" si="1"/>
        <v>0.62057302029446881</v>
      </c>
      <c r="N14" t="s">
        <v>193</v>
      </c>
    </row>
    <row r="15" spans="1:14" x14ac:dyDescent="0.25">
      <c r="B15" t="s">
        <v>194</v>
      </c>
      <c r="D15" s="13">
        <f t="shared" ref="D15:H15" si="2">D14*D4</f>
        <v>8.134732125970015E-2</v>
      </c>
      <c r="E15" s="13">
        <f t="shared" si="2"/>
        <v>0.10082102929324475</v>
      </c>
      <c r="F15" s="13">
        <f t="shared" si="2"/>
        <v>1.4923836299068658E-2</v>
      </c>
      <c r="G15" s="13">
        <f t="shared" si="2"/>
        <v>0.16457631302904438</v>
      </c>
      <c r="H15" s="13">
        <f t="shared" si="2"/>
        <v>0.12777634110380753</v>
      </c>
      <c r="I15" s="13">
        <f>I14*I4</f>
        <v>0.14962441552427366</v>
      </c>
      <c r="K15" s="13">
        <f t="shared" si="0"/>
        <v>0.13083109772920642</v>
      </c>
      <c r="L15" s="13">
        <f t="shared" si="1"/>
        <v>0.12777634110380753</v>
      </c>
      <c r="N15" t="s">
        <v>195</v>
      </c>
    </row>
    <row r="16" spans="1:14" x14ac:dyDescent="0.25">
      <c r="B16" t="s">
        <v>196</v>
      </c>
      <c r="D16" s="10">
        <f>(-Model!L107+SUM(Model!L99:L105))/(Model!L17*(1-Model!L39))</f>
        <v>0.35123223560095407</v>
      </c>
      <c r="E16" s="10">
        <f>(-Model!M107+SUM(Model!M99:M105))/(Model!M17*(1-Model!M39))</f>
        <v>0.94363328182716921</v>
      </c>
      <c r="F16" s="10">
        <f>(-Model!N107+SUM(Model!N99:N105))/(Model!N17*(1-Model!N39))</f>
        <v>-3.0479746911753476</v>
      </c>
      <c r="G16" s="10">
        <f>(-Model!O107+SUM(Model!O99:O105))/(Model!O17*(1-Model!O39))</f>
        <v>-4.5543004770761675E-3</v>
      </c>
      <c r="H16" s="10">
        <f>(-Model!P107+SUM(Model!P99:P105))/(Model!P17*(1-Model!P39))</f>
        <v>-0.43485769561254406</v>
      </c>
      <c r="I16" s="10">
        <f>(-Model!Q107+SUM(Model!Q99:Q105))/(Model!Q17*(1-Model!Q39))</f>
        <v>0.46403900997204856</v>
      </c>
      <c r="K16" s="13">
        <f t="shared" si="0"/>
        <v>9.3964812370845599E-2</v>
      </c>
      <c r="L16" s="13">
        <f t="shared" si="1"/>
        <v>0.35123223560095407</v>
      </c>
      <c r="N16" t="s">
        <v>197</v>
      </c>
    </row>
    <row r="17" spans="2:16" x14ac:dyDescent="0.25">
      <c r="B17" t="s">
        <v>194</v>
      </c>
      <c r="D17" s="13">
        <f t="shared" ref="D17:H17" si="3">D16*D12</f>
        <v>2.3867729113404366E-2</v>
      </c>
      <c r="E17" s="13">
        <f t="shared" si="3"/>
        <v>6.0818093471154702E-2</v>
      </c>
      <c r="F17" s="13">
        <f t="shared" si="3"/>
        <v>3.4604878967693327E-2</v>
      </c>
      <c r="G17" s="13">
        <f t="shared" si="3"/>
        <v>-4.6068010032588176E-4</v>
      </c>
      <c r="H17" s="13">
        <f t="shared" si="3"/>
        <v>-3.937112657313413E-2</v>
      </c>
      <c r="I17" s="13">
        <f>I16*I12</f>
        <v>5.6635090276090989E-2</v>
      </c>
      <c r="K17" s="13">
        <f t="shared" si="0"/>
        <v>1.0167753179008835E-2</v>
      </c>
      <c r="L17" s="13">
        <f t="shared" si="1"/>
        <v>2.3867729113404366E-2</v>
      </c>
      <c r="N17" t="s">
        <v>198</v>
      </c>
    </row>
    <row r="20" spans="2:16" x14ac:dyDescent="0.25">
      <c r="B20" s="6" t="s">
        <v>199</v>
      </c>
    </row>
    <row r="21" spans="2:16" x14ac:dyDescent="0.25">
      <c r="B21" t="s">
        <v>200</v>
      </c>
      <c r="D21" s="10">
        <f>Model!L83/Model!L85</f>
        <v>0.55313993403782735</v>
      </c>
      <c r="E21" s="10">
        <f>Model!M83/Model!M85</f>
        <v>0.36993640022527796</v>
      </c>
      <c r="F21" s="10">
        <f>Model!N83/Model!N85</f>
        <v>0.33019334389857358</v>
      </c>
      <c r="G21" s="10">
        <f>Model!O83/Model!O85</f>
        <v>0.32829753906300563</v>
      </c>
      <c r="H21" s="10">
        <f>Model!P83/Model!P85</f>
        <v>0.35797923263863307</v>
      </c>
      <c r="I21" s="10">
        <f>Model!Q83/Model!Q85</f>
        <v>0.37111138036531072</v>
      </c>
      <c r="K21" s="13">
        <f t="shared" ref="K21:K33" si="4">AVERAGE(G21:I21,D21)</f>
        <v>0.40263202152619421</v>
      </c>
      <c r="L21" s="13">
        <f t="shared" ref="L21:L33" si="5">MEDIAN(G21:I21,D21:E21)</f>
        <v>0.36993640022527796</v>
      </c>
      <c r="N21" t="s">
        <v>201</v>
      </c>
    </row>
    <row r="22" spans="2:16" x14ac:dyDescent="0.25">
      <c r="B22" t="s">
        <v>202</v>
      </c>
      <c r="D22" s="10">
        <f>(Model!L61+Model!L67+Model!L68+Model!L69-Model!L44-Model!L45)/Model!L83</f>
        <v>-0.39498661474811392</v>
      </c>
      <c r="E22" s="10">
        <f>(Model!M61+Model!M67+Model!M68+Model!M69-Model!M44-Model!M45)/Model!M83</f>
        <v>0.23133192232000291</v>
      </c>
      <c r="F22" s="10">
        <f>(Model!N61+Model!N67+Model!N68+Model!N69-Model!N44-Model!N45)/Model!N83</f>
        <v>5.794040853939493E-2</v>
      </c>
      <c r="G22" s="10">
        <f>(Model!O61+Model!O67+Model!O68+Model!O69-Model!O44-Model!O45)/Model!O83</f>
        <v>0.20177444794952695</v>
      </c>
      <c r="H22" s="10">
        <f>(Model!P61+Model!P67+Model!P68+Model!P69-Model!P44-Model!P45)/Model!P83</f>
        <v>0.42345196461633405</v>
      </c>
      <c r="I22" s="10">
        <f>(Model!Q61+Model!Q67+Model!Q68+Model!Q69-Model!Q44-Model!Q45)/Model!Q83</f>
        <v>0.25605027955760506</v>
      </c>
      <c r="K22" s="13">
        <f t="shared" si="4"/>
        <v>0.12157251934383803</v>
      </c>
      <c r="L22" s="13">
        <f t="shared" si="5"/>
        <v>0.23133192232000291</v>
      </c>
      <c r="N22" t="s">
        <v>203</v>
      </c>
    </row>
    <row r="23" spans="2:16" x14ac:dyDescent="0.25">
      <c r="B23" t="s">
        <v>204</v>
      </c>
      <c r="D23" s="10">
        <f>(Model!L61+Model!L67+Model!L68+Model!L69-Model!L44-Model!L45)/(Model!L17*(1-Model!L39)+Model!L91+Model!L107+SUM(Model!L99:L105))</f>
        <v>-3.4354065857466791</v>
      </c>
      <c r="E23" s="10">
        <f>(Model!M61+Model!M67+Model!M68+Model!M69-Model!M44-Model!M45)/(Model!M17*(1-Model!M39)+Model!M91+Model!M107+SUM(Model!M99:M105))</f>
        <v>1.422828098672291</v>
      </c>
      <c r="F23" s="10">
        <f>(Model!N61+Model!N67+Model!N68+Model!N69-Model!N44-Model!N45)/(Model!N17*(1-Model!N39)+Model!N91+Model!N107+SUM(Model!N99:N105))</f>
        <v>0.9708521072772508</v>
      </c>
      <c r="G23" s="10">
        <f>(Model!O61+Model!O67+Model!O68+Model!O69-Model!O44-Model!O45)/(Model!O17*(1-Model!O39)+Model!O91+Model!O107+SUM(Model!O99:O105))</f>
        <v>1.0527804515936778</v>
      </c>
      <c r="H23" s="10">
        <f>(Model!P61+Model!P67+Model!P68+Model!P69-Model!P44-Model!P45)/(Model!P17*(1-Model!P39)+Model!P91+Model!P107+SUM(Model!P99:P105))</f>
        <v>18.833345586356071</v>
      </c>
      <c r="I23" s="10">
        <f>(Model!Q61+Model!Q67+Model!Q68+Model!Q69-Model!Q44-Model!Q45)/(Model!Q17*(1-Model!Q39)+Model!Q91+Model!Q107+SUM(Model!Q99:Q105))</f>
        <v>0.80213095480752494</v>
      </c>
      <c r="K23" s="13">
        <f t="shared" si="4"/>
        <v>4.3132126017526478</v>
      </c>
      <c r="L23" s="13">
        <f t="shared" si="5"/>
        <v>1.0527804515936778</v>
      </c>
      <c r="N23" t="s">
        <v>205</v>
      </c>
    </row>
    <row r="24" spans="2:16" x14ac:dyDescent="0.25">
      <c r="B24" t="s">
        <v>206</v>
      </c>
      <c r="D24" s="10">
        <f>(Model!L61+Model!L67+Model!L68+Model!L69-Model!L44-Model!L45)/(Model!L17+Model!L91)</f>
        <v>-1.5400308385719377</v>
      </c>
      <c r="E24" s="10">
        <f>(Model!M61+Model!M67+Model!M68+Model!M69-Model!M44-Model!M45)/(Model!M17+Model!M91)</f>
        <v>1.0622335890878085</v>
      </c>
      <c r="F24" s="10">
        <f>(Model!N61+Model!N67+Model!N68+Model!N69-Model!N44-Model!N45)/(Model!N17+Model!N91)</f>
        <v>0.73970588235294132</v>
      </c>
      <c r="G24" s="10">
        <f>(Model!O61+Model!O67+Model!O68+Model!O69-Model!O44-Model!O45)/(Model!O17+Model!O91)</f>
        <v>0.49771423013325583</v>
      </c>
      <c r="H24" s="10">
        <f>(Model!P61+Model!P67+Model!P68+Model!P69-Model!P44-Model!P45)/(Model!P17+Model!P91)</f>
        <v>1.1130096247431591</v>
      </c>
      <c r="I24" s="10">
        <f>(Model!Q61+Model!Q67+Model!Q68+Model!Q69-Model!Q44-Model!Q45)/(Model!Q17+Model!Q91)</f>
        <v>0.63669575806779011</v>
      </c>
      <c r="K24" s="13">
        <f t="shared" si="4"/>
        <v>0.17684719359306683</v>
      </c>
      <c r="L24" s="13">
        <f t="shared" si="5"/>
        <v>0.63669575806779011</v>
      </c>
      <c r="N24" t="s">
        <v>207</v>
      </c>
    </row>
    <row r="25" spans="2:16" x14ac:dyDescent="0.25">
      <c r="B25" t="s">
        <v>208</v>
      </c>
      <c r="D25" s="10">
        <f>(-Model!L107/Model!L106)</f>
        <v>0.25223271242663953</v>
      </c>
      <c r="E25" s="10">
        <f>(-Model!M107/Model!M106)</f>
        <v>0.35820302146832744</v>
      </c>
      <c r="F25" s="10">
        <f>(-Model!N107/Model!N106)</f>
        <v>0.28301391441323176</v>
      </c>
      <c r="G25" s="10">
        <f>(-Model!O107/Model!O106)</f>
        <v>0.23313311915071927</v>
      </c>
      <c r="H25" s="10">
        <f>(-Model!P107/Model!P106)</f>
        <v>0.52919708029197055</v>
      </c>
      <c r="I25" s="10">
        <f>(-Model!Q107/Model!Q106)</f>
        <v>0.15406188651023664</v>
      </c>
      <c r="K25" s="13">
        <f t="shared" si="4"/>
        <v>0.29215619959489153</v>
      </c>
      <c r="L25" s="13">
        <f t="shared" si="5"/>
        <v>0.25223271242663953</v>
      </c>
      <c r="N25" s="11" t="s">
        <v>209</v>
      </c>
    </row>
    <row r="26" spans="2:16" x14ac:dyDescent="0.25">
      <c r="B26" t="s">
        <v>210</v>
      </c>
      <c r="D26" s="12" t="s">
        <v>72</v>
      </c>
      <c r="E26" s="12" t="s">
        <v>72</v>
      </c>
      <c r="F26" s="12" t="s">
        <v>72</v>
      </c>
      <c r="G26" s="12" t="s">
        <v>72</v>
      </c>
      <c r="H26" s="12" t="s">
        <v>72</v>
      </c>
      <c r="I26" s="12" t="s">
        <v>72</v>
      </c>
      <c r="K26" s="12" t="s">
        <v>72</v>
      </c>
      <c r="L26" s="12" t="s">
        <v>72</v>
      </c>
      <c r="N26" t="s">
        <v>211</v>
      </c>
    </row>
    <row r="27" spans="2:16" x14ac:dyDescent="0.25">
      <c r="B27" t="s">
        <v>212</v>
      </c>
      <c r="D27" s="15">
        <f>-Model!L107/Model!L91</f>
        <v>0.70280838961962311</v>
      </c>
      <c r="E27" s="15">
        <f>-Model!M107/Model!M91</f>
        <v>1.0029684601113174</v>
      </c>
      <c r="F27" s="15">
        <f>-Model!N107/Model!N91</f>
        <v>0.43537964458804523</v>
      </c>
      <c r="G27" s="15">
        <f>-Model!O107/Model!O91</f>
        <v>0.72659991292990866</v>
      </c>
      <c r="H27" s="15">
        <f>-Model!P107/Model!P91</f>
        <v>0.98639455782312924</v>
      </c>
      <c r="I27" s="15">
        <f>-Model!Q107/Model!Q91</f>
        <v>0.71965065502183412</v>
      </c>
      <c r="K27" s="15">
        <f>AVERAGE(G27:I27,D27)</f>
        <v>0.78386337884862378</v>
      </c>
      <c r="L27" s="15">
        <f>MEDIAN(G27:I27,D27:E27)</f>
        <v>0.72659991292990866</v>
      </c>
      <c r="N27" t="s">
        <v>213</v>
      </c>
      <c r="O27" s="15"/>
      <c r="P27" s="15"/>
    </row>
    <row r="28" spans="2:16" x14ac:dyDescent="0.25">
      <c r="B28" t="s">
        <v>214</v>
      </c>
      <c r="D28" s="12" t="s">
        <v>215</v>
      </c>
      <c r="E28" s="12" t="s">
        <v>215</v>
      </c>
      <c r="F28" s="14">
        <f>(Model!N83/-Model!N17)</f>
        <v>59.733944954128539</v>
      </c>
      <c r="G28" s="12" t="s">
        <v>215</v>
      </c>
      <c r="H28" s="12" t="s">
        <v>215</v>
      </c>
      <c r="I28" s="12" t="s">
        <v>215</v>
      </c>
      <c r="K28" s="13" t="s">
        <v>215</v>
      </c>
      <c r="L28" s="13" t="s">
        <v>215</v>
      </c>
      <c r="N28" t="s">
        <v>216</v>
      </c>
    </row>
    <row r="29" spans="2:16" x14ac:dyDescent="0.25">
      <c r="B29" t="s">
        <v>217</v>
      </c>
      <c r="D29" s="10">
        <f>Model!L50/Model!L59</f>
        <v>0.60490004711583767</v>
      </c>
      <c r="E29" s="10">
        <f>Model!M50/Model!M59</f>
        <v>0.46363274220799744</v>
      </c>
      <c r="F29" s="10">
        <f>Model!N50/Model!N59</f>
        <v>0.53350237717908078</v>
      </c>
      <c r="G29" s="10">
        <f>Model!O50/Model!O59</f>
        <v>0.54595000453092024</v>
      </c>
      <c r="H29" s="10">
        <f>Model!P50/Model!P59</f>
        <v>0.48959422637896743</v>
      </c>
      <c r="I29" s="10">
        <f>Model!Q50/Model!Q59</f>
        <v>0.50886014600308971</v>
      </c>
      <c r="K29" s="13">
        <f t="shared" si="4"/>
        <v>0.53732610600720376</v>
      </c>
      <c r="L29" s="13">
        <f t="shared" si="5"/>
        <v>0.50886014600308971</v>
      </c>
      <c r="N29" t="s">
        <v>218</v>
      </c>
    </row>
    <row r="30" spans="2:16" x14ac:dyDescent="0.25">
      <c r="B30" t="s">
        <v>219</v>
      </c>
      <c r="D30" s="13">
        <f t="shared" ref="D30:H30" si="6">1-D29</f>
        <v>0.39509995288416233</v>
      </c>
      <c r="E30" s="13">
        <f t="shared" si="6"/>
        <v>0.53636725779200256</v>
      </c>
      <c r="F30" s="13">
        <f t="shared" si="6"/>
        <v>0.46649762282091922</v>
      </c>
      <c r="G30" s="13">
        <f t="shared" si="6"/>
        <v>0.45404999546907976</v>
      </c>
      <c r="H30" s="13">
        <f t="shared" si="6"/>
        <v>0.51040577362103257</v>
      </c>
      <c r="I30" s="13">
        <f>1-I29</f>
        <v>0.49113985399691029</v>
      </c>
      <c r="K30" s="13">
        <f t="shared" si="4"/>
        <v>0.46267389399279624</v>
      </c>
      <c r="L30" s="13">
        <f t="shared" si="5"/>
        <v>0.49113985399691029</v>
      </c>
      <c r="N30" t="s">
        <v>220</v>
      </c>
    </row>
    <row r="31" spans="2:16" x14ac:dyDescent="0.25">
      <c r="B31" t="s">
        <v>221</v>
      </c>
      <c r="D31" s="10">
        <f>Model!L83/Model!L57</f>
        <v>1.4000000000000001</v>
      </c>
      <c r="E31" s="10">
        <f>Model!M83/Model!M57</f>
        <v>0.68970727584705649</v>
      </c>
      <c r="F31" s="10">
        <f>Model!N83/Model!N57</f>
        <v>0.70781356162522047</v>
      </c>
      <c r="G31" s="10">
        <f>Model!O83/Model!O57</f>
        <v>0.72304270969949247</v>
      </c>
      <c r="H31" s="10">
        <f>Model!P83/Model!P57</f>
        <v>0.70136203612858516</v>
      </c>
      <c r="I31" s="10">
        <f>Model!Q83/Model!Q57</f>
        <v>0.75561243369927245</v>
      </c>
      <c r="K31" s="13">
        <f t="shared" si="4"/>
        <v>0.89500429488183753</v>
      </c>
      <c r="L31" s="13">
        <f t="shared" si="5"/>
        <v>0.72304270969949247</v>
      </c>
      <c r="N31" t="s">
        <v>222</v>
      </c>
    </row>
    <row r="32" spans="2:16" x14ac:dyDescent="0.25">
      <c r="B32" t="s">
        <v>223</v>
      </c>
      <c r="D32" s="10">
        <f>(Model!L83+Model!L67)/Model!L83</f>
        <v>1.2096312971525918</v>
      </c>
      <c r="E32" s="10">
        <f>(Model!M83+Model!M67)/Model!M83</f>
        <v>1.1471909695146856</v>
      </c>
      <c r="F32" s="10">
        <f>(Model!N83+Model!N67)/Model!N83</f>
        <v>1.6269774228229157</v>
      </c>
      <c r="G32" s="10">
        <f>(Model!O83+Model!O67)/Model!O83</f>
        <v>1.4481466876971609</v>
      </c>
      <c r="H32" s="10">
        <f>(Model!P83+Model!P67)/Model!P83</f>
        <v>1.4684221353630942</v>
      </c>
      <c r="I32" s="10">
        <f>(Model!Q83+Model!Q67)/Model!Q83</f>
        <v>1.4654532098110433</v>
      </c>
      <c r="K32" s="13">
        <f t="shared" si="4"/>
        <v>1.3979133325059725</v>
      </c>
      <c r="L32" s="13">
        <f t="shared" si="5"/>
        <v>1.4481466876971609</v>
      </c>
      <c r="N32" t="s">
        <v>224</v>
      </c>
    </row>
    <row r="33" spans="2:14" x14ac:dyDescent="0.25">
      <c r="B33" t="s">
        <v>225</v>
      </c>
      <c r="D33" s="10">
        <f>Model!L54/Model!L59</f>
        <v>0.154741872518005</v>
      </c>
      <c r="E33" s="10">
        <f>Model!M54/Model!M59</f>
        <v>0.1257572219398618</v>
      </c>
      <c r="F33" s="10">
        <f>Model!N54/Model!N59</f>
        <v>0.11849128367670365</v>
      </c>
      <c r="G33" s="10">
        <f>Model!O54/Model!O59</f>
        <v>0.11763563633539166</v>
      </c>
      <c r="H33" s="10">
        <f>Model!P54/Model!P59</f>
        <v>0.13239561086972532</v>
      </c>
      <c r="I33" s="10">
        <f>Model!Q54/Model!Q59</f>
        <v>0.13450761821100779</v>
      </c>
      <c r="K33" s="13">
        <f t="shared" si="4"/>
        <v>0.13482018448353245</v>
      </c>
      <c r="L33" s="13">
        <f t="shared" si="5"/>
        <v>0.13239561086972532</v>
      </c>
      <c r="N33" t="s">
        <v>226</v>
      </c>
    </row>
    <row r="35" spans="2:14" x14ac:dyDescent="0.25">
      <c r="B35" s="6" t="s">
        <v>227</v>
      </c>
    </row>
    <row r="36" spans="2:14" x14ac:dyDescent="0.25">
      <c r="B36" t="s">
        <v>228</v>
      </c>
      <c r="D36" s="11">
        <f>Model!L46/Model!L10*360</f>
        <v>22.701726595913193</v>
      </c>
      <c r="E36" s="11">
        <f>Model!M46/Model!M10*360</f>
        <v>16.19468164550797</v>
      </c>
      <c r="F36" s="11">
        <f>Model!N46/Model!N10*360</f>
        <v>36.934193782948554</v>
      </c>
      <c r="G36" s="11">
        <f>Model!O46/Model!O10*360</f>
        <v>23.469325400016082</v>
      </c>
      <c r="H36" s="11">
        <f>Model!P46/Model!P10*360</f>
        <v>25.012725805450366</v>
      </c>
      <c r="I36" s="11">
        <f>Model!Q46/Model!Q10*360</f>
        <v>24.239225502910397</v>
      </c>
      <c r="K36" s="11">
        <f t="shared" ref="K36:K44" si="7">AVERAGE(G36:I36,D36)</f>
        <v>23.855750826072509</v>
      </c>
      <c r="L36" s="11">
        <f t="shared" ref="L36:L44" si="8">MEDIAN(G36:I36,D36:E36)</f>
        <v>23.469325400016082</v>
      </c>
      <c r="N36" t="s">
        <v>229</v>
      </c>
    </row>
    <row r="37" spans="2:14" x14ac:dyDescent="0.25">
      <c r="B37" t="s">
        <v>230</v>
      </c>
      <c r="D37" s="11">
        <f>Model!L62/Model!L10*360</f>
        <v>11.536195152859181</v>
      </c>
      <c r="E37" s="11">
        <f>Model!M62/Model!M10*360</f>
        <v>14.423844930030196</v>
      </c>
      <c r="F37" s="11">
        <f>Model!N62/Model!N10*360</f>
        <v>29.113797491365204</v>
      </c>
      <c r="G37" s="11">
        <f>Model!O62/Model!O10*360</f>
        <v>25.976039237758304</v>
      </c>
      <c r="H37" s="11">
        <f>Model!P62/Model!P10*360</f>
        <v>20.761065243031844</v>
      </c>
      <c r="I37" s="11">
        <f>Model!Q62/Model!Q10*360</f>
        <v>18.034200922882047</v>
      </c>
      <c r="K37" s="11">
        <f t="shared" si="7"/>
        <v>19.076875139132845</v>
      </c>
      <c r="L37" s="11">
        <f t="shared" si="8"/>
        <v>18.034200922882047</v>
      </c>
      <c r="N37" t="s">
        <v>231</v>
      </c>
    </row>
    <row r="38" spans="2:14" x14ac:dyDescent="0.25">
      <c r="B38" t="s">
        <v>232</v>
      </c>
      <c r="D38" s="10">
        <f>Model!L44/Model!L66</f>
        <v>0.48670944087992674</v>
      </c>
      <c r="E38" s="10">
        <f>Model!M44/Model!M66</f>
        <v>0.77456978967495227</v>
      </c>
      <c r="F38" s="10">
        <f>Model!N44/Model!N66</f>
        <v>1.6273346794548209</v>
      </c>
      <c r="G38" s="10">
        <f>Model!O44/Model!O66</f>
        <v>0.82626235758301192</v>
      </c>
      <c r="H38" s="10">
        <f>Model!P44/Model!P66</f>
        <v>1.0239705390023435</v>
      </c>
      <c r="I38" s="10">
        <f>Model!Q44/Model!Q66</f>
        <v>1.1329062159214831</v>
      </c>
      <c r="K38" s="13">
        <f t="shared" si="7"/>
        <v>0.86746213834669128</v>
      </c>
      <c r="L38" s="13">
        <f t="shared" si="8"/>
        <v>0.82626235758301192</v>
      </c>
      <c r="N38" t="s">
        <v>233</v>
      </c>
    </row>
    <row r="39" spans="2:14" x14ac:dyDescent="0.25">
      <c r="B39" t="s">
        <v>234</v>
      </c>
      <c r="D39" s="10">
        <f>(Model!L44+Model!L46)/Model!L66</f>
        <v>0.81843179735022087</v>
      </c>
      <c r="E39" s="10">
        <f>(Model!M44+Model!M46)/Model!M66</f>
        <v>0.90702676864244747</v>
      </c>
      <c r="F39" s="10">
        <f>(Model!N44+Model!N46)/Model!N66</f>
        <v>1.9122286723876831</v>
      </c>
      <c r="G39" s="10">
        <f>(Model!O44+Model!O46)/Model!O66</f>
        <v>1.005984838409363</v>
      </c>
      <c r="H39" s="10">
        <f>(Model!P44+Model!P46)/Model!P66</f>
        <v>1.3237361901573486</v>
      </c>
      <c r="I39" s="10">
        <f>(Model!Q44+Model!Q46)/Model!Q66</f>
        <v>1.4372273718647763</v>
      </c>
      <c r="K39" s="13">
        <f t="shared" si="7"/>
        <v>1.1463450494454273</v>
      </c>
      <c r="L39" s="13">
        <f t="shared" si="8"/>
        <v>1.005984838409363</v>
      </c>
      <c r="N39" t="s">
        <v>235</v>
      </c>
    </row>
    <row r="40" spans="2:14" x14ac:dyDescent="0.25">
      <c r="B40" t="s">
        <v>236</v>
      </c>
      <c r="D40" s="10">
        <f>Model!L50/Model!L66</f>
        <v>2.9954170485792853</v>
      </c>
      <c r="E40" s="10">
        <f>Model!M50/Model!M66</f>
        <v>1.6133843212237098</v>
      </c>
      <c r="F40" s="10">
        <f>Model!N50/Model!N66</f>
        <v>2.6552246340232206</v>
      </c>
      <c r="G40" s="10">
        <f>Model!O50/Model!O66</f>
        <v>1.8696191869486194</v>
      </c>
      <c r="H40" s="10">
        <f>Model!P50/Model!P66</f>
        <v>2.2257114161365914</v>
      </c>
      <c r="I40" s="10">
        <f>Model!Q50/Model!Q66</f>
        <v>2.2899400218102506</v>
      </c>
      <c r="K40" s="13">
        <f t="shared" si="7"/>
        <v>2.3451719183686865</v>
      </c>
      <c r="L40" s="13">
        <f t="shared" si="8"/>
        <v>2.2257114161365914</v>
      </c>
      <c r="N40" t="s">
        <v>237</v>
      </c>
    </row>
    <row r="41" spans="2:14" x14ac:dyDescent="0.25">
      <c r="B41" t="s">
        <v>238</v>
      </c>
      <c r="D41" s="10">
        <f>Model!L47/Model!L59</f>
        <v>0.13761190011442417</v>
      </c>
      <c r="E41" s="10">
        <f>Model!M47/Model!M59</f>
        <v>0.10112776274399374</v>
      </c>
      <c r="F41" s="10">
        <f>Model!N47/Model!N59</f>
        <v>9.6228209191759118E-2</v>
      </c>
      <c r="G41" s="10">
        <f>Model!O47/Model!O59</f>
        <v>0.12651624011288462</v>
      </c>
      <c r="H41" s="10">
        <f>Model!P47/Model!P59</f>
        <v>0.15778776051255614</v>
      </c>
      <c r="I41" s="10">
        <f>Model!Q47/Model!Q59</f>
        <v>0.13664314058098326</v>
      </c>
      <c r="K41" s="13">
        <f t="shared" si="7"/>
        <v>0.13963976033021205</v>
      </c>
      <c r="L41" s="13">
        <f t="shared" si="8"/>
        <v>0.13664314058098326</v>
      </c>
      <c r="N41" t="s">
        <v>239</v>
      </c>
    </row>
    <row r="42" spans="2:14" x14ac:dyDescent="0.25">
      <c r="B42" t="s">
        <v>240</v>
      </c>
      <c r="D42" s="11">
        <f>Model!L11/Model!L47</f>
        <v>2.9677182685253118</v>
      </c>
      <c r="E42" s="11">
        <f>Model!M11/Model!M47</f>
        <v>3.404645476772616</v>
      </c>
      <c r="F42" s="11">
        <f>Model!N11/Model!N47</f>
        <v>2.0281949934123849</v>
      </c>
      <c r="G42" s="11">
        <f>Model!O11/Model!O47</f>
        <v>2.1191036529213139</v>
      </c>
      <c r="H42" s="11">
        <f>Model!P11/Model!P47</f>
        <v>2.1262018108839729</v>
      </c>
      <c r="I42" s="11">
        <f>Model!Q11/Model!Q47</f>
        <v>2.4380403458213253</v>
      </c>
      <c r="K42" s="11">
        <f t="shared" si="7"/>
        <v>2.412766019537981</v>
      </c>
      <c r="L42" s="11">
        <f t="shared" si="8"/>
        <v>2.4380403458213253</v>
      </c>
      <c r="N42" t="s">
        <v>241</v>
      </c>
    </row>
    <row r="43" spans="2:14" x14ac:dyDescent="0.25">
      <c r="B43" t="s">
        <v>242</v>
      </c>
      <c r="D43" s="11">
        <f t="shared" ref="D43:H43" si="9">360/D42</f>
        <v>121.3053152039555</v>
      </c>
      <c r="E43" s="11">
        <f t="shared" si="9"/>
        <v>105.737881508079</v>
      </c>
      <c r="F43" s="11">
        <f t="shared" si="9"/>
        <v>177.49772638690396</v>
      </c>
      <c r="G43" s="11">
        <f t="shared" si="9"/>
        <v>169.88314823756639</v>
      </c>
      <c r="H43" s="11">
        <f t="shared" si="9"/>
        <v>169.31600667310562</v>
      </c>
      <c r="I43" s="11">
        <f>360/I42</f>
        <v>147.65957446808511</v>
      </c>
      <c r="K43" s="11">
        <f t="shared" si="7"/>
        <v>152.04101114567817</v>
      </c>
      <c r="L43" s="11">
        <f t="shared" si="8"/>
        <v>147.65957446808511</v>
      </c>
      <c r="N43" t="s">
        <v>243</v>
      </c>
    </row>
    <row r="44" spans="2:14" x14ac:dyDescent="0.25">
      <c r="B44" t="s">
        <v>244</v>
      </c>
      <c r="D44" s="11">
        <f t="shared" ref="D44:H44" si="10">D36+D43-D37</f>
        <v>132.47084664700949</v>
      </c>
      <c r="E44" s="11">
        <f t="shared" si="10"/>
        <v>107.50871822355677</v>
      </c>
      <c r="F44" s="11">
        <f t="shared" si="10"/>
        <v>185.3181226784873</v>
      </c>
      <c r="G44" s="11">
        <f t="shared" si="10"/>
        <v>167.37643439982418</v>
      </c>
      <c r="H44" s="11">
        <f t="shared" si="10"/>
        <v>173.56766723552414</v>
      </c>
      <c r="I44" s="11">
        <f>I36+I43-I37</f>
        <v>153.86459904811346</v>
      </c>
      <c r="K44" s="11">
        <f t="shared" si="7"/>
        <v>156.81988683261781</v>
      </c>
      <c r="L44" s="11">
        <f t="shared" si="8"/>
        <v>153.86459904811346</v>
      </c>
      <c r="N44" t="s">
        <v>245</v>
      </c>
    </row>
    <row r="45" spans="2:14" x14ac:dyDescent="0.25">
      <c r="B45" t="s">
        <v>246</v>
      </c>
      <c r="D45" s="16" t="s">
        <v>72</v>
      </c>
      <c r="E45" s="16" t="s">
        <v>72</v>
      </c>
      <c r="F45" s="16" t="s">
        <v>72</v>
      </c>
      <c r="G45" s="16" t="s">
        <v>72</v>
      </c>
      <c r="H45" s="16" t="s">
        <v>72</v>
      </c>
      <c r="I45" s="16" t="s">
        <v>72</v>
      </c>
      <c r="K45" s="16" t="s">
        <v>72</v>
      </c>
      <c r="L45" s="16" t="s">
        <v>72</v>
      </c>
      <c r="N45" t="s">
        <v>247</v>
      </c>
    </row>
    <row r="46" spans="2:14" x14ac:dyDescent="0.25">
      <c r="B46" t="s">
        <v>248</v>
      </c>
      <c r="D46" s="16" t="s">
        <v>72</v>
      </c>
      <c r="E46" s="16" t="s">
        <v>72</v>
      </c>
      <c r="F46" s="16" t="s">
        <v>72</v>
      </c>
      <c r="G46" s="16" t="s">
        <v>72</v>
      </c>
      <c r="H46" s="16" t="s">
        <v>72</v>
      </c>
      <c r="I46" s="16" t="s">
        <v>72</v>
      </c>
      <c r="K46" s="16" t="s">
        <v>72</v>
      </c>
      <c r="L46" s="16" t="s">
        <v>72</v>
      </c>
      <c r="N46" t="s">
        <v>249</v>
      </c>
    </row>
    <row r="48" spans="2:14" x14ac:dyDescent="0.25">
      <c r="B48" s="6" t="s">
        <v>250</v>
      </c>
    </row>
    <row r="49" spans="2:14" x14ac:dyDescent="0.25">
      <c r="B49" s="9" t="s">
        <v>251</v>
      </c>
    </row>
    <row r="50" spans="2:14" x14ac:dyDescent="0.25">
      <c r="B50" t="s">
        <v>252</v>
      </c>
      <c r="D50" s="3">
        <f>131.6*Model!L26</f>
        <v>10274.406800000001</v>
      </c>
      <c r="E50" s="3">
        <f>73.8*Model!M26</f>
        <v>5362.0865999999996</v>
      </c>
      <c r="F50" s="3">
        <f>133.3*Model!N26</f>
        <v>9748.3623000000007</v>
      </c>
      <c r="G50" s="3">
        <f>106.7*Model!O26</f>
        <v>7477.0025000000005</v>
      </c>
      <c r="H50" s="3">
        <f>113.7*Model!P26</f>
        <v>7436.4348</v>
      </c>
      <c r="I50" s="3">
        <f>Main!H4</f>
        <v>17263.0980925</v>
      </c>
    </row>
    <row r="51" spans="2:14" x14ac:dyDescent="0.25">
      <c r="B51" t="s">
        <v>13</v>
      </c>
      <c r="D51" s="3">
        <f>(Model!L61+Model!L67+Model!L68+Model!L69-Model!L44-Model!L45)+D50</f>
        <v>8976.006800000001</v>
      </c>
      <c r="E51" s="3">
        <f>(Model!M61+Model!M67+Model!M68+Model!M69-Model!M44-Model!M45)+E50</f>
        <v>5985.0865999999996</v>
      </c>
      <c r="F51" s="3">
        <f>(Model!N61+Model!N67+Model!N68+Model!N69-Model!N44-Model!N45)+F50</f>
        <v>9899.2623000000003</v>
      </c>
      <c r="G51" s="3">
        <f>(Model!O61+Model!O67+Model!O68+Model!O69-Model!O44-Model!O45)+G50</f>
        <v>7988.7025000000012</v>
      </c>
      <c r="H51" s="3">
        <f>(Model!P61+Model!P67+Model!P68+Model!P69-Model!P44-Model!P45)+H50</f>
        <v>8465.6347999999998</v>
      </c>
      <c r="I51" s="3">
        <f>Main!H7</f>
        <v>18264.198092500003</v>
      </c>
    </row>
    <row r="52" spans="2:14" x14ac:dyDescent="0.25">
      <c r="B52" t="s">
        <v>253</v>
      </c>
      <c r="D52" s="11">
        <f>D50/Model!L23</f>
        <v>23.844063123694614</v>
      </c>
      <c r="E52" s="11">
        <f>E50/Model!M23</f>
        <v>13.952866510538627</v>
      </c>
      <c r="F52" s="11">
        <f>F50/Model!N23</f>
        <v>-80.498450041288251</v>
      </c>
      <c r="G52" s="11">
        <f>G50/Model!O23</f>
        <v>12.459594234294283</v>
      </c>
      <c r="H52" s="11">
        <f>H50/Model!P23</f>
        <v>14.226965372106363</v>
      </c>
      <c r="I52" s="11">
        <f>I50/Model!Q23</f>
        <v>26.710657732477213</v>
      </c>
      <c r="K52" s="11">
        <f t="shared" ref="K52:K63" si="11">AVERAGE(G52:I52,D52)</f>
        <v>19.310320115643119</v>
      </c>
      <c r="L52" s="11">
        <f>MEDIAN(G52:I52,D52:E52)</f>
        <v>14.226965372106363</v>
      </c>
      <c r="N52" t="s">
        <v>254</v>
      </c>
    </row>
    <row r="53" spans="2:14" x14ac:dyDescent="0.25">
      <c r="B53" t="s">
        <v>255</v>
      </c>
      <c r="D53" s="10">
        <f>D52/131.6</f>
        <v>0.18118588999767946</v>
      </c>
      <c r="E53" s="10">
        <f>E52/73.8</f>
        <v>0.18906323185011689</v>
      </c>
      <c r="F53" s="10">
        <f>F52/133.3</f>
        <v>-0.60388934764657343</v>
      </c>
      <c r="G53" s="10">
        <f>G52/106.7</f>
        <v>0.11677220463256122</v>
      </c>
      <c r="H53" s="10">
        <f>H52/113.7</f>
        <v>0.12512722402907972</v>
      </c>
      <c r="I53" s="10">
        <f>I52/Main!H2</f>
        <v>9.5565859507968559E-2</v>
      </c>
      <c r="K53" s="10">
        <f t="shared" si="11"/>
        <v>0.12966279454182225</v>
      </c>
      <c r="L53" s="10">
        <f t="shared" ref="L53:L63" si="12">MEDIAN(G53:I53,D53:E53)</f>
        <v>0.12512722402907972</v>
      </c>
      <c r="N53" t="s">
        <v>256</v>
      </c>
    </row>
    <row r="54" spans="2:14" x14ac:dyDescent="0.25">
      <c r="B54" t="s">
        <v>257</v>
      </c>
      <c r="D54" s="14" t="s">
        <v>72</v>
      </c>
      <c r="E54" s="11">
        <f>E52/(Model!M23/Model!L23-1)</f>
        <v>-129.01910256204266</v>
      </c>
      <c r="F54" s="11">
        <f>F52/(Model!N23/Model!M23-1)</f>
        <v>61.210040266852168</v>
      </c>
      <c r="G54" s="11">
        <f>G52/(Model!O23/Model!N23-1)</f>
        <v>-2.0921476175444211</v>
      </c>
      <c r="H54" s="11">
        <f>H52/(Model!P23/Model!O23-1)</f>
        <v>-110.30493436435457</v>
      </c>
      <c r="I54" s="11">
        <f>I52/(Model!Q23/Model!P23-1)</f>
        <v>112.95842068580887</v>
      </c>
      <c r="K54" s="11">
        <f t="shared" si="11"/>
        <v>0.18711290130329417</v>
      </c>
      <c r="L54" s="11">
        <f t="shared" si="12"/>
        <v>-56.198540990949496</v>
      </c>
      <c r="N54" t="s">
        <v>258</v>
      </c>
    </row>
    <row r="55" spans="2:14" x14ac:dyDescent="0.25">
      <c r="B55" t="s">
        <v>259</v>
      </c>
      <c r="D55" s="11">
        <f>D50/Model!L83</f>
        <v>3.1255800681431003</v>
      </c>
      <c r="E55" s="11">
        <f>E50/Model!M83</f>
        <v>1.9910462292525333</v>
      </c>
      <c r="F55" s="11">
        <f>F50/Model!N83</f>
        <v>3.7430357471970535</v>
      </c>
      <c r="G55" s="11">
        <f>G50/Model!O83</f>
        <v>2.9483448343848582</v>
      </c>
      <c r="H55" s="11">
        <f>H50/Model!P83</f>
        <v>3.0596316807241322</v>
      </c>
      <c r="I55" s="11">
        <f>I50/Model!Q83</f>
        <v>7.0452997969636355</v>
      </c>
      <c r="K55" s="11">
        <f t="shared" si="11"/>
        <v>4.0447140950539318</v>
      </c>
      <c r="L55" s="11">
        <f t="shared" si="12"/>
        <v>3.0596316807241322</v>
      </c>
      <c r="N55" t="s">
        <v>260</v>
      </c>
    </row>
    <row r="56" spans="2:14" x14ac:dyDescent="0.25">
      <c r="B56" t="s">
        <v>261</v>
      </c>
      <c r="D56" s="11">
        <f>D50/(Model!L83-Model!L55-Model!L54)</f>
        <v>4.6619205953083158</v>
      </c>
      <c r="E56" s="11">
        <f>E50/(Model!M83-Model!M55-Model!M54)</f>
        <v>3.2763574483685662</v>
      </c>
      <c r="F56" s="11">
        <f>F50/(Model!N83-Model!N55-Model!N54)</f>
        <v>6.2945452960547605</v>
      </c>
      <c r="G56" s="11">
        <f>G50/(Model!O83-Model!O55-Model!O54)</f>
        <v>4.9048822487536086</v>
      </c>
      <c r="H56" s="11">
        <f>H50/(Model!P83-Model!P55-Model!P54)</f>
        <v>5.1545260969016464</v>
      </c>
      <c r="I56" s="11">
        <f>I50/(Model!Q83-Model!Q55-Model!Q54)</f>
        <v>11.61325132357887</v>
      </c>
      <c r="K56" s="11">
        <f t="shared" si="11"/>
        <v>6.5836450661356105</v>
      </c>
      <c r="L56" s="11">
        <f t="shared" si="12"/>
        <v>4.9048822487536086</v>
      </c>
      <c r="N56" t="s">
        <v>262</v>
      </c>
    </row>
    <row r="57" spans="2:14" x14ac:dyDescent="0.25">
      <c r="B57" t="s">
        <v>263</v>
      </c>
      <c r="D57" s="11">
        <f>D50/Model!L106</f>
        <v>13.108454707833637</v>
      </c>
      <c r="E57" s="11">
        <f>E50/Model!M106</f>
        <v>7.1058661542539054</v>
      </c>
      <c r="F57" s="11">
        <f>F50/Model!N106</f>
        <v>25.592970070884746</v>
      </c>
      <c r="G57" s="11">
        <f>G50/Model!O106</f>
        <v>10.444199608883919</v>
      </c>
      <c r="H57" s="11">
        <f>H50/Model!P106</f>
        <v>18.093515328467145</v>
      </c>
      <c r="I57" s="11">
        <f>I50/Model!Q106</f>
        <v>16.13826128120035</v>
      </c>
      <c r="K57" s="11">
        <f t="shared" si="11"/>
        <v>14.446107731596262</v>
      </c>
      <c r="L57" s="11">
        <f t="shared" si="12"/>
        <v>13.108454707833637</v>
      </c>
      <c r="N57" t="s">
        <v>264</v>
      </c>
    </row>
    <row r="58" spans="2:14" x14ac:dyDescent="0.25">
      <c r="B58" t="s">
        <v>265</v>
      </c>
      <c r="D58" s="11">
        <f>D50/Model!L10</f>
        <v>1.6274998891176937</v>
      </c>
      <c r="E58" s="11">
        <f>E50/Model!M10</f>
        <v>0.87049686678138893</v>
      </c>
      <c r="F58" s="11">
        <f>F50/Model!N10</f>
        <v>2.2151341347027813</v>
      </c>
      <c r="G58" s="11">
        <f>G50/Model!O10</f>
        <v>1.2023803972018976</v>
      </c>
      <c r="H58" s="11">
        <f>H50/Model!P10</f>
        <v>1.154080762306785</v>
      </c>
      <c r="I58" s="11">
        <f>I50/Model!Q10</f>
        <v>2.6032358314232291</v>
      </c>
      <c r="K58" s="11">
        <f t="shared" si="11"/>
        <v>1.6467992200124013</v>
      </c>
      <c r="L58" s="11">
        <f t="shared" si="12"/>
        <v>1.2023803972018976</v>
      </c>
      <c r="N58" t="s">
        <v>266</v>
      </c>
    </row>
    <row r="59" spans="2:14" x14ac:dyDescent="0.25">
      <c r="B59" s="9" t="s">
        <v>267</v>
      </c>
      <c r="K59" s="11"/>
      <c r="L59" s="11"/>
    </row>
    <row r="60" spans="2:14" x14ac:dyDescent="0.25">
      <c r="B60" t="s">
        <v>268</v>
      </c>
      <c r="D60" s="11">
        <f>D51/(Model!L17+Model!L91)</f>
        <v>10.646431977226905</v>
      </c>
      <c r="E60" s="11">
        <f>E51/(Model!M17+Model!M91)</f>
        <v>10.204751236146624</v>
      </c>
      <c r="F60" s="11">
        <f>F51/(Model!N17+Model!N91)</f>
        <v>48.525795588235276</v>
      </c>
      <c r="G60" s="11">
        <f>G51/(Model!O17+Model!O91)</f>
        <v>7.7703555101643813</v>
      </c>
      <c r="H60" s="11">
        <f>H51/(Model!P17+Model!P91)</f>
        <v>9.155006813020437</v>
      </c>
      <c r="I60" s="11">
        <f>I51/(Model!Q17+Model!Q91)</f>
        <v>18.534806263953744</v>
      </c>
      <c r="K60" s="11">
        <f t="shared" si="11"/>
        <v>11.526650141091366</v>
      </c>
      <c r="L60" s="11">
        <f t="shared" si="12"/>
        <v>10.204751236146624</v>
      </c>
      <c r="N60" t="s">
        <v>268</v>
      </c>
    </row>
    <row r="61" spans="2:14" x14ac:dyDescent="0.25">
      <c r="B61" t="s">
        <v>269</v>
      </c>
      <c r="D61" s="11">
        <f>Ratios!D51/Model!L17</f>
        <v>15.977228195087228</v>
      </c>
      <c r="E61" s="11">
        <f>Ratios!E51/Model!M17</f>
        <v>18.880399369085143</v>
      </c>
      <c r="F61" s="11">
        <f>Ratios!F51/Model!N17</f>
        <v>-227.04730045871608</v>
      </c>
      <c r="G61" s="11">
        <f>Ratios!G51/Model!O17</f>
        <v>10.005889904809619</v>
      </c>
      <c r="H61" s="11">
        <f>Ratios!H51/Model!P17</f>
        <v>12.021634194831009</v>
      </c>
      <c r="I61" s="11">
        <f>Ratios!I51/Model!Q17</f>
        <v>24.1462164099683</v>
      </c>
      <c r="K61" s="11">
        <f t="shared" si="11"/>
        <v>15.53774217617404</v>
      </c>
      <c r="L61" s="11">
        <f t="shared" si="12"/>
        <v>15.977228195087228</v>
      </c>
      <c r="N61" t="s">
        <v>269</v>
      </c>
    </row>
    <row r="62" spans="2:14" x14ac:dyDescent="0.25">
      <c r="B62" t="s">
        <v>270</v>
      </c>
      <c r="D62" s="11">
        <f>D51/(Model!L17*(1-Model!L39)+Model!L91+Model!L107+SUM(Model!L99:L105))</f>
        <v>23.749409176237659</v>
      </c>
      <c r="E62" s="11">
        <f>E51/(Model!M17*(1-Model!M39)+Model!M91+Model!M107+SUM(Model!M99:M105))</f>
        <v>13.668939626752815</v>
      </c>
      <c r="F62" s="11">
        <f>F51/(Model!N17*(1-Model!N39)+Model!N91+Model!N107+SUM(Model!N99:N105))</f>
        <v>63.68932845888164</v>
      </c>
      <c r="G62" s="11">
        <f>G51/(Model!O17*(1-Model!O39)+Model!O91+Model!O107+SUM(Model!O99:O105))</f>
        <v>16.436095027550397</v>
      </c>
      <c r="H62" s="11">
        <f>H51/(Model!P17*(1-Model!P39)+Model!P91+Model!P107+SUM(Model!P99:P105))</f>
        <v>154.91277282965646</v>
      </c>
      <c r="I62" s="11">
        <f>I51/(Model!Q17*(1-Model!Q39)+Model!Q91+Model!Q107+SUM(Model!Q99:Q105))</f>
        <v>23.350778856759334</v>
      </c>
      <c r="K62" s="11">
        <f t="shared" si="11"/>
        <v>54.61226397255097</v>
      </c>
      <c r="L62" s="11">
        <f t="shared" si="12"/>
        <v>23.350778856759334</v>
      </c>
      <c r="N62" t="s">
        <v>270</v>
      </c>
    </row>
    <row r="63" spans="2:14" x14ac:dyDescent="0.25">
      <c r="B63" t="s">
        <v>271</v>
      </c>
      <c r="D63" s="11">
        <f>D51/Model!L10</f>
        <v>1.4218290511642644</v>
      </c>
      <c r="E63" s="11">
        <f>E51/Model!M10</f>
        <v>0.97163651417253794</v>
      </c>
      <c r="F63" s="11">
        <f>F51/Model!N10</f>
        <v>2.2494233548445739</v>
      </c>
      <c r="G63" s="11">
        <f>G51/Model!O10</f>
        <v>1.2846671222963739</v>
      </c>
      <c r="H63" s="11">
        <f>H51/Model!P10</f>
        <v>1.3138051399838599</v>
      </c>
      <c r="I63" s="11">
        <f>I51/Model!Q10</f>
        <v>2.7541994288536364</v>
      </c>
      <c r="K63" s="11">
        <f t="shared" si="11"/>
        <v>1.6936251855745339</v>
      </c>
      <c r="L63" s="11">
        <f t="shared" si="12"/>
        <v>1.3138051399838599</v>
      </c>
      <c r="N63" t="s">
        <v>272</v>
      </c>
    </row>
  </sheetData>
  <hyperlinks>
    <hyperlink ref="A1" location="Main!A1" display="Main" xr:uid="{56587087-4FCD-48F6-BCF6-2206100A6B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2024-05-10T16:41:46Z</dcterms:created>
  <dcterms:modified xsi:type="dcterms:W3CDTF">2025-04-10T12:52:17Z</dcterms:modified>
  <cp:category/>
  <cp:contentStatus/>
</cp:coreProperties>
</file>