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8B505F6-CAF3-4D80-8229-15F33825524B}" xr6:coauthVersionLast="47" xr6:coauthVersionMax="47" xr10:uidLastSave="{00000000-0000-0000-0000-000000000000}"/>
  <bookViews>
    <workbookView xWindow="225" yWindow="1950" windowWidth="38175" windowHeight="15240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6" i="2" l="1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I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T32" i="4" l="1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<sst xmlns="http://schemas.openxmlformats.org/spreadsheetml/2006/main" count="368" uniqueCount="271">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</sst>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9" fillId="0" borderId="4" xfId="2" applyFont="1" applyBorder="1"/>
    <xf numFmtId="0" fontId="7" fillId="0" borderId="4" xfId="0" applyFont="1" applyBorder="1"/>
    <xf numFmtId="0" fontId="1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168" fontId="1" fillId="2" borderId="11" xfId="1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9" fontId="1" fillId="2" borderId="11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0" fontId="1" fillId="2" borderId="11" xfId="0" applyFont="1" applyFill="1" applyBorder="1" applyAlignment="1">
      <alignment horizontal="center"/>
    </xf>
    <xf numFmtId="0" fontId="7" fillId="0" borderId="0" xfId="0" applyFont="1"/>
    <xf numFmtId="169" fontId="1" fillId="2" borderId="11" xfId="1" applyNumberFormat="1" applyFont="1" applyFill="1" applyBorder="1" applyAlignment="1">
      <alignment horizontal="center"/>
    </xf>
    <xf numFmtId="170" fontId="6" fillId="3" borderId="0" xfId="0" applyNumberFormat="1" applyFont="1" applyFill="1"/>
    <xf numFmtId="167" fontId="1" fillId="0" borderId="0" xfId="0" applyNumberFormat="1" applyFont="1"/>
    <xf numFmtId="0" fontId="1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1" fillId="0" borderId="0" xfId="0" applyFont="1"/>
    <xf numFmtId="9" fontId="11" fillId="0" borderId="0" xfId="1" applyFont="1"/>
    <xf numFmtId="9" fontId="1" fillId="0" borderId="0" xfId="1" applyFont="1"/>
    <xf numFmtId="169" fontId="1" fillId="2" borderId="11" xfId="1" applyNumberFormat="1" applyFont="1" applyFill="1" applyBorder="1" applyAlignment="1">
      <alignment horizontal="right"/>
    </xf>
    <xf numFmtId="0" fontId="7" fillId="5" borderId="6" xfId="0" applyFont="1" applyFill="1" applyBorder="1"/>
    <xf numFmtId="0" fontId="7" fillId="5" borderId="7" xfId="0" applyFont="1" applyFill="1" applyBorder="1"/>
    <xf numFmtId="167" fontId="7" fillId="5" borderId="7" xfId="0" applyNumberFormat="1" applyFont="1" applyFill="1" applyBorder="1"/>
    <xf numFmtId="167" fontId="7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7" fillId="5" borderId="12" xfId="0" applyNumberFormat="1" applyFont="1" applyFill="1" applyBorder="1"/>
    <xf numFmtId="164" fontId="7" fillId="5" borderId="13" xfId="0" applyNumberFormat="1" applyFont="1" applyFill="1" applyBorder="1"/>
    <xf numFmtId="167" fontId="7" fillId="5" borderId="13" xfId="0" applyNumberFormat="1" applyFont="1" applyFill="1" applyBorder="1"/>
    <xf numFmtId="167" fontId="7" fillId="5" borderId="14" xfId="0" applyNumberFormat="1" applyFont="1" applyFill="1" applyBorder="1"/>
    <xf numFmtId="164" fontId="7" fillId="5" borderId="3" xfId="0" applyNumberFormat="1" applyFont="1" applyFill="1" applyBorder="1"/>
    <xf numFmtId="164" fontId="7" fillId="5" borderId="4" xfId="0" applyNumberFormat="1" applyFont="1" applyFill="1" applyBorder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7" xfId="0" applyNumberFormat="1" applyFont="1" applyBorder="1"/>
    <xf numFmtId="164" fontId="1" fillId="0" borderId="7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6" borderId="12" xfId="0" applyFont="1" applyFill="1" applyBorder="1"/>
    <xf numFmtId="2" fontId="12" fillId="6" borderId="13" xfId="0" applyNumberFormat="1" applyFont="1" applyFill="1" applyBorder="1"/>
    <xf numFmtId="169" fontId="6" fillId="6" borderId="13" xfId="0" applyNumberFormat="1" applyFont="1" applyFill="1" applyBorder="1"/>
    <xf numFmtId="169" fontId="6" fillId="6" borderId="0" xfId="0" applyNumberFormat="1" applyFont="1" applyFill="1"/>
    <xf numFmtId="171" fontId="1" fillId="0" borderId="0" xfId="0" applyNumberFormat="1" applyFont="1"/>
    <xf numFmtId="171" fontId="7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3" fillId="0" borderId="0" xfId="0" applyFont="1"/>
    <xf numFmtId="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9" fillId="0" borderId="0" xfId="2" applyFont="1"/>
    <xf numFmtId="167" fontId="7" fillId="0" borderId="0" xfId="0" applyNumberFormat="1" applyFont="1"/>
    <xf numFmtId="172" fontId="1" fillId="0" borderId="0" xfId="0" applyNumberFormat="1" applyFont="1"/>
    <xf numFmtId="164" fontId="7" fillId="0" borderId="0" xfId="0" applyNumberFormat="1" applyFont="1"/>
    <xf numFmtId="9" fontId="7" fillId="0" borderId="0" xfId="1" applyFont="1"/>
    <xf numFmtId="169" fontId="1" fillId="0" borderId="0" xfId="1" applyNumberFormat="1" applyFont="1"/>
    <xf numFmtId="0" fontId="10" fillId="0" borderId="6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5" xfId="0" applyFont="1" applyBorder="1"/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tabSelected="1" zoomScale="200" zoomScaleNormal="200" workbookViewId="0">
      <selection activeCell="B4" sqref="B4"/>
    </sheetView>
  </sheetViews>
  <sheetFormatPr defaultRowHeight="12.75" x14ac:dyDescent="0.2"/>
  <cols>
    <col min="1" max="1" width="4.7109375" style="4" customWidth="1"/>
    <col min="2" max="2" width="21.140625" style="4" bestFit="1" customWidth="1"/>
    <col min="3" max="3" width="9.140625" style="4"/>
    <col min="4" max="4" width="64.140625" style="4" bestFit="1" customWidth="1"/>
    <col min="5" max="5" width="9.140625" style="4"/>
    <col min="6" max="6" width="9.85546875" style="4" customWidth="1"/>
    <col min="7" max="8" width="9.140625" style="4"/>
    <col min="9" max="9" width="8.85546875" style="4" bestFit="1" customWidth="1"/>
    <col min="10" max="16384" width="9.140625" style="4"/>
  </cols>
  <sheetData>
    <row r="1" spans="1:10" x14ac:dyDescent="0.2">
      <c r="A1" s="18" t="s">
        <v>0</v>
      </c>
    </row>
    <row r="2" spans="1:10" x14ac:dyDescent="0.2">
      <c r="A2" s="4" t="s">
        <v>145</v>
      </c>
    </row>
    <row r="4" spans="1:10" x14ac:dyDescent="0.2">
      <c r="B4" s="63" t="s">
        <v>15</v>
      </c>
      <c r="H4" s="4" t="s">
        <v>1</v>
      </c>
      <c r="I4" s="43">
        <v>470.25</v>
      </c>
    </row>
    <row r="5" spans="1:10" x14ac:dyDescent="0.2">
      <c r="B5" s="4" t="s">
        <v>146</v>
      </c>
      <c r="H5" s="4" t="s">
        <v>2</v>
      </c>
      <c r="I5" s="43">
        <v>498.43926599999998</v>
      </c>
      <c r="J5" s="57" t="s">
        <v>223</v>
      </c>
    </row>
    <row r="6" spans="1:10" x14ac:dyDescent="0.2">
      <c r="H6" s="4" t="s">
        <v>3</v>
      </c>
      <c r="I6" s="61">
        <f>I5*I4</f>
        <v>234391.06483649998</v>
      </c>
    </row>
    <row r="7" spans="1:10" x14ac:dyDescent="0.2">
      <c r="B7" s="69" t="s">
        <v>25</v>
      </c>
      <c r="C7" s="47" t="s">
        <v>26</v>
      </c>
      <c r="D7" s="47" t="s">
        <v>27</v>
      </c>
      <c r="E7" s="47" t="s">
        <v>28</v>
      </c>
      <c r="F7" s="70"/>
      <c r="H7" s="4" t="s">
        <v>4</v>
      </c>
      <c r="I7" s="61">
        <v>8176</v>
      </c>
      <c r="J7" s="57" t="s">
        <v>223</v>
      </c>
    </row>
    <row r="8" spans="1:10" x14ac:dyDescent="0.2">
      <c r="B8" s="71" t="s">
        <v>18</v>
      </c>
      <c r="C8" s="60">
        <v>7.0000000000000007E-2</v>
      </c>
      <c r="D8" s="4" t="s">
        <v>136</v>
      </c>
      <c r="F8" s="72"/>
      <c r="H8" s="4" t="s">
        <v>5</v>
      </c>
      <c r="I8" s="61">
        <f>12454+9927</f>
        <v>22381</v>
      </c>
      <c r="J8" s="57" t="s">
        <v>223</v>
      </c>
    </row>
    <row r="9" spans="1:10" x14ac:dyDescent="0.2">
      <c r="B9" s="71" t="s">
        <v>19</v>
      </c>
      <c r="C9" s="60">
        <v>0.51</v>
      </c>
      <c r="D9" s="4" t="s">
        <v>139</v>
      </c>
      <c r="E9" s="4" t="s">
        <v>203</v>
      </c>
      <c r="F9" s="72"/>
      <c r="H9" s="4" t="s">
        <v>6</v>
      </c>
      <c r="I9" s="61">
        <f>I6+I8-I7</f>
        <v>248596.06483649998</v>
      </c>
    </row>
    <row r="10" spans="1:10" x14ac:dyDescent="0.2">
      <c r="B10" s="71" t="s">
        <v>24</v>
      </c>
      <c r="C10" s="60">
        <v>0.11</v>
      </c>
      <c r="D10" s="4" t="s">
        <v>138</v>
      </c>
      <c r="F10" s="72"/>
      <c r="I10" s="61"/>
    </row>
    <row r="11" spans="1:10" x14ac:dyDescent="0.2">
      <c r="B11" s="71" t="s">
        <v>20</v>
      </c>
      <c r="C11" s="60">
        <v>0.12</v>
      </c>
      <c r="D11" s="4" t="s">
        <v>137</v>
      </c>
      <c r="E11" s="4" t="s">
        <v>29</v>
      </c>
      <c r="F11" s="72"/>
      <c r="H11" s="4" t="s">
        <v>210</v>
      </c>
    </row>
    <row r="12" spans="1:10" x14ac:dyDescent="0.2">
      <c r="B12" s="73" t="s">
        <v>21</v>
      </c>
      <c r="C12" s="74">
        <v>0.2</v>
      </c>
      <c r="D12" s="3" t="s">
        <v>140</v>
      </c>
      <c r="E12" s="3"/>
      <c r="F12" s="75"/>
      <c r="H12" s="4" t="s">
        <v>220</v>
      </c>
    </row>
    <row r="13" spans="1:10" x14ac:dyDescent="0.2">
      <c r="H13" s="59" t="s">
        <v>207</v>
      </c>
    </row>
    <row r="14" spans="1:10" x14ac:dyDescent="0.2">
      <c r="A14" s="58" t="s">
        <v>17</v>
      </c>
      <c r="B14" s="59" t="s">
        <v>204</v>
      </c>
      <c r="H14" s="4" t="s">
        <v>208</v>
      </c>
      <c r="J14" s="4" t="s">
        <v>209</v>
      </c>
    </row>
    <row r="15" spans="1:10" x14ac:dyDescent="0.2">
      <c r="A15" s="58"/>
      <c r="B15" s="4" t="s">
        <v>219</v>
      </c>
      <c r="H15" s="4" t="s">
        <v>250</v>
      </c>
      <c r="J15" s="4" t="s">
        <v>251</v>
      </c>
    </row>
    <row r="16" spans="1:10" x14ac:dyDescent="0.2">
      <c r="A16" s="58"/>
      <c r="H16" s="4" t="s">
        <v>252</v>
      </c>
      <c r="J16" s="4" t="s">
        <v>253</v>
      </c>
    </row>
    <row r="17" spans="1:10" x14ac:dyDescent="0.2">
      <c r="A17" s="58"/>
      <c r="H17" s="4" t="s">
        <v>254</v>
      </c>
      <c r="J17" s="4" t="s">
        <v>255</v>
      </c>
    </row>
    <row r="18" spans="1:10" x14ac:dyDescent="0.2">
      <c r="A18" s="58"/>
      <c r="H18" s="4" t="s">
        <v>256</v>
      </c>
      <c r="J18" s="4" t="s">
        <v>257</v>
      </c>
    </row>
    <row r="19" spans="1:10" x14ac:dyDescent="0.2">
      <c r="A19" s="58"/>
      <c r="H19" s="4" t="s">
        <v>258</v>
      </c>
      <c r="J19" s="4" t="s">
        <v>259</v>
      </c>
    </row>
    <row r="20" spans="1:10" x14ac:dyDescent="0.2">
      <c r="A20" s="58"/>
    </row>
    <row r="21" spans="1:10" x14ac:dyDescent="0.2">
      <c r="A21" s="58"/>
    </row>
    <row r="22" spans="1:10" x14ac:dyDescent="0.2">
      <c r="A22" s="58"/>
    </row>
    <row r="23" spans="1:10" x14ac:dyDescent="0.2">
      <c r="A23" s="58"/>
    </row>
    <row r="24" spans="1:10" x14ac:dyDescent="0.2">
      <c r="B24" s="4" t="s">
        <v>206</v>
      </c>
    </row>
    <row r="25" spans="1:10" x14ac:dyDescent="0.2">
      <c r="B25" s="4" t="s">
        <v>211</v>
      </c>
    </row>
    <row r="26" spans="1:10" x14ac:dyDescent="0.2">
      <c r="B26" s="4" t="s">
        <v>212</v>
      </c>
    </row>
    <row r="27" spans="1:10" x14ac:dyDescent="0.2">
      <c r="B27" s="4" t="s">
        <v>213</v>
      </c>
    </row>
    <row r="28" spans="1:10" x14ac:dyDescent="0.2">
      <c r="B28" s="4" t="s">
        <v>214</v>
      </c>
    </row>
    <row r="29" spans="1:10" x14ac:dyDescent="0.2">
      <c r="B29" s="4" t="s">
        <v>215</v>
      </c>
    </row>
    <row r="30" spans="1:10" x14ac:dyDescent="0.2">
      <c r="B30" s="4" t="s">
        <v>216</v>
      </c>
    </row>
    <row r="31" spans="1:10" x14ac:dyDescent="0.2">
      <c r="B31" s="4" t="s">
        <v>217</v>
      </c>
    </row>
    <row r="32" spans="1:10" x14ac:dyDescent="0.2">
      <c r="B32" s="4" t="s">
        <v>218</v>
      </c>
    </row>
    <row r="46" spans="2:2" x14ac:dyDescent="0.2">
      <c r="B46" s="4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4" bestFit="1" customWidth="1"/>
    <col min="2" max="2" width="22.42578125" style="4" customWidth="1"/>
    <col min="3" max="16384" width="9.140625" style="4"/>
  </cols>
  <sheetData>
    <row r="1" spans="1:42" x14ac:dyDescent="0.2">
      <c r="A1" s="63" t="s">
        <v>7</v>
      </c>
    </row>
    <row r="2" spans="1:42" x14ac:dyDescent="0.2">
      <c r="C2" s="57" t="s">
        <v>226</v>
      </c>
      <c r="D2" s="57" t="s">
        <v>222</v>
      </c>
      <c r="E2" s="57" t="s">
        <v>227</v>
      </c>
      <c r="F2" s="57" t="s">
        <v>228</v>
      </c>
      <c r="G2" s="57" t="s">
        <v>221</v>
      </c>
      <c r="H2" s="57" t="s">
        <v>223</v>
      </c>
      <c r="I2" s="57" t="s">
        <v>224</v>
      </c>
      <c r="J2" s="57" t="s">
        <v>225</v>
      </c>
    </row>
    <row r="3" spans="1:42" x14ac:dyDescent="0.2">
      <c r="B3" s="4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">
      <c r="B4" s="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">
      <c r="B5" s="4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">
      <c r="B6" s="4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">
      <c r="B7" s="4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">
      <c r="B8" s="4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">
      <c r="B9" s="4" t="s">
        <v>18</v>
      </c>
      <c r="C9" s="21">
        <v>1417</v>
      </c>
      <c r="D9" s="21">
        <v>1391</v>
      </c>
      <c r="E9" s="21"/>
      <c r="F9" s="21"/>
      <c r="G9" s="21">
        <v>1305</v>
      </c>
      <c r="H9" s="21">
        <v>1283</v>
      </c>
      <c r="I9" s="21"/>
      <c r="J9" s="21"/>
      <c r="K9" s="21"/>
      <c r="L9" s="21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x14ac:dyDescent="0.2">
      <c r="B10" s="4" t="s">
        <v>19</v>
      </c>
      <c r="C10" s="21">
        <v>10490</v>
      </c>
      <c r="D10" s="21">
        <v>10281</v>
      </c>
      <c r="E10" s="21"/>
      <c r="F10" s="21"/>
      <c r="G10" s="21">
        <v>10108</v>
      </c>
      <c r="H10" s="21">
        <v>9006</v>
      </c>
      <c r="I10" s="21"/>
      <c r="J10" s="21"/>
      <c r="K10" s="21"/>
      <c r="L10" s="21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</row>
    <row r="11" spans="1:42" x14ac:dyDescent="0.2">
      <c r="B11" s="4" t="s">
        <v>24</v>
      </c>
      <c r="C11" s="21">
        <v>2182</v>
      </c>
      <c r="D11" s="21">
        <v>1953</v>
      </c>
      <c r="E11" s="21"/>
      <c r="F11" s="21"/>
      <c r="G11" s="21">
        <v>2178</v>
      </c>
      <c r="H11" s="21">
        <v>1904</v>
      </c>
      <c r="I11" s="21"/>
      <c r="J11" s="21"/>
      <c r="K11" s="21"/>
      <c r="L11" s="21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 spans="1:42" x14ac:dyDescent="0.2">
      <c r="B12" s="4" t="s">
        <v>20</v>
      </c>
      <c r="C12" s="21">
        <v>2466</v>
      </c>
      <c r="D12" s="21">
        <v>2685</v>
      </c>
      <c r="E12" s="21"/>
      <c r="F12" s="21"/>
      <c r="G12" s="21">
        <v>2482</v>
      </c>
      <c r="H12" s="21">
        <v>2608</v>
      </c>
      <c r="I12" s="21"/>
      <c r="J12" s="21"/>
      <c r="K12" s="21"/>
      <c r="L12" s="21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</row>
    <row r="13" spans="1:42" x14ac:dyDescent="0.2">
      <c r="B13" s="4" t="s">
        <v>21</v>
      </c>
      <c r="C13" s="21">
        <v>4175</v>
      </c>
      <c r="D13" s="21">
        <v>4457</v>
      </c>
      <c r="E13" s="21"/>
      <c r="F13" s="21"/>
      <c r="G13" s="21">
        <v>4189</v>
      </c>
      <c r="H13" s="21">
        <v>4431</v>
      </c>
      <c r="I13" s="21"/>
      <c r="J13" s="21"/>
      <c r="K13" s="21"/>
      <c r="L13" s="21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2" x14ac:dyDescent="0.2">
      <c r="B14" s="4" t="s">
        <v>22</v>
      </c>
      <c r="C14" s="21">
        <v>-36</v>
      </c>
      <c r="D14" s="21">
        <f>552-336</f>
        <v>216</v>
      </c>
      <c r="E14" s="21"/>
      <c r="F14" s="21"/>
      <c r="G14" s="21">
        <v>49</v>
      </c>
      <c r="H14" s="21">
        <f>609-341</f>
        <v>268</v>
      </c>
      <c r="I14" s="21"/>
      <c r="J14" s="21"/>
      <c r="K14" s="21"/>
      <c r="L14" s="21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2" x14ac:dyDescent="0.2">
      <c r="B15" s="18" t="s">
        <v>23</v>
      </c>
      <c r="C15" s="64">
        <f>+SUM(C9:C14)</f>
        <v>20694</v>
      </c>
      <c r="D15" s="64">
        <f>+SUM(D9:D14)</f>
        <v>20983</v>
      </c>
      <c r="E15" s="43"/>
      <c r="F15" s="43"/>
      <c r="G15" s="64">
        <f>+SUM(G9:G14)</f>
        <v>20311</v>
      </c>
      <c r="H15" s="64">
        <f>+SUM(H9:H14)</f>
        <v>19500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2" x14ac:dyDescent="0.2">
      <c r="E16" s="43"/>
      <c r="F16" s="43"/>
      <c r="G16" s="68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</row>
    <row r="17" spans="2:42" x14ac:dyDescent="0.2">
      <c r="B17" s="4" t="s">
        <v>241</v>
      </c>
      <c r="E17" s="43"/>
      <c r="F17" s="43"/>
      <c r="G17" s="68">
        <f t="shared" ref="G17:H22" si="0">+G3/C3-1</f>
        <v>2.4165794748320035E-2</v>
      </c>
      <c r="H17" s="68" t="e">
        <f t="shared" si="0"/>
        <v>#DIV/0!</v>
      </c>
      <c r="I17" s="68" t="e">
        <f t="shared" ref="I17:I22" si="1">+I3/E3-1</f>
        <v>#DIV/0!</v>
      </c>
      <c r="J17" s="68" t="e">
        <f t="shared" ref="J17:J22" si="2">+J3/F3-1</f>
        <v>#DIV/0!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</row>
    <row r="18" spans="2:42" x14ac:dyDescent="0.2">
      <c r="B18" s="4" t="s">
        <v>242</v>
      </c>
      <c r="D18" s="26"/>
      <c r="E18" s="43"/>
      <c r="F18" s="43"/>
      <c r="G18" s="68">
        <f t="shared" si="0"/>
        <v>0.12170539424816029</v>
      </c>
      <c r="H18" s="68" t="e">
        <f t="shared" si="0"/>
        <v>#DIV/0!</v>
      </c>
      <c r="I18" s="68" t="e">
        <f t="shared" si="1"/>
        <v>#DIV/0!</v>
      </c>
      <c r="J18" s="68" t="e">
        <f t="shared" si="2"/>
        <v>#DIV/0!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</row>
    <row r="19" spans="2:42" x14ac:dyDescent="0.2">
      <c r="B19" s="4" t="s">
        <v>243</v>
      </c>
      <c r="E19" s="43"/>
      <c r="F19" s="43"/>
      <c r="G19" s="68">
        <f t="shared" si="0"/>
        <v>-1.8507780032859689E-2</v>
      </c>
      <c r="H19" s="68" t="e">
        <f t="shared" si="0"/>
        <v>#DIV/0!</v>
      </c>
      <c r="I19" s="68" t="e">
        <f t="shared" si="1"/>
        <v>#DIV/0!</v>
      </c>
      <c r="J19" s="68" t="e">
        <f t="shared" si="2"/>
        <v>#DIV/0!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2:42" x14ac:dyDescent="0.2">
      <c r="B20" s="4" t="s">
        <v>244</v>
      </c>
      <c r="E20" s="43"/>
      <c r="F20" s="43"/>
      <c r="G20" s="68">
        <f t="shared" si="0"/>
        <v>-0.10773434548441796</v>
      </c>
      <c r="H20" s="68" t="e">
        <f t="shared" si="0"/>
        <v>#DIV/0!</v>
      </c>
      <c r="I20" s="68" t="e">
        <f t="shared" si="1"/>
        <v>#DIV/0!</v>
      </c>
      <c r="J20" s="68" t="e">
        <f t="shared" si="2"/>
        <v>#DIV/0!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2:42" x14ac:dyDescent="0.2">
      <c r="B21" s="4" t="s">
        <v>245</v>
      </c>
      <c r="E21" s="43"/>
      <c r="F21" s="43"/>
      <c r="G21" s="68">
        <f t="shared" si="0"/>
        <v>-1.85077800328598E-2</v>
      </c>
      <c r="H21" s="68" t="e">
        <f t="shared" si="0"/>
        <v>#DIV/0!</v>
      </c>
      <c r="I21" s="68" t="e">
        <f t="shared" si="1"/>
        <v>#DIV/0!</v>
      </c>
      <c r="J21" s="68" t="e">
        <f t="shared" si="2"/>
        <v>#DIV/0!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2:42" x14ac:dyDescent="0.2">
      <c r="B22" s="4" t="s">
        <v>246</v>
      </c>
      <c r="E22" s="43"/>
      <c r="F22" s="43"/>
      <c r="G22" s="68">
        <f t="shared" si="0"/>
        <v>5.699162150307413E-2</v>
      </c>
      <c r="H22" s="68" t="e">
        <f t="shared" si="0"/>
        <v>#DIV/0!</v>
      </c>
      <c r="I22" s="68" t="e">
        <f t="shared" si="1"/>
        <v>#DIV/0!</v>
      </c>
      <c r="J22" s="68" t="e">
        <f t="shared" si="2"/>
        <v>#DIV/0!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x14ac:dyDescent="0.2">
      <c r="B23" s="4" t="s">
        <v>229</v>
      </c>
      <c r="E23" s="43"/>
      <c r="F23" s="43"/>
      <c r="G23" s="68">
        <f>+G9/C9-1</f>
        <v>-7.9040225829216659E-2</v>
      </c>
      <c r="H23" s="68">
        <f t="shared" ref="H23:J27" si="3">+H9/D9-1</f>
        <v>-7.7641984184040225E-2</v>
      </c>
      <c r="I23" s="68" t="e">
        <f t="shared" si="3"/>
        <v>#DIV/0!</v>
      </c>
      <c r="J23" s="68" t="e">
        <f t="shared" si="3"/>
        <v>#DIV/0!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</row>
    <row r="24" spans="2:42" x14ac:dyDescent="0.2">
      <c r="B24" s="4" t="s">
        <v>230</v>
      </c>
      <c r="E24" s="43"/>
      <c r="F24" s="43"/>
      <c r="G24" s="68">
        <f t="shared" ref="G24:G27" si="4">+G10/C10-1</f>
        <v>-3.6415633937082914E-2</v>
      </c>
      <c r="H24" s="68">
        <f t="shared" si="3"/>
        <v>-0.12401517362124304</v>
      </c>
      <c r="I24" s="68" t="e">
        <f t="shared" si="3"/>
        <v>#DIV/0!</v>
      </c>
      <c r="J24" s="68" t="e">
        <f t="shared" si="3"/>
        <v>#DIV/0!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</row>
    <row r="25" spans="2:42" x14ac:dyDescent="0.2">
      <c r="B25" s="4" t="s">
        <v>231</v>
      </c>
      <c r="E25" s="43"/>
      <c r="F25" s="43"/>
      <c r="G25" s="68">
        <f t="shared" si="4"/>
        <v>-1.8331805682859637E-3</v>
      </c>
      <c r="H25" s="68">
        <f t="shared" si="3"/>
        <v>-2.508960573476704E-2</v>
      </c>
      <c r="I25" s="68" t="e">
        <f t="shared" si="3"/>
        <v>#DIV/0!</v>
      </c>
      <c r="J25" s="68" t="e">
        <f t="shared" si="3"/>
        <v>#DIV/0!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2:42" x14ac:dyDescent="0.2">
      <c r="B26" s="4" t="s">
        <v>232</v>
      </c>
      <c r="E26" s="43"/>
      <c r="F26" s="43"/>
      <c r="G26" s="68">
        <f t="shared" si="4"/>
        <v>6.4882400648824667E-3</v>
      </c>
      <c r="H26" s="68">
        <f t="shared" si="3"/>
        <v>-2.8677839851024234E-2</v>
      </c>
      <c r="I26" s="68" t="e">
        <f t="shared" si="3"/>
        <v>#DIV/0!</v>
      </c>
      <c r="J26" s="68" t="e">
        <f t="shared" si="3"/>
        <v>#DIV/0!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2:42" x14ac:dyDescent="0.2">
      <c r="B27" s="4" t="s">
        <v>234</v>
      </c>
      <c r="E27" s="43"/>
      <c r="F27" s="43"/>
      <c r="G27" s="68">
        <f t="shared" si="4"/>
        <v>3.3532934131736969E-3</v>
      </c>
      <c r="H27" s="68">
        <f t="shared" si="3"/>
        <v>-5.8335203051379514E-3</v>
      </c>
      <c r="I27" s="68" t="e">
        <f t="shared" si="3"/>
        <v>#DIV/0!</v>
      </c>
      <c r="J27" s="68" t="e">
        <f t="shared" si="3"/>
        <v>#DIV/0!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</row>
    <row r="28" spans="2:42" x14ac:dyDescent="0.2">
      <c r="B28" s="18" t="s">
        <v>46</v>
      </c>
      <c r="E28" s="43"/>
      <c r="F28" s="43"/>
      <c r="G28" s="68">
        <f>+G15/C15-1</f>
        <v>-1.85077800328598E-2</v>
      </c>
      <c r="H28" s="68">
        <f t="shared" ref="H28:J28" si="5">+H15/D15-1</f>
        <v>-7.0676261735690749E-2</v>
      </c>
      <c r="I28" s="68" t="e">
        <f t="shared" si="5"/>
        <v>#DIV/0!</v>
      </c>
      <c r="J28" s="68" t="e">
        <f t="shared" si="5"/>
        <v>#DIV/0!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x14ac:dyDescent="0.2"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x14ac:dyDescent="0.2"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</row>
    <row r="31" spans="2:42" x14ac:dyDescent="0.2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</row>
    <row r="32" spans="2:42" x14ac:dyDescent="0.2"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</row>
    <row r="33" spans="5:42" x14ac:dyDescent="0.2"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</row>
    <row r="34" spans="5:42" x14ac:dyDescent="0.2"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5:42" x14ac:dyDescent="0.2"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5:42" x14ac:dyDescent="0.2"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</row>
    <row r="37" spans="5:42" x14ac:dyDescent="0.2"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</row>
    <row r="38" spans="5:42" x14ac:dyDescent="0.2"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5:42" x14ac:dyDescent="0.2"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</row>
    <row r="40" spans="5:42" x14ac:dyDescent="0.2"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</row>
    <row r="41" spans="5:42" x14ac:dyDescent="0.2"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</row>
    <row r="42" spans="5:42" x14ac:dyDescent="0.2"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</row>
    <row r="43" spans="5:42" x14ac:dyDescent="0.2"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5:42" x14ac:dyDescent="0.2"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5:42" x14ac:dyDescent="0.2"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5:42" x14ac:dyDescent="0.2"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5:42" x14ac:dyDescent="0.2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5:42" x14ac:dyDescent="0.2"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</row>
    <row r="49" spans="5:42" x14ac:dyDescent="0.2"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</row>
    <row r="50" spans="5:42" x14ac:dyDescent="0.2"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</row>
    <row r="51" spans="5:42" x14ac:dyDescent="0.2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</row>
    <row r="52" spans="5:42" x14ac:dyDescent="0.2"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</row>
    <row r="53" spans="5:42" x14ac:dyDescent="0.2"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</row>
    <row r="54" spans="5:42" x14ac:dyDescent="0.2"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</row>
    <row r="55" spans="5:42" x14ac:dyDescent="0.2"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</row>
    <row r="56" spans="5:42" x14ac:dyDescent="0.2"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</row>
    <row r="57" spans="5:42" x14ac:dyDescent="0.2"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</row>
    <row r="58" spans="5:42" x14ac:dyDescent="0.2"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</row>
    <row r="59" spans="5:42" x14ac:dyDescent="0.2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</row>
    <row r="60" spans="5:42" x14ac:dyDescent="0.2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</row>
    <row r="61" spans="5:42" x14ac:dyDescent="0.2"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</row>
    <row r="62" spans="5:42" x14ac:dyDescent="0.2"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</row>
    <row r="63" spans="5:42" x14ac:dyDescent="0.2"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</row>
    <row r="64" spans="5:42" x14ac:dyDescent="0.2"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</row>
    <row r="65" spans="5:42" x14ac:dyDescent="0.2"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</row>
    <row r="66" spans="5:42" x14ac:dyDescent="0.2"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</row>
    <row r="67" spans="5:42" x14ac:dyDescent="0.2"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</row>
    <row r="68" spans="5:42" x14ac:dyDescent="0.2"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</row>
    <row r="69" spans="5:42" x14ac:dyDescent="0.2"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</row>
    <row r="70" spans="5:42" x14ac:dyDescent="0.2"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</row>
    <row r="71" spans="5:42" x14ac:dyDescent="0.2"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</row>
    <row r="72" spans="5:42" x14ac:dyDescent="0.2"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</row>
    <row r="73" spans="5:42" x14ac:dyDescent="0.2"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</row>
    <row r="74" spans="5:42" x14ac:dyDescent="0.2"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</row>
    <row r="75" spans="5:42" x14ac:dyDescent="0.2"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</row>
    <row r="76" spans="5:42" x14ac:dyDescent="0.2"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</row>
    <row r="77" spans="5:42" x14ac:dyDescent="0.2"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</row>
    <row r="78" spans="5:42" x14ac:dyDescent="0.2"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</row>
    <row r="79" spans="5:42" x14ac:dyDescent="0.2"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</row>
    <row r="80" spans="5:42" x14ac:dyDescent="0.2"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</row>
    <row r="81" spans="5:42" x14ac:dyDescent="0.2"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</row>
    <row r="82" spans="5:42" x14ac:dyDescent="0.2"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</row>
    <row r="83" spans="5:42" x14ac:dyDescent="0.2"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</row>
    <row r="84" spans="5:42" x14ac:dyDescent="0.2"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</row>
    <row r="85" spans="5:42" x14ac:dyDescent="0.2"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</row>
    <row r="86" spans="5:42" x14ac:dyDescent="0.2"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</row>
    <row r="87" spans="5:42" x14ac:dyDescent="0.2"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</row>
    <row r="88" spans="5:42" x14ac:dyDescent="0.2"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</row>
    <row r="89" spans="5:42" x14ac:dyDescent="0.2"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</row>
    <row r="90" spans="5:42" x14ac:dyDescent="0.2"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</row>
    <row r="91" spans="5:42" x14ac:dyDescent="0.2"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</row>
    <row r="92" spans="5:42" x14ac:dyDescent="0.2"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</row>
    <row r="93" spans="5:42" x14ac:dyDescent="0.2"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</row>
    <row r="94" spans="5:42" x14ac:dyDescent="0.2"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</row>
    <row r="95" spans="5:42" x14ac:dyDescent="0.2"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</row>
    <row r="96" spans="5:42" x14ac:dyDescent="0.2"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</row>
    <row r="97" spans="5:42" x14ac:dyDescent="0.2"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</row>
    <row r="98" spans="5:42" x14ac:dyDescent="0.2"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</row>
    <row r="99" spans="5:42" x14ac:dyDescent="0.2"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</row>
    <row r="100" spans="5:42" x14ac:dyDescent="0.2"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</row>
    <row r="101" spans="5:42" x14ac:dyDescent="0.2"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</row>
    <row r="102" spans="5:42" x14ac:dyDescent="0.2"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</row>
    <row r="103" spans="5:42" x14ac:dyDescent="0.2"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</row>
    <row r="104" spans="5:42" x14ac:dyDescent="0.2"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</row>
    <row r="105" spans="5:42" x14ac:dyDescent="0.2"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</row>
    <row r="106" spans="5:42" x14ac:dyDescent="0.2"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</row>
    <row r="107" spans="5:42" x14ac:dyDescent="0.2"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</row>
    <row r="108" spans="5:42" x14ac:dyDescent="0.2"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</row>
    <row r="109" spans="5:42" x14ac:dyDescent="0.2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</row>
    <row r="110" spans="5:42" x14ac:dyDescent="0.2"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</row>
    <row r="111" spans="5:42" x14ac:dyDescent="0.2"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</row>
    <row r="112" spans="5:42" x14ac:dyDescent="0.2"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</row>
    <row r="113" spans="5:42" x14ac:dyDescent="0.2"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</row>
    <row r="114" spans="5:42" x14ac:dyDescent="0.2"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</row>
    <row r="115" spans="5:42" x14ac:dyDescent="0.2"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</row>
    <row r="116" spans="5:42" x14ac:dyDescent="0.2"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</row>
    <row r="117" spans="5:42" x14ac:dyDescent="0.2"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</row>
    <row r="118" spans="5:42" x14ac:dyDescent="0.2"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</row>
    <row r="119" spans="5:42" x14ac:dyDescent="0.2"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</row>
    <row r="120" spans="5:42" x14ac:dyDescent="0.2"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</row>
    <row r="121" spans="5:42" x14ac:dyDescent="0.2"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</row>
    <row r="122" spans="5:42" x14ac:dyDescent="0.2"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</row>
    <row r="123" spans="5:42" x14ac:dyDescent="0.2"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</row>
    <row r="124" spans="5:42" x14ac:dyDescent="0.2"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</row>
    <row r="125" spans="5:42" x14ac:dyDescent="0.2"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</row>
    <row r="126" spans="5:42" x14ac:dyDescent="0.2"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</row>
    <row r="127" spans="5:42" x14ac:dyDescent="0.2"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</row>
    <row r="128" spans="5:42" x14ac:dyDescent="0.2"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</row>
    <row r="129" spans="5:42" x14ac:dyDescent="0.2"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</row>
    <row r="130" spans="5:42" x14ac:dyDescent="0.2"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</row>
    <row r="131" spans="5:42" x14ac:dyDescent="0.2"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</row>
    <row r="132" spans="5:42" x14ac:dyDescent="0.2"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</row>
    <row r="133" spans="5:42" x14ac:dyDescent="0.2"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</row>
    <row r="134" spans="5:42" x14ac:dyDescent="0.2"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</row>
    <row r="135" spans="5:42" x14ac:dyDescent="0.2"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</row>
    <row r="136" spans="5:42" x14ac:dyDescent="0.2"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</row>
    <row r="137" spans="5:42" x14ac:dyDescent="0.2"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</row>
    <row r="138" spans="5:42" x14ac:dyDescent="0.2"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</row>
    <row r="139" spans="5:42" x14ac:dyDescent="0.2"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</row>
    <row r="140" spans="5:42" x14ac:dyDescent="0.2"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</row>
    <row r="141" spans="5:42" x14ac:dyDescent="0.2"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</row>
    <row r="142" spans="5:42" x14ac:dyDescent="0.2"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</row>
    <row r="143" spans="5:42" x14ac:dyDescent="0.2"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</row>
    <row r="144" spans="5:42" x14ac:dyDescent="0.2"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</row>
    <row r="145" spans="5:42" x14ac:dyDescent="0.2"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</row>
    <row r="146" spans="5:42" x14ac:dyDescent="0.2"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</row>
    <row r="147" spans="5:42" x14ac:dyDescent="0.2"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</row>
    <row r="148" spans="5:42" x14ac:dyDescent="0.2"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</row>
    <row r="149" spans="5:42" x14ac:dyDescent="0.2"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</row>
    <row r="150" spans="5:42" x14ac:dyDescent="0.2"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</row>
    <row r="151" spans="5:42" x14ac:dyDescent="0.2"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</row>
    <row r="152" spans="5:42" x14ac:dyDescent="0.2"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</row>
    <row r="153" spans="5:42" x14ac:dyDescent="0.2"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</row>
    <row r="154" spans="5:42" x14ac:dyDescent="0.2"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</row>
    <row r="155" spans="5:42" x14ac:dyDescent="0.2"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</row>
    <row r="156" spans="5:42" x14ac:dyDescent="0.2"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</row>
    <row r="157" spans="5:42" x14ac:dyDescent="0.2"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</row>
    <row r="158" spans="5:42" x14ac:dyDescent="0.2"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</row>
    <row r="159" spans="5:42" x14ac:dyDescent="0.2"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</row>
    <row r="160" spans="5:42" x14ac:dyDescent="0.2"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</row>
    <row r="161" spans="5:42" x14ac:dyDescent="0.2"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</row>
    <row r="162" spans="5:42" x14ac:dyDescent="0.2"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</row>
    <row r="163" spans="5:42" x14ac:dyDescent="0.2"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</row>
    <row r="164" spans="5:42" x14ac:dyDescent="0.2"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</row>
    <row r="165" spans="5:42" x14ac:dyDescent="0.2"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</row>
    <row r="166" spans="5:42" x14ac:dyDescent="0.2"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</row>
    <row r="167" spans="5:42" x14ac:dyDescent="0.2"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</row>
    <row r="168" spans="5:42" x14ac:dyDescent="0.2"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</row>
    <row r="169" spans="5:42" x14ac:dyDescent="0.2"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</row>
    <row r="170" spans="5:42" x14ac:dyDescent="0.2"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</row>
    <row r="171" spans="5:42" x14ac:dyDescent="0.2"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</row>
    <row r="172" spans="5:42" x14ac:dyDescent="0.2"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</row>
    <row r="173" spans="5:42" x14ac:dyDescent="0.2"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</row>
    <row r="174" spans="5:42" x14ac:dyDescent="0.2"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</row>
    <row r="175" spans="5:42" x14ac:dyDescent="0.2"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</row>
    <row r="176" spans="5:42" x14ac:dyDescent="0.2"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</row>
    <row r="177" spans="5:42" x14ac:dyDescent="0.2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</row>
    <row r="178" spans="5:42" x14ac:dyDescent="0.2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</row>
    <row r="179" spans="5:42" x14ac:dyDescent="0.2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</row>
    <row r="180" spans="5:42" x14ac:dyDescent="0.2"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</row>
    <row r="181" spans="5:42" x14ac:dyDescent="0.2"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</row>
    <row r="182" spans="5:42" x14ac:dyDescent="0.2"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</row>
    <row r="183" spans="5:42" x14ac:dyDescent="0.2"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</row>
    <row r="184" spans="5:42" x14ac:dyDescent="0.2"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</row>
    <row r="185" spans="5:42" x14ac:dyDescent="0.2"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</row>
    <row r="186" spans="5:42" x14ac:dyDescent="0.2"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</row>
    <row r="187" spans="5:42" x14ac:dyDescent="0.2"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</row>
    <row r="188" spans="5:42" x14ac:dyDescent="0.2"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</row>
    <row r="189" spans="5:42" x14ac:dyDescent="0.2"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</row>
    <row r="190" spans="5:42" x14ac:dyDescent="0.2"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</row>
    <row r="191" spans="5:42" x14ac:dyDescent="0.2"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</row>
    <row r="192" spans="5:42" x14ac:dyDescent="0.2"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</row>
    <row r="193" spans="5:42" x14ac:dyDescent="0.2"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</row>
    <row r="194" spans="5:42" x14ac:dyDescent="0.2"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</row>
    <row r="195" spans="5:42" x14ac:dyDescent="0.2"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</row>
    <row r="196" spans="5:42" x14ac:dyDescent="0.2"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</row>
    <row r="197" spans="5:42" x14ac:dyDescent="0.2"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</row>
    <row r="198" spans="5:42" x14ac:dyDescent="0.2"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</row>
    <row r="199" spans="5:42" x14ac:dyDescent="0.2"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</row>
    <row r="200" spans="5:42" x14ac:dyDescent="0.2"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</row>
    <row r="201" spans="5:42" x14ac:dyDescent="0.2"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</row>
    <row r="202" spans="5:42" x14ac:dyDescent="0.2"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</row>
    <row r="203" spans="5:42" x14ac:dyDescent="0.2"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</row>
    <row r="204" spans="5:42" x14ac:dyDescent="0.2"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</row>
    <row r="205" spans="5:42" x14ac:dyDescent="0.2"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</row>
    <row r="206" spans="5:42" x14ac:dyDescent="0.2"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</row>
    <row r="207" spans="5:42" x14ac:dyDescent="0.2"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</row>
    <row r="208" spans="5:42" x14ac:dyDescent="0.2"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</row>
    <row r="209" spans="5:42" x14ac:dyDescent="0.2"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</row>
    <row r="210" spans="5:42" x14ac:dyDescent="0.2"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</row>
    <row r="211" spans="5:42" x14ac:dyDescent="0.2"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</row>
    <row r="212" spans="5:42" x14ac:dyDescent="0.2"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</row>
    <row r="213" spans="5:42" x14ac:dyDescent="0.2"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</row>
    <row r="214" spans="5:42" x14ac:dyDescent="0.2"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</row>
    <row r="215" spans="5:42" x14ac:dyDescent="0.2"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</row>
    <row r="216" spans="5:42" x14ac:dyDescent="0.2"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</row>
    <row r="217" spans="5:42" x14ac:dyDescent="0.2"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</row>
    <row r="218" spans="5:42" x14ac:dyDescent="0.2"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</row>
    <row r="219" spans="5:42" x14ac:dyDescent="0.2"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</row>
    <row r="220" spans="5:42" x14ac:dyDescent="0.2"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</row>
    <row r="221" spans="5:42" x14ac:dyDescent="0.2"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</row>
    <row r="222" spans="5:42" x14ac:dyDescent="0.2"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</row>
    <row r="223" spans="5:42" x14ac:dyDescent="0.2"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</row>
    <row r="224" spans="5:42" x14ac:dyDescent="0.2"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</row>
    <row r="225" spans="5:42" x14ac:dyDescent="0.2"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</row>
    <row r="226" spans="5:42" x14ac:dyDescent="0.2"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</row>
    <row r="227" spans="5:42" x14ac:dyDescent="0.2"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</row>
    <row r="228" spans="5:42" x14ac:dyDescent="0.2"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</row>
    <row r="229" spans="5:42" x14ac:dyDescent="0.2"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</row>
    <row r="230" spans="5:42" x14ac:dyDescent="0.2"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5:42" x14ac:dyDescent="0.2"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</row>
    <row r="232" spans="5:42" x14ac:dyDescent="0.2"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</row>
    <row r="233" spans="5:42" x14ac:dyDescent="0.2"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</row>
    <row r="234" spans="5:42" x14ac:dyDescent="0.2"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</row>
    <row r="235" spans="5:42" x14ac:dyDescent="0.2"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</row>
    <row r="236" spans="5:42" x14ac:dyDescent="0.2"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</row>
    <row r="237" spans="5:42" x14ac:dyDescent="0.2"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</row>
    <row r="238" spans="5:42" x14ac:dyDescent="0.2"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</row>
    <row r="239" spans="5:42" x14ac:dyDescent="0.2"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</row>
    <row r="240" spans="5:42" x14ac:dyDescent="0.2"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</row>
    <row r="241" spans="5:42" x14ac:dyDescent="0.2"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</row>
    <row r="242" spans="5:42" x14ac:dyDescent="0.2"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</row>
    <row r="243" spans="5:42" x14ac:dyDescent="0.2"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</row>
    <row r="244" spans="5:42" x14ac:dyDescent="0.2"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</row>
    <row r="245" spans="5:42" x14ac:dyDescent="0.2"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</row>
    <row r="246" spans="5:42" x14ac:dyDescent="0.2"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</row>
    <row r="247" spans="5:42" x14ac:dyDescent="0.2"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</row>
    <row r="248" spans="5:42" x14ac:dyDescent="0.2"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</row>
    <row r="249" spans="5:42" x14ac:dyDescent="0.2"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</row>
    <row r="250" spans="5:42" x14ac:dyDescent="0.2"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</row>
    <row r="251" spans="5:42" x14ac:dyDescent="0.2"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</row>
    <row r="252" spans="5:42" x14ac:dyDescent="0.2"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</row>
    <row r="253" spans="5:42" x14ac:dyDescent="0.2"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</row>
    <row r="254" spans="5:42" x14ac:dyDescent="0.2"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</row>
    <row r="255" spans="5:42" x14ac:dyDescent="0.2"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</row>
    <row r="256" spans="5:42" x14ac:dyDescent="0.2"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</row>
    <row r="257" spans="5:42" x14ac:dyDescent="0.2"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</row>
    <row r="258" spans="5:42" x14ac:dyDescent="0.2"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</row>
    <row r="259" spans="5:42" x14ac:dyDescent="0.2"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</row>
    <row r="260" spans="5:42" x14ac:dyDescent="0.2"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</row>
    <row r="261" spans="5:42" x14ac:dyDescent="0.2"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</row>
    <row r="262" spans="5:42" x14ac:dyDescent="0.2"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</row>
    <row r="263" spans="5:42" x14ac:dyDescent="0.2"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</row>
    <row r="264" spans="5:42" x14ac:dyDescent="0.2"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</row>
    <row r="265" spans="5:42" x14ac:dyDescent="0.2"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</row>
    <row r="266" spans="5:42" x14ac:dyDescent="0.2"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</row>
    <row r="267" spans="5:42" x14ac:dyDescent="0.2"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</row>
    <row r="268" spans="5:42" x14ac:dyDescent="0.2"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</row>
    <row r="269" spans="5:42" x14ac:dyDescent="0.2"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</row>
    <row r="270" spans="5:42" x14ac:dyDescent="0.2"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</row>
    <row r="271" spans="5:42" x14ac:dyDescent="0.2"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</row>
    <row r="272" spans="5:42" x14ac:dyDescent="0.2"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</row>
    <row r="273" spans="5:42" x14ac:dyDescent="0.2"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</row>
    <row r="274" spans="5:42" x14ac:dyDescent="0.2"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</row>
    <row r="275" spans="5:42" x14ac:dyDescent="0.2"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</row>
    <row r="276" spans="5:42" x14ac:dyDescent="0.2"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</row>
    <row r="277" spans="5:42" x14ac:dyDescent="0.2"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</row>
    <row r="278" spans="5:42" x14ac:dyDescent="0.2"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</row>
    <row r="279" spans="5:42" x14ac:dyDescent="0.2"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</row>
    <row r="280" spans="5:42" x14ac:dyDescent="0.2"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</row>
    <row r="281" spans="5:42" x14ac:dyDescent="0.2"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</row>
    <row r="282" spans="5:42" x14ac:dyDescent="0.2"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</row>
    <row r="283" spans="5:42" x14ac:dyDescent="0.2"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</row>
    <row r="284" spans="5:42" x14ac:dyDescent="0.2"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</row>
    <row r="285" spans="5:42" x14ac:dyDescent="0.2"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</row>
    <row r="286" spans="5:42" x14ac:dyDescent="0.2"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</row>
    <row r="287" spans="5:42" x14ac:dyDescent="0.2"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</row>
    <row r="288" spans="5:42" x14ac:dyDescent="0.2"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</row>
    <row r="289" spans="5:42" x14ac:dyDescent="0.2"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</row>
    <row r="290" spans="5:42" x14ac:dyDescent="0.2"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</row>
    <row r="291" spans="5:42" x14ac:dyDescent="0.2"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</row>
    <row r="292" spans="5:42" x14ac:dyDescent="0.2"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</row>
    <row r="293" spans="5:42" x14ac:dyDescent="0.2"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</row>
    <row r="294" spans="5:42" x14ac:dyDescent="0.2"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</row>
    <row r="295" spans="5:42" x14ac:dyDescent="0.2"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</row>
    <row r="296" spans="5:42" x14ac:dyDescent="0.2"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</row>
    <row r="297" spans="5:42" x14ac:dyDescent="0.2"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</row>
    <row r="298" spans="5:42" x14ac:dyDescent="0.2"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</row>
    <row r="299" spans="5:42" x14ac:dyDescent="0.2"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</row>
    <row r="300" spans="5:42" x14ac:dyDescent="0.2"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</row>
    <row r="301" spans="5:42" x14ac:dyDescent="0.2"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</row>
    <row r="302" spans="5:42" x14ac:dyDescent="0.2"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</row>
    <row r="303" spans="5:42" x14ac:dyDescent="0.2"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</row>
    <row r="304" spans="5:42" x14ac:dyDescent="0.2"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</row>
    <row r="305" spans="5:42" x14ac:dyDescent="0.2"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</row>
    <row r="306" spans="5:42" x14ac:dyDescent="0.2"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</row>
    <row r="307" spans="5:42" x14ac:dyDescent="0.2"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</row>
    <row r="308" spans="5:42" x14ac:dyDescent="0.2"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</row>
    <row r="309" spans="5:42" x14ac:dyDescent="0.2"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</row>
    <row r="310" spans="5:42" x14ac:dyDescent="0.2"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</row>
    <row r="311" spans="5:42" x14ac:dyDescent="0.2"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</row>
    <row r="312" spans="5:42" x14ac:dyDescent="0.2"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</row>
    <row r="313" spans="5:42" x14ac:dyDescent="0.2"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</row>
    <row r="314" spans="5:42" x14ac:dyDescent="0.2"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</row>
    <row r="315" spans="5:42" x14ac:dyDescent="0.2"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</row>
    <row r="316" spans="5:42" x14ac:dyDescent="0.2"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</row>
    <row r="317" spans="5:42" x14ac:dyDescent="0.2"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</row>
    <row r="318" spans="5:42" x14ac:dyDescent="0.2"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</row>
    <row r="319" spans="5:42" x14ac:dyDescent="0.2"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</row>
    <row r="320" spans="5:42" x14ac:dyDescent="0.2"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</row>
    <row r="321" spans="5:42" x14ac:dyDescent="0.2"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</row>
    <row r="322" spans="5:42" x14ac:dyDescent="0.2"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</row>
    <row r="323" spans="5:42" x14ac:dyDescent="0.2"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</row>
    <row r="324" spans="5:42" x14ac:dyDescent="0.2"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</row>
    <row r="325" spans="5:42" x14ac:dyDescent="0.2"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</row>
    <row r="326" spans="5:42" x14ac:dyDescent="0.2"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</row>
    <row r="327" spans="5:42" x14ac:dyDescent="0.2"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</row>
    <row r="328" spans="5:42" x14ac:dyDescent="0.2"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</row>
    <row r="329" spans="5:42" x14ac:dyDescent="0.2"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</row>
    <row r="330" spans="5:42" x14ac:dyDescent="0.2"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</row>
    <row r="331" spans="5:42" x14ac:dyDescent="0.2"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</row>
    <row r="332" spans="5:42" x14ac:dyDescent="0.2"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</row>
    <row r="333" spans="5:42" x14ac:dyDescent="0.2"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</row>
    <row r="334" spans="5:42" x14ac:dyDescent="0.2"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</row>
    <row r="335" spans="5:42" x14ac:dyDescent="0.2"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</row>
    <row r="336" spans="5:42" x14ac:dyDescent="0.2"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</row>
    <row r="337" spans="5:42" x14ac:dyDescent="0.2"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</row>
    <row r="338" spans="5:42" x14ac:dyDescent="0.2"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</row>
    <row r="339" spans="5:42" x14ac:dyDescent="0.2"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</row>
    <row r="340" spans="5:42" x14ac:dyDescent="0.2"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</row>
    <row r="341" spans="5:42" x14ac:dyDescent="0.2"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</row>
    <row r="342" spans="5:42" x14ac:dyDescent="0.2"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</row>
    <row r="343" spans="5:42" x14ac:dyDescent="0.2"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</row>
    <row r="344" spans="5:42" x14ac:dyDescent="0.2"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</row>
    <row r="345" spans="5:42" x14ac:dyDescent="0.2"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</row>
    <row r="346" spans="5:42" x14ac:dyDescent="0.2"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</row>
    <row r="347" spans="5:42" x14ac:dyDescent="0.2"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</row>
    <row r="348" spans="5:42" x14ac:dyDescent="0.2"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</row>
    <row r="349" spans="5:42" x14ac:dyDescent="0.2"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</row>
    <row r="350" spans="5:42" x14ac:dyDescent="0.2"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</row>
    <row r="351" spans="5:42" x14ac:dyDescent="0.2"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</row>
    <row r="352" spans="5:42" x14ac:dyDescent="0.2"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</row>
    <row r="353" spans="3:42" x14ac:dyDescent="0.2"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</row>
    <row r="354" spans="3:42" x14ac:dyDescent="0.2"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</row>
    <row r="355" spans="3:42" x14ac:dyDescent="0.2"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</row>
    <row r="356" spans="3:42" x14ac:dyDescent="0.2"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</row>
    <row r="357" spans="3:42" x14ac:dyDescent="0.2"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</row>
    <row r="358" spans="3:42" x14ac:dyDescent="0.2"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</row>
    <row r="359" spans="3:42" x14ac:dyDescent="0.2"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</row>
    <row r="360" spans="3:42" x14ac:dyDescent="0.2"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</row>
    <row r="361" spans="3:42" x14ac:dyDescent="0.2"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</row>
    <row r="362" spans="3:42" x14ac:dyDescent="0.2"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</row>
    <row r="363" spans="3:42" x14ac:dyDescent="0.2"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</row>
    <row r="364" spans="3:42" x14ac:dyDescent="0.2"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</row>
    <row r="365" spans="3:42" x14ac:dyDescent="0.2"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</row>
    <row r="366" spans="3:42" x14ac:dyDescent="0.2"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</row>
    <row r="367" spans="3:42" x14ac:dyDescent="0.2"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</row>
    <row r="368" spans="3:42" x14ac:dyDescent="0.2"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</row>
    <row r="369" spans="3:42" x14ac:dyDescent="0.2"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</row>
    <row r="370" spans="3:42" x14ac:dyDescent="0.2"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</row>
    <row r="371" spans="3:42" x14ac:dyDescent="0.2"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</row>
    <row r="372" spans="3:42" x14ac:dyDescent="0.2"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</row>
    <row r="373" spans="3:42" x14ac:dyDescent="0.2"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</row>
    <row r="374" spans="3:42" x14ac:dyDescent="0.2"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</row>
    <row r="375" spans="3:42" x14ac:dyDescent="0.2"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</row>
    <row r="376" spans="3:42" x14ac:dyDescent="0.2"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</row>
    <row r="377" spans="3:42" x14ac:dyDescent="0.2"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</row>
    <row r="378" spans="3:42" x14ac:dyDescent="0.2"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</row>
    <row r="379" spans="3:42" x14ac:dyDescent="0.2"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</row>
    <row r="380" spans="3:42" x14ac:dyDescent="0.2"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</row>
    <row r="381" spans="3:42" x14ac:dyDescent="0.2"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</row>
    <row r="382" spans="3:42" x14ac:dyDescent="0.2"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</row>
    <row r="383" spans="3:42" x14ac:dyDescent="0.2"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</row>
    <row r="384" spans="3:42" x14ac:dyDescent="0.2"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</row>
    <row r="385" spans="3:38" x14ac:dyDescent="0.2"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</row>
    <row r="386" spans="3:38" x14ac:dyDescent="0.2"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</row>
    <row r="387" spans="3:38" x14ac:dyDescent="0.2"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3:38" x14ac:dyDescent="0.2"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</row>
    <row r="389" spans="3:38" x14ac:dyDescent="0.2"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3:38" x14ac:dyDescent="0.2"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</row>
    <row r="391" spans="3:38" x14ac:dyDescent="0.2"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3:38" x14ac:dyDescent="0.2"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3:38" x14ac:dyDescent="0.2"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3:38" x14ac:dyDescent="0.2"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</row>
    <row r="395" spans="3:38" x14ac:dyDescent="0.2"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3:38" x14ac:dyDescent="0.2"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</row>
    <row r="397" spans="3:38" x14ac:dyDescent="0.2"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3:38" x14ac:dyDescent="0.2"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</row>
    <row r="399" spans="3:38" x14ac:dyDescent="0.2"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</row>
    <row r="400" spans="3:38" x14ac:dyDescent="0.2"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</row>
    <row r="401" spans="3:38" x14ac:dyDescent="0.2"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</row>
    <row r="402" spans="3:38" x14ac:dyDescent="0.2"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</row>
    <row r="403" spans="3:38" x14ac:dyDescent="0.2"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</row>
    <row r="404" spans="3:38" x14ac:dyDescent="0.2"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</row>
    <row r="405" spans="3:38" x14ac:dyDescent="0.2"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</row>
    <row r="406" spans="3:38" x14ac:dyDescent="0.2"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</row>
    <row r="407" spans="3:38" x14ac:dyDescent="0.2"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</row>
    <row r="408" spans="3:38" x14ac:dyDescent="0.2"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</row>
    <row r="409" spans="3:38" x14ac:dyDescent="0.2"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</row>
    <row r="410" spans="3:38" x14ac:dyDescent="0.2"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</row>
    <row r="411" spans="3:38" x14ac:dyDescent="0.2"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</row>
    <row r="412" spans="3:38" x14ac:dyDescent="0.2"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</row>
    <row r="413" spans="3:38" x14ac:dyDescent="0.2"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</row>
    <row r="414" spans="3:38" x14ac:dyDescent="0.2"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</row>
    <row r="415" spans="3:38" x14ac:dyDescent="0.2"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</row>
    <row r="416" spans="3:38" x14ac:dyDescent="0.2"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</row>
    <row r="417" spans="3:38" x14ac:dyDescent="0.2"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</row>
    <row r="418" spans="3:38" x14ac:dyDescent="0.2"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</row>
    <row r="419" spans="3:38" x14ac:dyDescent="0.2"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</row>
    <row r="420" spans="3:38" x14ac:dyDescent="0.2"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</row>
    <row r="421" spans="3:38" x14ac:dyDescent="0.2"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</row>
    <row r="422" spans="3:38" x14ac:dyDescent="0.2"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</row>
    <row r="423" spans="3:38" x14ac:dyDescent="0.2"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3:38" x14ac:dyDescent="0.2"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3:38" x14ac:dyDescent="0.2"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</row>
    <row r="426" spans="3:38" x14ac:dyDescent="0.2"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3:38" x14ac:dyDescent="0.2"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3:38" x14ac:dyDescent="0.2"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</row>
    <row r="429" spans="3:38" x14ac:dyDescent="0.2"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3:38" x14ac:dyDescent="0.2"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</row>
    <row r="431" spans="3:38" x14ac:dyDescent="0.2"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3:38" x14ac:dyDescent="0.2"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</row>
    <row r="433" spans="3:38" x14ac:dyDescent="0.2"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3:38" x14ac:dyDescent="0.2"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</row>
    <row r="435" spans="3:38" x14ac:dyDescent="0.2"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3:38" x14ac:dyDescent="0.2"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3:38" x14ac:dyDescent="0.2"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</row>
    <row r="438" spans="3:38" x14ac:dyDescent="0.2"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3:38" x14ac:dyDescent="0.2"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</row>
    <row r="440" spans="3:38" x14ac:dyDescent="0.2"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3:38" x14ac:dyDescent="0.2"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</row>
    <row r="442" spans="3:38" x14ac:dyDescent="0.2"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3:38" x14ac:dyDescent="0.2"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</row>
    <row r="444" spans="3:38" x14ac:dyDescent="0.2"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3:38" x14ac:dyDescent="0.2"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</row>
    <row r="446" spans="3:38" x14ac:dyDescent="0.2"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3:38" x14ac:dyDescent="0.2"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3:38" x14ac:dyDescent="0.2"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</row>
    <row r="449" spans="3:38" x14ac:dyDescent="0.2"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3:38" x14ac:dyDescent="0.2"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</row>
    <row r="451" spans="3:38" x14ac:dyDescent="0.2"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3:38" x14ac:dyDescent="0.2"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</row>
    <row r="453" spans="3:38" x14ac:dyDescent="0.2"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3:38" x14ac:dyDescent="0.2"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</row>
    <row r="455" spans="3:38" x14ac:dyDescent="0.2"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3:38" x14ac:dyDescent="0.2"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</row>
    <row r="457" spans="3:38" x14ac:dyDescent="0.2"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3:38" x14ac:dyDescent="0.2"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3:38" x14ac:dyDescent="0.2"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</row>
    <row r="460" spans="3:38" x14ac:dyDescent="0.2"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</row>
    <row r="461" spans="3:38" x14ac:dyDescent="0.2"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</row>
    <row r="462" spans="3:38" x14ac:dyDescent="0.2"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</row>
    <row r="463" spans="3:38" x14ac:dyDescent="0.2"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</row>
    <row r="464" spans="3:38" x14ac:dyDescent="0.2"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</row>
    <row r="465" spans="3:38" x14ac:dyDescent="0.2"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</row>
    <row r="466" spans="3:38" x14ac:dyDescent="0.2"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</row>
    <row r="467" spans="3:38" x14ac:dyDescent="0.2"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</row>
    <row r="468" spans="3:38" x14ac:dyDescent="0.2"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</row>
    <row r="469" spans="3:38" x14ac:dyDescent="0.2"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</row>
    <row r="470" spans="3:38" x14ac:dyDescent="0.2"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</row>
    <row r="471" spans="3:38" x14ac:dyDescent="0.2"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3:38" x14ac:dyDescent="0.2"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3:38" x14ac:dyDescent="0.2"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3:38" x14ac:dyDescent="0.2"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</row>
    <row r="475" spans="3:38" x14ac:dyDescent="0.2"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3:38" x14ac:dyDescent="0.2"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3:38" x14ac:dyDescent="0.2"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</row>
    <row r="478" spans="3:38" x14ac:dyDescent="0.2"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3:38" x14ac:dyDescent="0.2"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</row>
    <row r="480" spans="3:38" x14ac:dyDescent="0.2"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3:38" x14ac:dyDescent="0.2"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</row>
    <row r="482" spans="3:38" x14ac:dyDescent="0.2"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3:38" x14ac:dyDescent="0.2"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</row>
    <row r="484" spans="3:38" x14ac:dyDescent="0.2"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3:38" x14ac:dyDescent="0.2"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3:38" x14ac:dyDescent="0.2"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</row>
    <row r="487" spans="3:38" x14ac:dyDescent="0.2"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3:38" x14ac:dyDescent="0.2"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4.5703125" style="4" customWidth="1"/>
    <col min="2" max="2" width="43.5703125" style="4" bestFit="1" customWidth="1"/>
    <col min="3" max="11" width="9.140625" style="4"/>
    <col min="12" max="15" width="9" style="4" bestFit="1" customWidth="1"/>
    <col min="16" max="16384" width="9.140625" style="4"/>
  </cols>
  <sheetData>
    <row r="1" spans="1:26" x14ac:dyDescent="0.2">
      <c r="A1" s="63" t="s">
        <v>7</v>
      </c>
      <c r="P1" s="26"/>
    </row>
    <row r="2" spans="1:26" x14ac:dyDescent="0.2">
      <c r="C2" s="57" t="s">
        <v>141</v>
      </c>
      <c r="D2" s="57" t="s">
        <v>142</v>
      </c>
      <c r="E2" s="57" t="s">
        <v>143</v>
      </c>
      <c r="F2" s="57" t="s">
        <v>144</v>
      </c>
      <c r="G2" s="57" t="s">
        <v>247</v>
      </c>
      <c r="H2" s="57" t="s">
        <v>248</v>
      </c>
      <c r="I2" s="57"/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261</v>
      </c>
      <c r="R2" s="57" t="s">
        <v>262</v>
      </c>
      <c r="S2" s="57" t="s">
        <v>263</v>
      </c>
      <c r="T2" s="57" t="s">
        <v>264</v>
      </c>
      <c r="U2" s="57" t="s">
        <v>265</v>
      </c>
      <c r="V2" s="57" t="s">
        <v>266</v>
      </c>
      <c r="W2" s="57" t="s">
        <v>267</v>
      </c>
      <c r="X2" s="57" t="s">
        <v>268</v>
      </c>
      <c r="Y2" s="57" t="s">
        <v>270</v>
      </c>
      <c r="Z2" s="57" t="s">
        <v>269</v>
      </c>
    </row>
    <row r="3" spans="1:26" x14ac:dyDescent="0.2">
      <c r="B3" s="4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">
      <c r="B4" s="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">
      <c r="B5" s="4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">
      <c r="B6" s="4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">
      <c r="B7" s="4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">
      <c r="B8" s="4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">
      <c r="B9" s="18" t="s">
        <v>153</v>
      </c>
      <c r="C9" s="64"/>
      <c r="D9" s="64"/>
      <c r="E9" s="64"/>
      <c r="F9" s="64">
        <v>6307</v>
      </c>
      <c r="G9" s="64">
        <v>6307</v>
      </c>
      <c r="H9" s="64"/>
      <c r="I9" s="64"/>
      <c r="J9" s="64"/>
      <c r="K9" s="64"/>
      <c r="L9" s="64"/>
      <c r="M9" s="64"/>
      <c r="N9" s="64">
        <v>5664</v>
      </c>
      <c r="O9" s="64">
        <v>6097</v>
      </c>
      <c r="P9" s="64">
        <v>6307</v>
      </c>
      <c r="Q9" s="64">
        <v>6307</v>
      </c>
      <c r="R9" s="64">
        <f>+SUM(R3:R8)</f>
        <v>6478.99</v>
      </c>
      <c r="S9" s="64">
        <f t="shared" ref="S9:W9" si="12">+SUM(S3:S8)</f>
        <v>6649.8423000000003</v>
      </c>
      <c r="T9" s="64">
        <f t="shared" si="12"/>
        <v>6825.7113970000009</v>
      </c>
      <c r="U9" s="64">
        <f t="shared" si="12"/>
        <v>7006.7570040300006</v>
      </c>
      <c r="V9" s="64">
        <f t="shared" si="12"/>
        <v>7193.1442342909004</v>
      </c>
      <c r="W9" s="64">
        <f t="shared" si="12"/>
        <v>7385.0437920112845</v>
      </c>
      <c r="X9" s="64">
        <f t="shared" ref="X9" si="13">+SUM(X3:X8)</f>
        <v>7582.6321702709001</v>
      </c>
      <c r="Y9" s="64">
        <f t="shared" ref="Y9" si="14">+SUM(Y3:Y8)</f>
        <v>7786.0918560511955</v>
      </c>
      <c r="Z9" s="64">
        <f t="shared" ref="Z9" si="15">+SUM(Z3:Z8)</f>
        <v>7995.6115427831483</v>
      </c>
    </row>
    <row r="10" spans="1:26" x14ac:dyDescent="0.2">
      <c r="B10" s="4" t="s">
        <v>260</v>
      </c>
      <c r="C10" s="64"/>
      <c r="D10" s="64"/>
      <c r="E10" s="64"/>
      <c r="F10" s="65">
        <f t="shared" ref="F10" si="16">+F19/F9</f>
        <v>6.8187727921357224</v>
      </c>
      <c r="G10" s="65">
        <f>+G19/G9</f>
        <v>6.3120342476613285</v>
      </c>
      <c r="H10" s="64"/>
      <c r="I10" s="64"/>
      <c r="J10" s="65" t="e">
        <f t="shared" ref="J10:Q10" si="17">+J19/J9</f>
        <v>#DIV/0!</v>
      </c>
      <c r="K10" s="65" t="e">
        <f t="shared" si="17"/>
        <v>#DIV/0!</v>
      </c>
      <c r="L10" s="65" t="e">
        <f t="shared" si="17"/>
        <v>#DIV/0!</v>
      </c>
      <c r="M10" s="65" t="e">
        <f t="shared" si="17"/>
        <v>#DIV/0!</v>
      </c>
      <c r="N10" s="65">
        <f t="shared" si="17"/>
        <v>13.980225988700566</v>
      </c>
      <c r="O10" s="65">
        <f t="shared" si="17"/>
        <v>14.130391996063638</v>
      </c>
      <c r="P10" s="65">
        <f t="shared" si="17"/>
        <v>13.426827334707468</v>
      </c>
      <c r="Q10" s="65">
        <f t="shared" si="17"/>
        <v>12.804041541144759</v>
      </c>
      <c r="R10" s="4">
        <v>13</v>
      </c>
      <c r="S10" s="4">
        <v>13.4</v>
      </c>
      <c r="T10" s="4">
        <v>13.8</v>
      </c>
      <c r="U10" s="4">
        <v>14.2</v>
      </c>
      <c r="V10" s="4">
        <v>14.6</v>
      </c>
      <c r="W10" s="4">
        <v>15</v>
      </c>
      <c r="X10" s="4">
        <v>15</v>
      </c>
      <c r="Y10" s="4">
        <v>15</v>
      </c>
      <c r="Z10" s="4">
        <v>15</v>
      </c>
    </row>
    <row r="11" spans="1:26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">
      <c r="A12" s="58" t="s">
        <v>17</v>
      </c>
      <c r="B12" s="59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">
      <c r="B13" s="4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">
      <c r="B14" s="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">
      <c r="B15" s="4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">
      <c r="B16" s="4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">
      <c r="B17" s="4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">
      <c r="B18" s="4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">
      <c r="B19" s="18" t="s">
        <v>23</v>
      </c>
      <c r="C19" s="64">
        <f>SUM(C13:C18)</f>
        <v>42240</v>
      </c>
      <c r="D19" s="64">
        <f t="shared" ref="D19:G19" si="21">SUM(D13:D18)</f>
        <v>43913</v>
      </c>
      <c r="E19" s="64">
        <f t="shared" si="21"/>
        <v>41677</v>
      </c>
      <c r="F19" s="64">
        <f t="shared" si="21"/>
        <v>43006</v>
      </c>
      <c r="G19" s="64">
        <f t="shared" si="21"/>
        <v>39810</v>
      </c>
      <c r="H19" s="64"/>
      <c r="I19" s="64"/>
      <c r="J19" s="64">
        <v>46826</v>
      </c>
      <c r="K19" s="64">
        <v>53670</v>
      </c>
      <c r="L19" s="64">
        <v>44651</v>
      </c>
      <c r="M19" s="64">
        <v>64215</v>
      </c>
      <c r="N19" s="64">
        <v>79184</v>
      </c>
      <c r="O19" s="64">
        <v>86153</v>
      </c>
      <c r="P19" s="64">
        <v>84683</v>
      </c>
      <c r="Q19" s="64">
        <f>+SUM(Q13:Q18)</f>
        <v>80755.09</v>
      </c>
      <c r="R19" s="64">
        <f>+R9*R10</f>
        <v>84226.87</v>
      </c>
      <c r="S19" s="64">
        <f t="shared" ref="S19:Z19" si="22">+S9*S10</f>
        <v>89107.88682</v>
      </c>
      <c r="T19" s="64">
        <f t="shared" si="22"/>
        <v>94194.817278600021</v>
      </c>
      <c r="U19" s="64">
        <f t="shared" si="22"/>
        <v>99495.949457226001</v>
      </c>
      <c r="V19" s="64">
        <f t="shared" si="22"/>
        <v>105019.90582064714</v>
      </c>
      <c r="W19" s="64">
        <f t="shared" si="22"/>
        <v>110775.65688016926</v>
      </c>
      <c r="X19" s="64">
        <f t="shared" si="22"/>
        <v>113739.48255406351</v>
      </c>
      <c r="Y19" s="64">
        <f t="shared" si="22"/>
        <v>116791.37784076793</v>
      </c>
      <c r="Z19" s="64">
        <f t="shared" si="22"/>
        <v>119934.17314174722</v>
      </c>
    </row>
    <row r="20" spans="2:26" x14ac:dyDescent="0.2">
      <c r="B20" s="4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">
      <c r="B21" s="4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">
      <c r="B22" s="4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">
      <c r="B23" s="4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">
      <c r="B24" s="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">
      <c r="B25" s="4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">
      <c r="B26" s="4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">
      <c r="B27" s="4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">
      <c r="B28" s="4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">
      <c r="B29" s="4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">
      <c r="B30" s="4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">
      <c r="B31" s="4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">
      <c r="B32" s="4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">
      <c r="B33" s="4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">
      <c r="B34" s="4" t="s">
        <v>44</v>
      </c>
      <c r="C34" s="61">
        <f t="shared" ref="C34:G34" si="33">C32-C33</f>
        <v>8481</v>
      </c>
      <c r="D34" s="61">
        <f t="shared" si="33"/>
        <v>6693</v>
      </c>
      <c r="E34" s="61">
        <f t="shared" si="33"/>
        <v>7267</v>
      </c>
      <c r="F34" s="61">
        <f t="shared" si="33"/>
        <v>5283</v>
      </c>
      <c r="G34" s="61">
        <f t="shared" si="33"/>
        <v>5698</v>
      </c>
      <c r="H34" s="61"/>
      <c r="I34" s="61"/>
      <c r="J34" s="61">
        <f t="shared" ref="J34:N34" si="34">J32-J33</f>
        <v>6354</v>
      </c>
      <c r="K34" s="61">
        <f t="shared" si="34"/>
        <v>7171</v>
      </c>
      <c r="L34" s="61">
        <f t="shared" si="34"/>
        <v>4702</v>
      </c>
      <c r="M34" s="61">
        <f t="shared" si="34"/>
        <v>12036</v>
      </c>
      <c r="N34" s="61">
        <f t="shared" si="34"/>
        <v>14084</v>
      </c>
      <c r="O34" s="61">
        <f>O32-O33</f>
        <v>15174</v>
      </c>
      <c r="P34" s="61">
        <f>P32-P33</f>
        <v>12550</v>
      </c>
      <c r="Q34" s="43"/>
      <c r="R34" s="43"/>
      <c r="S34" s="43"/>
      <c r="T34" s="43"/>
      <c r="U34" s="43"/>
    </row>
    <row r="35" spans="2:26" x14ac:dyDescent="0.2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2:26" x14ac:dyDescent="0.2">
      <c r="B36" s="4" t="s">
        <v>45</v>
      </c>
      <c r="C36" s="43">
        <f t="shared" ref="C36:D36" si="35">C34/C37</f>
        <v>16.946498427814134</v>
      </c>
      <c r="D36" s="43">
        <f t="shared" si="35"/>
        <v>13.384485251035171</v>
      </c>
      <c r="E36" s="43">
        <f>E34/E37</f>
        <v>14.546990462482997</v>
      </c>
      <c r="F36" s="43">
        <f>F34/F37</f>
        <v>10.578429337118234</v>
      </c>
      <c r="G36" s="43">
        <f>G34/G37</f>
        <v>11.431683634651689</v>
      </c>
      <c r="H36" s="43"/>
      <c r="I36" s="43"/>
      <c r="J36" s="43">
        <f t="shared" ref="J36:L36" si="36">J34/J37</f>
        <v>12.636587082877103</v>
      </c>
      <c r="K36" s="43">
        <f t="shared" si="36"/>
        <v>14.250261065835947</v>
      </c>
      <c r="L36" s="43">
        <f t="shared" si="36"/>
        <v>9.335305741944449</v>
      </c>
      <c r="M36" s="43">
        <f t="shared" ref="M36:N36" si="37">M34/M37</f>
        <v>23.898605674015062</v>
      </c>
      <c r="N36" s="43">
        <f t="shared" si="37"/>
        <v>28.049033167312558</v>
      </c>
      <c r="O36" s="43">
        <f>O34/O37</f>
        <v>30.344566937075005</v>
      </c>
      <c r="P36" s="43">
        <f>P34/P37</f>
        <v>25.129526439680834</v>
      </c>
      <c r="Q36" s="43"/>
      <c r="R36" s="43"/>
      <c r="S36" s="43"/>
      <c r="T36" s="43"/>
      <c r="U36" s="43"/>
    </row>
    <row r="37" spans="2:26" x14ac:dyDescent="0.2">
      <c r="B37" s="4" t="s">
        <v>2</v>
      </c>
      <c r="C37" s="43">
        <v>500.45736799999997</v>
      </c>
      <c r="D37" s="43">
        <v>500.05658599999998</v>
      </c>
      <c r="E37" s="43">
        <v>499.55349999999999</v>
      </c>
      <c r="F37" s="43">
        <v>499.41251499999998</v>
      </c>
      <c r="G37" s="43">
        <v>498.43926599999998</v>
      </c>
      <c r="H37" s="43"/>
      <c r="I37" s="43"/>
      <c r="J37" s="43">
        <v>502.82564100000002</v>
      </c>
      <c r="K37" s="43">
        <v>503.21885099999997</v>
      </c>
      <c r="L37" s="43">
        <v>503.67927200000003</v>
      </c>
      <c r="M37" s="43">
        <v>503.62770799999998</v>
      </c>
      <c r="N37" s="43">
        <v>502.12069400000001</v>
      </c>
      <c r="O37" s="43">
        <v>500.05656800000003</v>
      </c>
      <c r="P37" s="43">
        <v>499.41251499999998</v>
      </c>
      <c r="Q37" s="43"/>
      <c r="R37" s="43"/>
      <c r="S37" s="43"/>
      <c r="T37" s="43"/>
      <c r="U37" s="43"/>
    </row>
    <row r="38" spans="2:26" x14ac:dyDescent="0.2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2:26" x14ac:dyDescent="0.2">
      <c r="B39" s="4" t="s">
        <v>18</v>
      </c>
      <c r="C39" s="26"/>
      <c r="D39" s="26"/>
      <c r="E39" s="26">
        <f t="shared" ref="E39:F43" si="38">+E13/C13-1</f>
        <v>-0.11757309022320028</v>
      </c>
      <c r="F39" s="26">
        <f t="shared" si="38"/>
        <v>-0.10698626132709732</v>
      </c>
      <c r="G39" s="26">
        <f t="shared" ref="G39:G43" si="39">+G13/E13-1</f>
        <v>-7.8019237620235105E-2</v>
      </c>
      <c r="H39" s="26"/>
      <c r="I39" s="43"/>
      <c r="J39" s="26"/>
      <c r="K39" s="26">
        <f t="shared" ref="K39:Q43" si="40">+K13/J13-1</f>
        <v>8.4192105774839598E-2</v>
      </c>
      <c r="L39" s="26">
        <f t="shared" si="40"/>
        <v>-0.14723816355810615</v>
      </c>
      <c r="M39" s="26">
        <f t="shared" si="40"/>
        <v>0.25636172450052586</v>
      </c>
      <c r="N39" s="26">
        <f t="shared" si="40"/>
        <v>0.18831603615667891</v>
      </c>
      <c r="O39" s="26">
        <f t="shared" si="40"/>
        <v>-7.0009860543738589E-2</v>
      </c>
      <c r="P39" s="26">
        <f t="shared" si="40"/>
        <v>-0.11208724628900335</v>
      </c>
      <c r="Q39" s="26">
        <f t="shared" si="40"/>
        <v>-7.9051518253155817E-2</v>
      </c>
      <c r="R39" s="43"/>
      <c r="S39" s="43"/>
      <c r="T39" s="43"/>
      <c r="U39" s="43"/>
    </row>
    <row r="40" spans="2:26" x14ac:dyDescent="0.2">
      <c r="B40" s="4" t="s">
        <v>19</v>
      </c>
      <c r="C40" s="26"/>
      <c r="D40" s="26"/>
      <c r="E40" s="26">
        <f t="shared" si="38"/>
        <v>-1.8476514507135389E-2</v>
      </c>
      <c r="F40" s="26">
        <f t="shared" si="38"/>
        <v>-3.4179083162755308E-2</v>
      </c>
      <c r="G40" s="26">
        <f t="shared" si="39"/>
        <v>-7.972654181310479E-2</v>
      </c>
      <c r="H40" s="26"/>
      <c r="I40" s="43"/>
      <c r="J40" s="26"/>
      <c r="K40" s="26">
        <f t="shared" si="40"/>
        <v>0.20493091303169875</v>
      </c>
      <c r="L40" s="26">
        <f t="shared" si="40"/>
        <v>-4.6319197733507234E-2</v>
      </c>
      <c r="M40" s="26">
        <f t="shared" si="40"/>
        <v>0.45687744612627901</v>
      </c>
      <c r="N40" s="26">
        <f t="shared" si="40"/>
        <v>0.25090626618332479</v>
      </c>
      <c r="O40" s="26">
        <f t="shared" si="40"/>
        <v>9.1104326226454146E-2</v>
      </c>
      <c r="P40" s="26">
        <f t="shared" si="40"/>
        <v>-2.6298939979605862E-2</v>
      </c>
      <c r="Q40" s="26">
        <f t="shared" si="40"/>
        <v>-7.9861665854846442E-2</v>
      </c>
      <c r="R40" s="43"/>
      <c r="S40" s="43"/>
      <c r="T40" s="43"/>
      <c r="U40" s="43"/>
    </row>
    <row r="41" spans="2:26" x14ac:dyDescent="0.2">
      <c r="B41" s="4" t="s">
        <v>24</v>
      </c>
      <c r="C41" s="26"/>
      <c r="D41" s="26"/>
      <c r="E41" s="26">
        <f t="shared" si="38"/>
        <v>2.6812313803376453E-2</v>
      </c>
      <c r="F41" s="26">
        <f t="shared" si="38"/>
        <v>9.191609710110793E-3</v>
      </c>
      <c r="G41" s="26">
        <f t="shared" si="39"/>
        <v>-1.3056092843326872E-2</v>
      </c>
      <c r="H41" s="26"/>
      <c r="I41" s="43"/>
      <c r="J41" s="26"/>
      <c r="K41" s="26">
        <f t="shared" si="40"/>
        <v>0.12196323046618507</v>
      </c>
      <c r="L41" s="26">
        <f t="shared" si="40"/>
        <v>-0.23218727139722017</v>
      </c>
      <c r="M41" s="26">
        <f t="shared" si="40"/>
        <v>0.25914634146341453</v>
      </c>
      <c r="N41" s="26">
        <f t="shared" si="40"/>
        <v>0.16858353510895885</v>
      </c>
      <c r="O41" s="26">
        <f t="shared" si="40"/>
        <v>7.1095571095571186E-2</v>
      </c>
      <c r="P41" s="26">
        <f t="shared" si="40"/>
        <v>1.7772941603191983E-2</v>
      </c>
      <c r="Q41" s="26">
        <f t="shared" si="40"/>
        <v>-1.1501544309812317E-2</v>
      </c>
      <c r="R41" s="43"/>
      <c r="S41" s="43"/>
      <c r="T41" s="43"/>
      <c r="U41" s="43"/>
    </row>
    <row r="42" spans="2:26" x14ac:dyDescent="0.2">
      <c r="B42" s="4" t="s">
        <v>233</v>
      </c>
      <c r="C42" s="26"/>
      <c r="D42" s="26"/>
      <c r="E42" s="26">
        <f t="shared" si="38"/>
        <v>-5.1041090842085857E-2</v>
      </c>
      <c r="F42" s="26">
        <f t="shared" si="38"/>
        <v>-8.7671232876712635E-3</v>
      </c>
      <c r="G42" s="26">
        <f t="shared" si="39"/>
        <v>-1.1650485436893177E-2</v>
      </c>
      <c r="H42" s="26"/>
      <c r="I42" s="43"/>
      <c r="J42" s="26"/>
      <c r="K42" s="26">
        <f t="shared" si="40"/>
        <v>6.8396798447732277E-2</v>
      </c>
      <c r="L42" s="26">
        <f t="shared" si="40"/>
        <v>-0.23813847900113505</v>
      </c>
      <c r="M42" s="26">
        <f t="shared" si="40"/>
        <v>1.5905840286054826</v>
      </c>
      <c r="N42" s="26">
        <f t="shared" si="40"/>
        <v>0.21704623878536933</v>
      </c>
      <c r="O42" s="26">
        <f t="shared" si="40"/>
        <v>3.0337397221434692E-2</v>
      </c>
      <c r="P42" s="26">
        <f t="shared" si="40"/>
        <v>-2.9811043845165974E-2</v>
      </c>
      <c r="Q42" s="26">
        <f t="shared" si="40"/>
        <v>-1.0803630519050866E-2</v>
      </c>
      <c r="R42" s="43"/>
      <c r="S42" s="43"/>
      <c r="T42" s="43"/>
      <c r="U42" s="43"/>
    </row>
    <row r="43" spans="2:26" x14ac:dyDescent="0.2">
      <c r="B43" s="4" t="s">
        <v>21</v>
      </c>
      <c r="C43" s="26"/>
      <c r="D43" s="26"/>
      <c r="E43" s="26">
        <f t="shared" si="38"/>
        <v>3.3153800119688714E-2</v>
      </c>
      <c r="F43" s="26">
        <f t="shared" si="38"/>
        <v>1.0493179433368249E-2</v>
      </c>
      <c r="G43" s="26">
        <f t="shared" si="39"/>
        <v>-1.3901760889712955E-3</v>
      </c>
      <c r="H43" s="26"/>
      <c r="I43" s="43"/>
      <c r="J43" s="26"/>
      <c r="K43" s="26">
        <f t="shared" si="40"/>
        <v>8.3907372123699142E-2</v>
      </c>
      <c r="L43" s="26">
        <f t="shared" si="40"/>
        <v>-0.31343384490568593</v>
      </c>
      <c r="M43" s="26">
        <f t="shared" si="40"/>
        <v>0.15745937961595269</v>
      </c>
      <c r="N43" s="26">
        <f t="shared" si="40"/>
        <v>0.26356984856219157</v>
      </c>
      <c r="O43" s="26">
        <f t="shared" si="40"/>
        <v>0.20421492054942103</v>
      </c>
      <c r="P43" s="26">
        <f t="shared" si="40"/>
        <v>2.1079116578138102E-2</v>
      </c>
      <c r="Q43" s="26">
        <f t="shared" si="40"/>
        <v>-5.9303471689847731E-3</v>
      </c>
      <c r="R43" s="43"/>
      <c r="S43" s="43"/>
      <c r="T43" s="43"/>
      <c r="U43" s="43"/>
    </row>
    <row r="44" spans="2:26" s="18" customFormat="1" x14ac:dyDescent="0.2">
      <c r="B44" s="18" t="s">
        <v>46</v>
      </c>
      <c r="C44" s="66"/>
      <c r="D44" s="66"/>
      <c r="E44" s="67">
        <f t="shared" ref="E44" si="41">+E19/C19-1</f>
        <v>-1.3328598484848464E-2</v>
      </c>
      <c r="F44" s="67">
        <f>+F19/D19-1</f>
        <v>-2.0654475895520719E-2</v>
      </c>
      <c r="G44" s="67">
        <f t="shared" ref="G44" si="42">+G19/E19-1</f>
        <v>-4.4796890371187947E-2</v>
      </c>
      <c r="H44" s="67"/>
      <c r="I44" s="66"/>
      <c r="J44" s="66"/>
      <c r="K44" s="67">
        <f t="shared" ref="K44:Q44" si="43">+K19/J19-1</f>
        <v>0.14615811728526884</v>
      </c>
      <c r="L44" s="67">
        <f t="shared" si="43"/>
        <v>-0.16804546301471956</v>
      </c>
      <c r="M44" s="67">
        <f t="shared" si="43"/>
        <v>0.43815368076862771</v>
      </c>
      <c r="N44" s="67">
        <f t="shared" si="43"/>
        <v>0.23310752939344392</v>
      </c>
      <c r="O44" s="67">
        <f t="shared" si="43"/>
        <v>8.8010204081632626E-2</v>
      </c>
      <c r="P44" s="67">
        <f t="shared" si="43"/>
        <v>-1.7062667579770818E-2</v>
      </c>
      <c r="Q44" s="67">
        <f t="shared" si="43"/>
        <v>-4.6383689760636782E-2</v>
      </c>
      <c r="R44" s="67">
        <f t="shared" ref="R44" si="44">+R19/Q19-1</f>
        <v>4.2991469639870328E-2</v>
      </c>
      <c r="S44" s="67">
        <f t="shared" ref="S44" si="45">+S19/R19-1</f>
        <v>5.795082756844705E-2</v>
      </c>
      <c r="T44" s="67">
        <f t="shared" ref="T44" si="46">+T19/S19-1</f>
        <v>5.7087320103053729E-2</v>
      </c>
      <c r="U44" s="67">
        <f t="shared" ref="U44" si="47">+U19/T19-1</f>
        <v>5.6278384860037667E-2</v>
      </c>
      <c r="V44" s="67">
        <f t="shared" ref="V44" si="48">+V19/U19-1</f>
        <v>5.551940951923795E-2</v>
      </c>
      <c r="W44" s="67">
        <f t="shared" ref="W44" si="49">+W19/V19-1</f>
        <v>5.4806286622955058E-2</v>
      </c>
      <c r="X44" s="67">
        <f t="shared" ref="X44" si="50">+X19/W19-1</f>
        <v>2.6755207392724634E-2</v>
      </c>
      <c r="Y44" s="67">
        <f t="shared" ref="Y44" si="51">+Y19/X19-1</f>
        <v>2.6832329620048778E-2</v>
      </c>
      <c r="Z44" s="67">
        <f t="shared" ref="Z44" si="52">+Z19/Y19-1</f>
        <v>2.6909480469218705E-2</v>
      </c>
    </row>
    <row r="45" spans="2:26" x14ac:dyDescent="0.2">
      <c r="B45" s="4" t="s">
        <v>47</v>
      </c>
      <c r="C45" s="26">
        <f t="shared" ref="C45:F45" si="53">C21/C19</f>
        <v>0.69405776515151518</v>
      </c>
      <c r="D45" s="26">
        <f t="shared" si="53"/>
        <v>0.68225810124564479</v>
      </c>
      <c r="E45" s="26">
        <f t="shared" si="53"/>
        <v>0.6884612616071214</v>
      </c>
      <c r="F45" s="26">
        <f t="shared" si="53"/>
        <v>0.65274612844719337</v>
      </c>
      <c r="G45" s="26">
        <f t="shared" ref="G45" si="54">G21/G19</f>
        <v>0.66842501883948757</v>
      </c>
      <c r="H45" s="26"/>
      <c r="I45" s="43"/>
      <c r="J45" s="26">
        <f t="shared" ref="J45:P45" si="55">J21/J19</f>
        <v>0.66631785760047835</v>
      </c>
      <c r="K45" s="26">
        <f t="shared" si="55"/>
        <v>0.66232532140860811</v>
      </c>
      <c r="L45" s="26">
        <f t="shared" si="55"/>
        <v>0.6445544332713713</v>
      </c>
      <c r="M45" s="26">
        <f t="shared" si="55"/>
        <v>0.68301798645176359</v>
      </c>
      <c r="N45" s="26">
        <f t="shared" si="55"/>
        <v>0.68443119822186305</v>
      </c>
      <c r="O45" s="26">
        <f t="shared" si="55"/>
        <v>0.68804336471161776</v>
      </c>
      <c r="P45" s="26">
        <f t="shared" si="55"/>
        <v>0.67032344154080514</v>
      </c>
      <c r="Q45" s="26">
        <v>0.67</v>
      </c>
      <c r="R45" s="43"/>
      <c r="S45" s="43"/>
      <c r="T45" s="43"/>
      <c r="U45" s="43"/>
    </row>
    <row r="46" spans="2:26" x14ac:dyDescent="0.2">
      <c r="B46" s="4" t="s">
        <v>48</v>
      </c>
      <c r="C46" s="26">
        <f t="shared" ref="C46:F46" si="56">C26/C19</f>
        <v>0.27376893939393937</v>
      </c>
      <c r="D46" s="26">
        <f t="shared" si="56"/>
        <v>0.25040420832099836</v>
      </c>
      <c r="E46" s="26">
        <f t="shared" si="56"/>
        <v>0.25491278163015574</v>
      </c>
      <c r="F46" s="26">
        <f t="shared" si="56"/>
        <v>0.19260103241408175</v>
      </c>
      <c r="G46" s="26">
        <f t="shared" ref="G46" si="57">G26/G19</f>
        <v>0.2260236121577493</v>
      </c>
      <c r="H46" s="26"/>
      <c r="I46" s="43"/>
      <c r="J46" s="26">
        <f t="shared" ref="J46:P46" si="58">J26/J19</f>
        <v>0.21092982531072482</v>
      </c>
      <c r="K46" s="26">
        <f t="shared" si="58"/>
        <v>0.21004285448108814</v>
      </c>
      <c r="L46" s="26">
        <f t="shared" si="58"/>
        <v>0.17854023426127075</v>
      </c>
      <c r="M46" s="26">
        <f t="shared" si="58"/>
        <v>0.26714941991746477</v>
      </c>
      <c r="N46" s="26">
        <f t="shared" si="58"/>
        <v>0.265217720751667</v>
      </c>
      <c r="O46" s="26">
        <f t="shared" si="58"/>
        <v>0.26185971469362646</v>
      </c>
      <c r="P46" s="26">
        <f t="shared" si="58"/>
        <v>0.22326795224543297</v>
      </c>
      <c r="Q46" s="26">
        <v>0.23</v>
      </c>
      <c r="R46" s="26">
        <f>+Q46+1.5%</f>
        <v>0.245</v>
      </c>
      <c r="S46" s="26">
        <f t="shared" ref="S46:V46" si="59">+R46+1.5%</f>
        <v>0.26</v>
      </c>
      <c r="T46" s="26">
        <f t="shared" si="59"/>
        <v>0.27500000000000002</v>
      </c>
      <c r="U46" s="26">
        <f t="shared" si="59"/>
        <v>0.29000000000000004</v>
      </c>
      <c r="V46" s="26">
        <f t="shared" si="59"/>
        <v>0.30500000000000005</v>
      </c>
      <c r="W46" s="60">
        <f>+V46-1%</f>
        <v>0.29500000000000004</v>
      </c>
      <c r="X46" s="60">
        <f t="shared" ref="X46:Z46" si="60">+W46-1%</f>
        <v>0.28500000000000003</v>
      </c>
      <c r="Y46" s="60">
        <f t="shared" si="60"/>
        <v>0.27500000000000002</v>
      </c>
      <c r="Z46" s="60">
        <f t="shared" si="60"/>
        <v>0.26500000000000001</v>
      </c>
    </row>
    <row r="47" spans="2:26" x14ac:dyDescent="0.2">
      <c r="B47" s="4" t="s">
        <v>49</v>
      </c>
      <c r="C47" s="26">
        <f t="shared" ref="C47:F47" si="61">C34/C19</f>
        <v>0.20078124999999999</v>
      </c>
      <c r="D47" s="26">
        <f t="shared" si="61"/>
        <v>0.15241500239109149</v>
      </c>
      <c r="E47" s="26">
        <f t="shared" si="61"/>
        <v>0.17436475754013006</v>
      </c>
      <c r="F47" s="26">
        <f t="shared" si="61"/>
        <v>0.1228433241873227</v>
      </c>
      <c r="G47" s="26">
        <f t="shared" ref="G47" si="62">G34/G19</f>
        <v>0.14312986686762119</v>
      </c>
      <c r="H47" s="26"/>
      <c r="I47" s="43"/>
      <c r="J47" s="26">
        <f t="shared" ref="J47:P47" si="63">J34/J19</f>
        <v>0.13569384529961986</v>
      </c>
      <c r="K47" s="26">
        <f t="shared" si="63"/>
        <v>0.13361281907956027</v>
      </c>
      <c r="L47" s="26">
        <f t="shared" si="63"/>
        <v>0.10530559225997178</v>
      </c>
      <c r="M47" s="26">
        <f t="shared" si="63"/>
        <v>0.18743284279373978</v>
      </c>
      <c r="N47" s="26">
        <f t="shared" si="63"/>
        <v>0.17786421499292787</v>
      </c>
      <c r="O47" s="26">
        <f t="shared" si="63"/>
        <v>0.17612851554792056</v>
      </c>
      <c r="P47" s="26">
        <f t="shared" si="63"/>
        <v>0.14819975673984154</v>
      </c>
      <c r="Q47" s="26">
        <v>0.14000000000000001</v>
      </c>
      <c r="R47" s="43"/>
      <c r="S47" s="43"/>
      <c r="T47" s="43"/>
      <c r="U47" s="43"/>
    </row>
    <row r="48" spans="2:26" x14ac:dyDescent="0.2">
      <c r="B48" s="4" t="s">
        <v>50</v>
      </c>
      <c r="C48" s="26">
        <f t="shared" ref="C48:F48" si="64">C31/C30</f>
        <v>0.26007813149364145</v>
      </c>
      <c r="D48" s="26">
        <f t="shared" si="64"/>
        <v>0.26516572858036275</v>
      </c>
      <c r="E48" s="26">
        <f t="shared" si="64"/>
        <v>0.27051788986401776</v>
      </c>
      <c r="F48" s="26">
        <f t="shared" si="64"/>
        <v>0.30364058869093724</v>
      </c>
      <c r="G48" s="26">
        <f t="shared" ref="G48" si="65">G31/G30</f>
        <v>0.30923741679317995</v>
      </c>
      <c r="H48" s="26"/>
      <c r="I48" s="43"/>
      <c r="J48" s="26">
        <f t="shared" ref="J48:P48" si="66">J31/J30</f>
        <v>0.26335757192538728</v>
      </c>
      <c r="K48" s="26">
        <f t="shared" si="66"/>
        <v>0.27366063095015869</v>
      </c>
      <c r="L48" s="26">
        <f t="shared" si="66"/>
        <v>0.32713199348180338</v>
      </c>
      <c r="M48" s="26">
        <f t="shared" si="66"/>
        <v>0.26208740120874013</v>
      </c>
      <c r="N48" s="26">
        <f t="shared" si="66"/>
        <v>0.26659374533883556</v>
      </c>
      <c r="O48" s="26">
        <f t="shared" si="66"/>
        <v>0.26233526011560693</v>
      </c>
      <c r="P48" s="26">
        <f t="shared" si="66"/>
        <v>0.28468120342257797</v>
      </c>
      <c r="Q48" s="26">
        <v>0.28999999999999998</v>
      </c>
      <c r="R48" s="43"/>
      <c r="S48" s="43"/>
      <c r="T48" s="43"/>
      <c r="U48" s="43"/>
    </row>
    <row r="49" spans="1:22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P49" s="43"/>
      <c r="Q49" s="43"/>
      <c r="R49" s="43"/>
      <c r="S49" s="43"/>
      <c r="T49" s="43"/>
      <c r="U49" s="43"/>
    </row>
    <row r="50" spans="1:22" x14ac:dyDescent="0.2">
      <c r="A50" s="58" t="s">
        <v>17</v>
      </c>
      <c r="B50" s="59" t="s">
        <v>51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2" x14ac:dyDescent="0.2">
      <c r="B51" s="4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43"/>
      <c r="S51" s="43"/>
      <c r="T51" s="43"/>
      <c r="U51" s="43"/>
    </row>
    <row r="52" spans="1:22" x14ac:dyDescent="0.2">
      <c r="B52" s="4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43"/>
      <c r="S52" s="43"/>
      <c r="T52" s="43"/>
      <c r="U52" s="43"/>
    </row>
    <row r="53" spans="1:22" x14ac:dyDescent="0.2">
      <c r="B53" s="4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43"/>
      <c r="S53" s="43"/>
      <c r="T53" s="43"/>
      <c r="U53" s="43"/>
    </row>
    <row r="54" spans="1:22" x14ac:dyDescent="0.2">
      <c r="B54" s="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43"/>
      <c r="S54" s="43"/>
      <c r="T54" s="43"/>
      <c r="U54" s="43"/>
    </row>
    <row r="55" spans="1:22" x14ac:dyDescent="0.2">
      <c r="B55" s="4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43"/>
      <c r="S55" s="43"/>
      <c r="T55" s="43"/>
      <c r="U55" s="43"/>
    </row>
    <row r="56" spans="1:22" x14ac:dyDescent="0.2">
      <c r="B56" s="4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43"/>
      <c r="S56" s="43"/>
      <c r="T56" s="43"/>
      <c r="U56" s="43"/>
    </row>
    <row r="57" spans="1:22" x14ac:dyDescent="0.2">
      <c r="B57" s="4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43"/>
      <c r="S57" s="43"/>
      <c r="T57" s="43"/>
      <c r="U57" s="43"/>
    </row>
    <row r="58" spans="1:22" x14ac:dyDescent="0.2">
      <c r="B58" s="4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43"/>
      <c r="S58" s="43"/>
      <c r="T58" s="43"/>
      <c r="U58" s="43"/>
    </row>
    <row r="59" spans="1:22" x14ac:dyDescent="0.2">
      <c r="B59" s="4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43"/>
      <c r="R59" s="43"/>
      <c r="S59" s="43"/>
      <c r="T59" s="43"/>
      <c r="U59" s="43"/>
    </row>
    <row r="60" spans="1:22" x14ac:dyDescent="0.2">
      <c r="B60" s="4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">
      <c r="B61" s="4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">
      <c r="B62" s="4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">
      <c r="B63" s="4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">
      <c r="B64" s="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">
      <c r="B65" s="4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">
      <c r="B66" s="18" t="s">
        <v>65</v>
      </c>
      <c r="C66" s="64">
        <f t="shared" ref="C66:H66" si="72">C59+C65</f>
        <v>0</v>
      </c>
      <c r="D66" s="64">
        <f t="shared" si="72"/>
        <v>0</v>
      </c>
      <c r="E66" s="64">
        <f t="shared" si="72"/>
        <v>144449</v>
      </c>
      <c r="F66" s="64">
        <f t="shared" si="72"/>
        <v>0</v>
      </c>
      <c r="G66" s="64">
        <f t="shared" si="72"/>
        <v>141575</v>
      </c>
      <c r="H66" s="64">
        <f t="shared" si="72"/>
        <v>0</v>
      </c>
      <c r="I66" s="21"/>
      <c r="J66" s="64">
        <f t="shared" ref="J66:P66" si="73">J59+J65</f>
        <v>74300</v>
      </c>
      <c r="K66" s="64">
        <f t="shared" si="73"/>
        <v>96507</v>
      </c>
      <c r="L66" s="64">
        <f t="shared" si="73"/>
        <v>108671</v>
      </c>
      <c r="M66" s="64">
        <f t="shared" si="73"/>
        <v>125311</v>
      </c>
      <c r="N66" s="64">
        <f t="shared" si="73"/>
        <v>134646</v>
      </c>
      <c r="O66" s="64">
        <f t="shared" si="73"/>
        <v>143694</v>
      </c>
      <c r="P66" s="64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">
      <c r="B67" s="4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">
      <c r="B68" s="4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">
      <c r="B69" s="18" t="s">
        <v>67</v>
      </c>
      <c r="C69" s="64">
        <f t="shared" ref="C69:H69" si="74">SUM(C67:C68)</f>
        <v>0</v>
      </c>
      <c r="D69" s="64">
        <f t="shared" si="74"/>
        <v>0</v>
      </c>
      <c r="E69" s="64">
        <f t="shared" si="74"/>
        <v>66480</v>
      </c>
      <c r="F69" s="64">
        <f t="shared" si="74"/>
        <v>0</v>
      </c>
      <c r="G69" s="64">
        <f t="shared" si="74"/>
        <v>66875</v>
      </c>
      <c r="H69" s="64">
        <f t="shared" si="74"/>
        <v>0</v>
      </c>
      <c r="I69" s="21"/>
      <c r="J69" s="64">
        <f t="shared" ref="J69:N69" si="75">SUM(J67:J68)</f>
        <v>33957</v>
      </c>
      <c r="K69" s="64">
        <f t="shared" si="75"/>
        <v>38365</v>
      </c>
      <c r="L69" s="64">
        <f t="shared" si="75"/>
        <v>38829</v>
      </c>
      <c r="M69" s="64">
        <f t="shared" si="75"/>
        <v>48909</v>
      </c>
      <c r="N69" s="64">
        <f t="shared" si="75"/>
        <v>56604</v>
      </c>
      <c r="O69" s="64">
        <f>SUM(O67:O68)</f>
        <v>62701</v>
      </c>
      <c r="P69" s="64">
        <f>SUM(P67:P68)</f>
        <v>69287</v>
      </c>
      <c r="Q69" s="21"/>
      <c r="R69" s="21"/>
      <c r="S69" s="21"/>
      <c r="T69" s="21"/>
      <c r="U69" s="21"/>
      <c r="V69" s="21"/>
    </row>
    <row r="70" spans="2:22" x14ac:dyDescent="0.2">
      <c r="B70" s="4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">
      <c r="B71" s="4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">
      <c r="B72" s="4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">
      <c r="B73" s="4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">
      <c r="B74" s="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">
      <c r="B75" s="4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">
      <c r="B76" s="4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">
      <c r="B77" s="4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">
      <c r="B78" s="4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">
      <c r="B79" s="4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">
      <c r="B80" s="4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">
      <c r="B81" s="4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">
      <c r="B82" s="18" t="s">
        <v>78</v>
      </c>
      <c r="C82" s="64">
        <f t="shared" ref="C82:H82" si="80">C81+C75+C69</f>
        <v>0</v>
      </c>
      <c r="D82" s="64">
        <f t="shared" si="80"/>
        <v>0</v>
      </c>
      <c r="E82" s="64">
        <f t="shared" si="80"/>
        <v>144449</v>
      </c>
      <c r="F82" s="64">
        <f t="shared" si="80"/>
        <v>0</v>
      </c>
      <c r="G82" s="64">
        <f t="shared" si="80"/>
        <v>141575</v>
      </c>
      <c r="H82" s="64">
        <f t="shared" si="80"/>
        <v>0</v>
      </c>
      <c r="I82" s="21"/>
      <c r="J82" s="64">
        <f t="shared" ref="J82:P82" si="81">J81+J75+J69</f>
        <v>74300</v>
      </c>
      <c r="K82" s="64">
        <f t="shared" si="81"/>
        <v>96507</v>
      </c>
      <c r="L82" s="64">
        <f t="shared" si="81"/>
        <v>108671</v>
      </c>
      <c r="M82" s="64">
        <f t="shared" si="81"/>
        <v>125311</v>
      </c>
      <c r="N82" s="64">
        <f t="shared" si="81"/>
        <v>134646</v>
      </c>
      <c r="O82" s="64">
        <f t="shared" si="81"/>
        <v>143694</v>
      </c>
      <c r="P82" s="64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">
      <c r="A85" s="58" t="s">
        <v>17</v>
      </c>
      <c r="B85" s="59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">
      <c r="B86" s="4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">
      <c r="B87" s="4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">
      <c r="B88" s="4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">
      <c r="B89" s="4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">
      <c r="B90" s="4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">
      <c r="B91" s="4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">
      <c r="B92" s="4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">
      <c r="B93" s="4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">
      <c r="B94" s="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">
      <c r="B95" s="18" t="s">
        <v>87</v>
      </c>
      <c r="C95" s="64">
        <f t="shared" ref="C95:H95" si="84">SUM(C86:C94)</f>
        <v>11564</v>
      </c>
      <c r="D95" s="64">
        <f t="shared" si="84"/>
        <v>10996</v>
      </c>
      <c r="E95" s="64">
        <f t="shared" si="84"/>
        <v>7284</v>
      </c>
      <c r="F95" s="64">
        <f t="shared" si="84"/>
        <v>8283</v>
      </c>
      <c r="G95" s="64">
        <f t="shared" si="84"/>
        <v>7881</v>
      </c>
      <c r="H95" s="64">
        <f t="shared" si="84"/>
        <v>0</v>
      </c>
      <c r="I95" s="21"/>
      <c r="J95" s="64">
        <f t="shared" ref="J95:N95" si="85">SUM(J86:J94)</f>
        <v>8490</v>
      </c>
      <c r="K95" s="64">
        <f t="shared" si="85"/>
        <v>11648</v>
      </c>
      <c r="L95" s="64">
        <f t="shared" si="85"/>
        <v>10896</v>
      </c>
      <c r="M95" s="64">
        <f t="shared" si="85"/>
        <v>18648</v>
      </c>
      <c r="N95" s="64">
        <f t="shared" si="85"/>
        <v>17833</v>
      </c>
      <c r="O95" s="64">
        <f>SUM(O86:O94)</f>
        <v>18400</v>
      </c>
      <c r="P95" s="64">
        <f>SUM(P86:P94)</f>
        <v>18924</v>
      </c>
      <c r="Q95" s="21"/>
      <c r="R95" s="21"/>
      <c r="S95" s="21"/>
      <c r="T95" s="21"/>
      <c r="U95" s="21"/>
      <c r="V95" s="21"/>
    </row>
    <row r="96" spans="1:22" x14ac:dyDescent="0.2">
      <c r="B96" s="4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">
      <c r="B97" s="4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">
      <c r="B98" s="4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">
      <c r="B99" s="4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">
      <c r="B100" s="18" t="s">
        <v>90</v>
      </c>
      <c r="C100" s="64">
        <f t="shared" ref="C100:H100" si="86">SUM(C96:C99)</f>
        <v>0</v>
      </c>
      <c r="D100" s="64">
        <f t="shared" si="86"/>
        <v>0</v>
      </c>
      <c r="E100" s="64">
        <f t="shared" si="86"/>
        <v>-3164</v>
      </c>
      <c r="F100" s="64">
        <f t="shared" si="86"/>
        <v>0</v>
      </c>
      <c r="G100" s="64">
        <f t="shared" si="86"/>
        <v>-2452</v>
      </c>
      <c r="H100" s="64">
        <f t="shared" si="86"/>
        <v>0</v>
      </c>
      <c r="I100" s="21"/>
      <c r="J100" s="64">
        <f t="shared" ref="J100:N100" si="87">SUM(J96:J99)</f>
        <v>-3439</v>
      </c>
      <c r="K100" s="64">
        <f t="shared" si="87"/>
        <v>-5869</v>
      </c>
      <c r="L100" s="64">
        <f t="shared" si="87"/>
        <v>-2939</v>
      </c>
      <c r="M100" s="64">
        <f t="shared" si="87"/>
        <v>-15979</v>
      </c>
      <c r="N100" s="64">
        <f t="shared" si="87"/>
        <v>-5920</v>
      </c>
      <c r="O100" s="64">
        <f>SUM(O96:O99)</f>
        <v>-8310</v>
      </c>
      <c r="P100" s="64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">
      <c r="B101" s="4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">
      <c r="B102" s="4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">
      <c r="B103" s="4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">
      <c r="B104" s="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">
      <c r="B105" s="4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">
      <c r="B106" s="4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">
      <c r="B107" s="4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">
      <c r="B108" s="18" t="s">
        <v>100</v>
      </c>
      <c r="C108" s="64">
        <f t="shared" ref="C108:H108" si="88">SUM(C101:C107)</f>
        <v>0</v>
      </c>
      <c r="D108" s="64">
        <f t="shared" si="88"/>
        <v>0</v>
      </c>
      <c r="E108" s="64">
        <f t="shared" si="88"/>
        <v>-4945</v>
      </c>
      <c r="F108" s="64">
        <f t="shared" si="88"/>
        <v>0</v>
      </c>
      <c r="G108" s="64">
        <f t="shared" si="88"/>
        <v>-6767</v>
      </c>
      <c r="H108" s="64">
        <f t="shared" si="88"/>
        <v>0</v>
      </c>
      <c r="I108" s="21"/>
      <c r="J108" s="64">
        <f t="shared" ref="J108:N108" si="89">SUM(J101:J107)</f>
        <v>-4323</v>
      </c>
      <c r="K108" s="64">
        <f t="shared" si="89"/>
        <v>-4734</v>
      </c>
      <c r="L108" s="64">
        <f t="shared" si="89"/>
        <v>7403</v>
      </c>
      <c r="M108" s="64">
        <f t="shared" si="89"/>
        <v>-15156</v>
      </c>
      <c r="N108" s="64">
        <f t="shared" si="89"/>
        <v>-12685</v>
      </c>
      <c r="O108" s="64">
        <f>SUM(O101:O107)</f>
        <v>-9397</v>
      </c>
      <c r="P108" s="64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">
      <c r="B109" s="4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">
      <c r="B110" s="18" t="s">
        <v>101</v>
      </c>
      <c r="C110" s="64">
        <f t="shared" ref="C110:H110" si="90">C95+C100+C108+C109</f>
        <v>11564</v>
      </c>
      <c r="D110" s="64">
        <f t="shared" si="90"/>
        <v>10996</v>
      </c>
      <c r="E110" s="64">
        <f t="shared" si="90"/>
        <v>-807</v>
      </c>
      <c r="F110" s="64">
        <f t="shared" si="90"/>
        <v>8283</v>
      </c>
      <c r="G110" s="64">
        <f t="shared" si="90"/>
        <v>-1455</v>
      </c>
      <c r="H110" s="64">
        <f t="shared" si="90"/>
        <v>0</v>
      </c>
      <c r="I110" s="21"/>
      <c r="J110" s="64">
        <f t="shared" ref="J110:P110" si="91">J95+J100+J108+J109</f>
        <v>796</v>
      </c>
      <c r="K110" s="64">
        <f t="shared" si="91"/>
        <v>1084</v>
      </c>
      <c r="L110" s="64">
        <f t="shared" si="91"/>
        <v>14308</v>
      </c>
      <c r="M110" s="64">
        <f t="shared" si="91"/>
        <v>-11989</v>
      </c>
      <c r="N110" s="64">
        <f t="shared" si="91"/>
        <v>-717</v>
      </c>
      <c r="O110" s="64">
        <f t="shared" si="91"/>
        <v>420</v>
      </c>
      <c r="P110" s="64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">
      <c r="B111" s="4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">
      <c r="B112" s="4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"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21"/>
      <c r="Q113" s="21"/>
      <c r="R113" s="21"/>
      <c r="S113" s="21"/>
      <c r="T113" s="21"/>
      <c r="U113" s="21"/>
      <c r="V113" s="21"/>
    </row>
    <row r="114" spans="2:22" x14ac:dyDescent="0.2">
      <c r="B114" s="4" t="s">
        <v>249</v>
      </c>
      <c r="C114" s="43"/>
      <c r="D114" s="43"/>
      <c r="E114" s="61">
        <f>+E95+E96</f>
        <v>4556</v>
      </c>
      <c r="F114" s="43"/>
      <c r="G114" s="61">
        <f>+G95+G96</f>
        <v>5521</v>
      </c>
      <c r="H114" s="43"/>
      <c r="I114" s="43"/>
      <c r="J114" s="61">
        <f t="shared" ref="J114:Q114" si="92">+J95+J96</f>
        <v>5452</v>
      </c>
      <c r="K114" s="61">
        <f t="shared" si="92"/>
        <v>8354</v>
      </c>
      <c r="L114" s="61">
        <f t="shared" si="92"/>
        <v>8418</v>
      </c>
      <c r="M114" s="61">
        <f t="shared" si="92"/>
        <v>15984</v>
      </c>
      <c r="N114" s="61">
        <f t="shared" si="92"/>
        <v>12864</v>
      </c>
      <c r="O114" s="61">
        <f t="shared" si="92"/>
        <v>10922</v>
      </c>
      <c r="P114" s="61">
        <f t="shared" si="92"/>
        <v>13393</v>
      </c>
      <c r="Q114" s="61">
        <f t="shared" si="92"/>
        <v>0</v>
      </c>
      <c r="R114" s="21"/>
      <c r="S114" s="21"/>
      <c r="T114" s="21"/>
      <c r="U114" s="21"/>
      <c r="V114" s="21"/>
    </row>
    <row r="115" spans="2:22" x14ac:dyDescent="0.2"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21"/>
      <c r="Q115" s="21"/>
      <c r="R115" s="21"/>
      <c r="S115" s="21"/>
      <c r="T115" s="21"/>
      <c r="U115" s="21"/>
      <c r="V115" s="21"/>
    </row>
    <row r="116" spans="2:22" x14ac:dyDescent="0.2"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21"/>
      <c r="Q116" s="21"/>
      <c r="R116" s="21"/>
      <c r="S116" s="21"/>
      <c r="T116" s="21"/>
      <c r="U116" s="21"/>
      <c r="V116" s="21"/>
    </row>
    <row r="117" spans="2:22" x14ac:dyDescent="0.2"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21"/>
      <c r="Q117" s="21"/>
      <c r="R117" s="21"/>
      <c r="S117" s="21"/>
      <c r="T117" s="21"/>
      <c r="U117" s="21"/>
      <c r="V117" s="21"/>
    </row>
    <row r="118" spans="2:22" x14ac:dyDescent="0.2"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21"/>
      <c r="Q118" s="21"/>
      <c r="R118" s="21"/>
      <c r="S118" s="21"/>
      <c r="T118" s="21"/>
      <c r="U118" s="21"/>
      <c r="V118" s="21"/>
    </row>
    <row r="119" spans="2:22" x14ac:dyDescent="0.2"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21"/>
      <c r="Q119" s="21"/>
      <c r="R119" s="21"/>
      <c r="S119" s="21"/>
      <c r="T119" s="21"/>
      <c r="U119" s="21"/>
      <c r="V119" s="21"/>
    </row>
    <row r="120" spans="2:22" x14ac:dyDescent="0.2"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21"/>
      <c r="Q120" s="21"/>
      <c r="R120" s="21"/>
      <c r="S120" s="21"/>
      <c r="T120" s="21"/>
      <c r="U120" s="21"/>
      <c r="V120" s="21"/>
    </row>
    <row r="121" spans="2:22" x14ac:dyDescent="0.2"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21"/>
      <c r="Q121" s="21"/>
      <c r="R121" s="21"/>
      <c r="S121" s="21"/>
      <c r="T121" s="21"/>
      <c r="U121" s="21"/>
      <c r="V121" s="21"/>
    </row>
    <row r="122" spans="2:22" x14ac:dyDescent="0.2"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21"/>
      <c r="Q122" s="21"/>
      <c r="R122" s="21"/>
      <c r="S122" s="21"/>
      <c r="T122" s="21"/>
      <c r="U122" s="21"/>
      <c r="V122" s="21"/>
    </row>
    <row r="123" spans="2:22" x14ac:dyDescent="0.2"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21"/>
      <c r="Q123" s="21"/>
      <c r="R123" s="21"/>
      <c r="S123" s="21"/>
      <c r="T123" s="21"/>
      <c r="U123" s="21"/>
      <c r="V123" s="21"/>
    </row>
    <row r="124" spans="2:22" x14ac:dyDescent="0.2"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21"/>
      <c r="Q124" s="21"/>
      <c r="R124" s="21"/>
      <c r="S124" s="21"/>
      <c r="T124" s="21"/>
      <c r="U124" s="21"/>
      <c r="V124" s="21"/>
    </row>
    <row r="125" spans="2:22" x14ac:dyDescent="0.2"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21"/>
      <c r="Q125" s="21"/>
      <c r="R125" s="21"/>
      <c r="S125" s="21"/>
      <c r="T125" s="21"/>
      <c r="U125" s="21"/>
      <c r="V125" s="21"/>
    </row>
    <row r="126" spans="2:22" x14ac:dyDescent="0.2"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21"/>
      <c r="Q126" s="21"/>
      <c r="R126" s="21"/>
      <c r="S126" s="21"/>
      <c r="T126" s="21"/>
      <c r="U126" s="21"/>
      <c r="V126" s="21"/>
    </row>
    <row r="127" spans="2:22" x14ac:dyDescent="0.2"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21"/>
      <c r="Q127" s="21"/>
      <c r="R127" s="21"/>
      <c r="S127" s="21"/>
      <c r="T127" s="21"/>
      <c r="U127" s="21"/>
      <c r="V127" s="21"/>
    </row>
    <row r="128" spans="2:22" x14ac:dyDescent="0.2"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21"/>
      <c r="Q128" s="21"/>
      <c r="R128" s="21"/>
      <c r="S128" s="21"/>
      <c r="T128" s="21"/>
      <c r="U128" s="21"/>
      <c r="V128" s="21"/>
    </row>
    <row r="129" spans="3:22" x14ac:dyDescent="0.2"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21"/>
      <c r="Q129" s="21"/>
      <c r="R129" s="21"/>
      <c r="S129" s="21"/>
      <c r="T129" s="21"/>
      <c r="U129" s="21"/>
      <c r="V129" s="21"/>
    </row>
    <row r="130" spans="3:22" x14ac:dyDescent="0.2"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21"/>
      <c r="Q130" s="21"/>
      <c r="R130" s="21"/>
      <c r="S130" s="21"/>
      <c r="T130" s="21"/>
      <c r="U130" s="21"/>
      <c r="V130" s="21"/>
    </row>
    <row r="131" spans="3:22" x14ac:dyDescent="0.2"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21"/>
      <c r="Q131" s="21"/>
      <c r="R131" s="21"/>
      <c r="S131" s="21"/>
      <c r="T131" s="21"/>
      <c r="U131" s="21"/>
      <c r="V131" s="21"/>
    </row>
    <row r="132" spans="3:22" x14ac:dyDescent="0.2"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21"/>
      <c r="Q132" s="21"/>
      <c r="R132" s="21"/>
      <c r="S132" s="21"/>
      <c r="T132" s="21"/>
      <c r="U132" s="21"/>
      <c r="V132" s="21"/>
    </row>
    <row r="133" spans="3:22" x14ac:dyDescent="0.2"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21"/>
      <c r="Q133" s="21"/>
      <c r="R133" s="21"/>
      <c r="S133" s="21"/>
      <c r="T133" s="21"/>
      <c r="U133" s="21"/>
      <c r="V133" s="21"/>
    </row>
    <row r="134" spans="3:22" x14ac:dyDescent="0.2"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21"/>
      <c r="Q134" s="21"/>
      <c r="R134" s="21"/>
      <c r="S134" s="21"/>
      <c r="T134" s="21"/>
      <c r="U134" s="21"/>
      <c r="V134" s="21"/>
    </row>
    <row r="135" spans="3:22" x14ac:dyDescent="0.2"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21"/>
      <c r="Q135" s="21"/>
      <c r="R135" s="21"/>
      <c r="S135" s="21"/>
      <c r="T135" s="21"/>
      <c r="U135" s="21"/>
      <c r="V135" s="21"/>
    </row>
    <row r="136" spans="3:22" x14ac:dyDescent="0.2"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21"/>
      <c r="Q136" s="21"/>
      <c r="R136" s="21"/>
      <c r="S136" s="21"/>
      <c r="T136" s="21"/>
      <c r="U136" s="21"/>
      <c r="V136" s="21"/>
    </row>
    <row r="137" spans="3:22" x14ac:dyDescent="0.2"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21"/>
      <c r="Q137" s="21"/>
      <c r="R137" s="21"/>
      <c r="S137" s="21"/>
      <c r="T137" s="21"/>
      <c r="U137" s="21"/>
      <c r="V137" s="21"/>
    </row>
    <row r="138" spans="3:22" x14ac:dyDescent="0.2"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21"/>
      <c r="Q138" s="21"/>
      <c r="R138" s="21"/>
      <c r="S138" s="21"/>
      <c r="T138" s="21"/>
      <c r="U138" s="21"/>
      <c r="V138" s="21"/>
    </row>
    <row r="139" spans="3:22" x14ac:dyDescent="0.2"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21"/>
      <c r="Q139" s="21"/>
      <c r="R139" s="21"/>
      <c r="S139" s="21"/>
      <c r="T139" s="21"/>
      <c r="U139" s="21"/>
      <c r="V139" s="21"/>
    </row>
    <row r="140" spans="3:22" x14ac:dyDescent="0.2"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21"/>
      <c r="Q140" s="21"/>
      <c r="R140" s="21"/>
      <c r="S140" s="21"/>
      <c r="T140" s="21"/>
      <c r="U140" s="21"/>
      <c r="V140" s="21"/>
    </row>
    <row r="141" spans="3:22" x14ac:dyDescent="0.2"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21"/>
      <c r="Q141" s="21"/>
      <c r="R141" s="21"/>
      <c r="S141" s="21"/>
      <c r="T141" s="21"/>
      <c r="U141" s="21"/>
      <c r="V141" s="21"/>
    </row>
    <row r="142" spans="3:22" x14ac:dyDescent="0.2"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21"/>
      <c r="Q142" s="21"/>
      <c r="R142" s="21"/>
      <c r="S142" s="21"/>
      <c r="T142" s="21"/>
      <c r="U142" s="21"/>
      <c r="V142" s="21"/>
    </row>
    <row r="143" spans="3:22" x14ac:dyDescent="0.2"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21"/>
      <c r="Q143" s="21"/>
      <c r="R143" s="21"/>
      <c r="S143" s="21"/>
      <c r="T143" s="21"/>
      <c r="U143" s="21"/>
      <c r="V143" s="21"/>
    </row>
    <row r="144" spans="3:22" x14ac:dyDescent="0.2"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21"/>
      <c r="Q144" s="21"/>
      <c r="R144" s="21"/>
      <c r="S144" s="21"/>
      <c r="T144" s="21"/>
      <c r="U144" s="21"/>
      <c r="V144" s="21"/>
    </row>
    <row r="145" spans="3:22" x14ac:dyDescent="0.2"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21"/>
      <c r="Q145" s="21"/>
      <c r="R145" s="21"/>
      <c r="S145" s="21"/>
      <c r="T145" s="21"/>
      <c r="U145" s="21"/>
      <c r="V145" s="21"/>
    </row>
    <row r="146" spans="3:22" x14ac:dyDescent="0.2"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21"/>
      <c r="Q146" s="21"/>
      <c r="R146" s="21"/>
      <c r="S146" s="21"/>
      <c r="T146" s="21"/>
      <c r="U146" s="21"/>
      <c r="V146" s="21"/>
    </row>
    <row r="147" spans="3:22" x14ac:dyDescent="0.2"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21"/>
      <c r="Q147" s="21"/>
      <c r="R147" s="21"/>
      <c r="S147" s="21"/>
      <c r="T147" s="21"/>
      <c r="U147" s="21"/>
      <c r="V147" s="21"/>
    </row>
    <row r="148" spans="3:22" x14ac:dyDescent="0.2"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21"/>
      <c r="Q148" s="21"/>
      <c r="R148" s="21"/>
      <c r="S148" s="21"/>
      <c r="T148" s="21"/>
      <c r="U148" s="21"/>
      <c r="V148" s="21"/>
    </row>
    <row r="149" spans="3:22" x14ac:dyDescent="0.2"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21"/>
      <c r="Q149" s="21"/>
      <c r="R149" s="21"/>
      <c r="S149" s="21"/>
      <c r="T149" s="21"/>
      <c r="U149" s="21"/>
      <c r="V149" s="21"/>
    </row>
    <row r="150" spans="3:22" x14ac:dyDescent="0.2"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21"/>
      <c r="Q150" s="21"/>
      <c r="R150" s="21"/>
      <c r="S150" s="21"/>
      <c r="T150" s="21"/>
      <c r="U150" s="21"/>
      <c r="V150" s="21"/>
    </row>
    <row r="151" spans="3:22" x14ac:dyDescent="0.2"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21"/>
      <c r="Q151" s="21"/>
      <c r="R151" s="21"/>
      <c r="S151" s="21"/>
      <c r="T151" s="21"/>
      <c r="U151" s="21"/>
      <c r="V151" s="21"/>
    </row>
    <row r="152" spans="3:22" x14ac:dyDescent="0.2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21"/>
      <c r="Q152" s="21"/>
      <c r="R152" s="21"/>
      <c r="S152" s="21"/>
      <c r="T152" s="21"/>
      <c r="U152" s="21"/>
      <c r="V152" s="21"/>
    </row>
    <row r="153" spans="3:22" x14ac:dyDescent="0.2"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21"/>
      <c r="Q153" s="21"/>
      <c r="R153" s="21"/>
      <c r="S153" s="21"/>
      <c r="T153" s="21"/>
      <c r="U153" s="21"/>
      <c r="V153" s="21"/>
    </row>
    <row r="154" spans="3:22" x14ac:dyDescent="0.2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21"/>
      <c r="Q154" s="21"/>
      <c r="R154" s="21"/>
      <c r="S154" s="21"/>
      <c r="T154" s="21"/>
      <c r="U154" s="21"/>
      <c r="V154" s="21"/>
    </row>
    <row r="155" spans="3:22" x14ac:dyDescent="0.2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21"/>
      <c r="Q155" s="21"/>
      <c r="R155" s="21"/>
      <c r="S155" s="21"/>
      <c r="T155" s="21"/>
      <c r="U155" s="21"/>
      <c r="V155" s="21"/>
    </row>
    <row r="156" spans="3:22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21"/>
      <c r="Q156" s="21"/>
      <c r="R156" s="21"/>
      <c r="S156" s="21"/>
      <c r="T156" s="21"/>
      <c r="U156" s="21"/>
      <c r="V156" s="21"/>
    </row>
    <row r="157" spans="3:22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21"/>
      <c r="Q157" s="21"/>
      <c r="R157" s="21"/>
      <c r="S157" s="21"/>
      <c r="T157" s="21"/>
      <c r="U157" s="21"/>
      <c r="V157" s="21"/>
    </row>
    <row r="158" spans="3:22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21"/>
      <c r="Q158" s="21"/>
      <c r="R158" s="21"/>
      <c r="S158" s="21"/>
      <c r="T158" s="21"/>
      <c r="U158" s="21"/>
      <c r="V158" s="21"/>
    </row>
    <row r="159" spans="3:22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21"/>
      <c r="Q159" s="21"/>
      <c r="R159" s="21"/>
      <c r="S159" s="21"/>
      <c r="T159" s="21"/>
      <c r="U159" s="21"/>
      <c r="V159" s="21"/>
    </row>
    <row r="160" spans="3:22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21"/>
      <c r="Q160" s="21"/>
      <c r="R160" s="21"/>
      <c r="S160" s="21"/>
      <c r="T160" s="21"/>
      <c r="U160" s="21"/>
      <c r="V160" s="21"/>
    </row>
    <row r="161" spans="3:22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21"/>
      <c r="Q161" s="21"/>
      <c r="R161" s="21"/>
      <c r="S161" s="21"/>
      <c r="T161" s="21"/>
      <c r="U161" s="21"/>
      <c r="V161" s="21"/>
    </row>
    <row r="162" spans="3:22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21"/>
      <c r="Q162" s="21"/>
      <c r="R162" s="21"/>
      <c r="S162" s="21"/>
      <c r="T162" s="21"/>
      <c r="U162" s="21"/>
      <c r="V162" s="21"/>
    </row>
    <row r="163" spans="3:22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21"/>
      <c r="Q163" s="21"/>
      <c r="R163" s="21"/>
      <c r="S163" s="21"/>
      <c r="T163" s="21"/>
      <c r="U163" s="21"/>
      <c r="V163" s="21"/>
    </row>
    <row r="164" spans="3:22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21"/>
      <c r="Q164" s="21"/>
      <c r="R164" s="21"/>
      <c r="S164" s="21"/>
      <c r="T164" s="21"/>
      <c r="U164" s="21"/>
      <c r="V164" s="21"/>
    </row>
    <row r="165" spans="3:22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21"/>
      <c r="Q165" s="21"/>
      <c r="R165" s="21"/>
      <c r="S165" s="21"/>
      <c r="T165" s="21"/>
      <c r="U165" s="21"/>
      <c r="V165" s="21"/>
    </row>
    <row r="166" spans="3:22" x14ac:dyDescent="0.2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21"/>
      <c r="Q166" s="21"/>
      <c r="R166" s="21"/>
      <c r="S166" s="21"/>
      <c r="T166" s="21"/>
      <c r="U166" s="21"/>
      <c r="V166" s="21"/>
    </row>
    <row r="167" spans="3:22" x14ac:dyDescent="0.2"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21"/>
      <c r="Q167" s="21"/>
      <c r="R167" s="21"/>
      <c r="S167" s="21"/>
      <c r="T167" s="21"/>
      <c r="U167" s="21"/>
      <c r="V167" s="21"/>
    </row>
    <row r="168" spans="3:22" x14ac:dyDescent="0.2"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21"/>
      <c r="Q168" s="21"/>
      <c r="R168" s="21"/>
      <c r="S168" s="21"/>
      <c r="T168" s="21"/>
      <c r="U168" s="21"/>
      <c r="V168" s="21"/>
    </row>
    <row r="169" spans="3:22" x14ac:dyDescent="0.2"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21"/>
      <c r="Q169" s="21"/>
      <c r="R169" s="21"/>
      <c r="S169" s="21"/>
      <c r="T169" s="21"/>
      <c r="U169" s="21"/>
      <c r="V169" s="21"/>
    </row>
    <row r="170" spans="3:22" x14ac:dyDescent="0.2"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21"/>
      <c r="Q170" s="21"/>
      <c r="R170" s="21"/>
      <c r="S170" s="21"/>
      <c r="T170" s="21"/>
      <c r="U170" s="21"/>
      <c r="V170" s="21"/>
    </row>
    <row r="171" spans="3:22" x14ac:dyDescent="0.2"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21"/>
      <c r="Q171" s="21"/>
      <c r="R171" s="21"/>
      <c r="S171" s="21"/>
      <c r="T171" s="21"/>
      <c r="U171" s="21"/>
      <c r="V171" s="21"/>
    </row>
    <row r="172" spans="3:22" x14ac:dyDescent="0.2"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21"/>
      <c r="Q172" s="21"/>
      <c r="R172" s="21"/>
      <c r="S172" s="21"/>
      <c r="T172" s="21"/>
      <c r="U172" s="21"/>
      <c r="V172" s="21"/>
    </row>
    <row r="173" spans="3:22" x14ac:dyDescent="0.2"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21"/>
      <c r="Q173" s="21"/>
      <c r="R173" s="21"/>
      <c r="S173" s="21"/>
      <c r="T173" s="21"/>
      <c r="U173" s="21"/>
      <c r="V173" s="21"/>
    </row>
    <row r="174" spans="3:22" x14ac:dyDescent="0.2"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21"/>
      <c r="Q174" s="21"/>
      <c r="R174" s="21"/>
      <c r="S174" s="21"/>
      <c r="T174" s="21"/>
      <c r="U174" s="21"/>
      <c r="V174" s="21"/>
    </row>
    <row r="175" spans="3:22" x14ac:dyDescent="0.2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2.75" x14ac:dyDescent="0.2"/>
  <cols>
    <col min="1" max="1" width="4.28515625" style="4" customWidth="1"/>
    <col min="2" max="2" width="19.5703125" style="4" bestFit="1" customWidth="1"/>
    <col min="3" max="16384" width="9.140625" style="4"/>
  </cols>
  <sheetData>
    <row r="2" spans="1:12" x14ac:dyDescent="0.2"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L2" s="57" t="s">
        <v>135</v>
      </c>
    </row>
    <row r="3" spans="1:12" x14ac:dyDescent="0.2">
      <c r="A3" s="58" t="s">
        <v>17</v>
      </c>
      <c r="B3" s="59" t="s">
        <v>105</v>
      </c>
    </row>
    <row r="4" spans="1:12" x14ac:dyDescent="0.2">
      <c r="B4" s="4" t="s">
        <v>106</v>
      </c>
      <c r="D4" s="26">
        <f>Model!J34/Model!J69</f>
        <v>0.18711900344553406</v>
      </c>
      <c r="E4" s="26">
        <f>Model!K34/Model!K69</f>
        <v>0.18691515704418091</v>
      </c>
      <c r="F4" s="26">
        <f>Model!L34/Model!L69</f>
        <v>0.12109505781761055</v>
      </c>
      <c r="G4" s="26">
        <f>Model!M34/Model!M69</f>
        <v>0.24608967674661106</v>
      </c>
      <c r="H4" s="26">
        <f>Model!N34/Model!N69</f>
        <v>0.24881633806798106</v>
      </c>
      <c r="I4" s="26">
        <f>Model!O34/Model!O69</f>
        <v>0.24200570963780482</v>
      </c>
      <c r="J4" s="26">
        <f>Model!P34/Model!P69</f>
        <v>0.1811306594310621</v>
      </c>
      <c r="L4" s="60">
        <f>AVERAGE(G4:I4,D4:E4)</f>
        <v>0.22218917698842239</v>
      </c>
    </row>
    <row r="5" spans="1:12" x14ac:dyDescent="0.2">
      <c r="B5" s="4" t="s">
        <v>107</v>
      </c>
      <c r="D5" s="26">
        <f>Model!J26/Model!J66</f>
        <v>0.13293405114401077</v>
      </c>
      <c r="E5" s="26">
        <f>Model!K26/Model!K66</f>
        <v>0.11681017957246624</v>
      </c>
      <c r="F5" s="26">
        <f>Model!L26/Model!L66</f>
        <v>7.3359037829779788E-2</v>
      </c>
      <c r="G5" s="26">
        <f>Model!M26/Model!M66</f>
        <v>0.13689939430696427</v>
      </c>
      <c r="H5" s="26">
        <f>Model!N26/Model!N66</f>
        <v>0.15597195609227157</v>
      </c>
      <c r="I5" s="26">
        <f>Model!O26/Model!O66</f>
        <v>0.1570002922877782</v>
      </c>
      <c r="J5" s="26">
        <f>Model!P26/Model!P66</f>
        <v>0.12673101414303908</v>
      </c>
      <c r="L5" s="60">
        <f t="shared" ref="L5:L12" si="0">AVERAGE(G5:I5,D5:E5)</f>
        <v>0.1399231746806982</v>
      </c>
    </row>
    <row r="6" spans="1:12" x14ac:dyDescent="0.2">
      <c r="B6" s="4" t="s">
        <v>108</v>
      </c>
      <c r="D6" s="26">
        <f>(Model!J26*(1-Model!J48))/(Model!J69+Model!J70+Model!J71+Model!J76+Model!J77-Model!J64-Model!J55-Model!J56)</f>
        <v>0.18829267519197093</v>
      </c>
      <c r="E6" s="26">
        <f>(Model!K26*(1-Model!K48))/(Model!K69+Model!K70+Model!K71+Model!K76+Model!K77-Model!K64-Model!K55-Model!K56)</f>
        <v>0.14632183754711237</v>
      </c>
      <c r="F6" s="26">
        <f>(Model!L26*(1-Model!L48))/(Model!L69+Model!L70+Model!L71+Model!L76+Model!L77-Model!L64-Model!L55-Model!L56)</f>
        <v>9.8121455841864783E-2</v>
      </c>
      <c r="G6" s="26">
        <f>(Model!M26*(1-Model!M48))/(Model!M69+Model!M70+Model!M71+Model!M76+Model!M77-Model!M64-Model!M55-Model!M56)</f>
        <v>0.17351642289444263</v>
      </c>
      <c r="H6" s="26">
        <f>(Model!N26*(1-Model!N48))/(Model!N69+Model!N70+Model!N71+Model!N76+Model!N77-Model!N64-Model!N55-Model!N56)</f>
        <v>0.18720240111501668</v>
      </c>
      <c r="I6" s="26">
        <f>(Model!O26*(1-Model!O48))/(Model!O69+Model!O70+Model!O71+Model!O76+Model!O77-Model!O64-Model!O55-Model!O56)</f>
        <v>0.18283983972172435</v>
      </c>
      <c r="J6" s="26">
        <f>(Model!P26*(1-Model!P48))/(Model!P69+Model!P70+Model!P71+Model!P76+Model!P77-Model!P64-Model!P55-Model!P56)</f>
        <v>0.13877720472925267</v>
      </c>
      <c r="L6" s="60">
        <f t="shared" si="0"/>
        <v>0.17563463529405338</v>
      </c>
    </row>
    <row r="7" spans="1:12" x14ac:dyDescent="0.2">
      <c r="B7" s="4" t="s">
        <v>109</v>
      </c>
      <c r="D7" s="26">
        <f>Model!J26/(Model!J59+Model!J60+Model!J61+Model!J62+Model!J63-Model!J57-Model!J55-Model!J78)</f>
        <v>0.15739737378888322</v>
      </c>
      <c r="E7" s="26">
        <f>Model!K26/(Model!K59+Model!K60+Model!K61+Model!K62+Model!K63-Model!K57-Model!K55-Model!K78)</f>
        <v>0.13680825242718447</v>
      </c>
      <c r="F7" s="26">
        <f>Model!L26/(Model!L59+Model!L60+Model!L61+Model!L62+Model!L63-Model!L57-Model!L55-Model!L78)</f>
        <v>9.748700703148884E-2</v>
      </c>
      <c r="G7" s="26">
        <f>Model!M26/(Model!M59+Model!M60+Model!M61+Model!M62+Model!M63-Model!M57-Model!M55-Model!M78)</f>
        <v>0.15874558140395684</v>
      </c>
      <c r="H7" s="26">
        <f>Model!N26/(Model!N59+Model!N60+Model!N61+Model!N62+Model!N63-Model!N57-Model!N55-Model!N78)</f>
        <v>0.18056678073358209</v>
      </c>
      <c r="I7" s="26">
        <f>Model!O26/(Model!O59+Model!O60+Model!O61+Model!O62+Model!O63-Model!O57-Model!O55-Model!O78)</f>
        <v>0.18067802311333223</v>
      </c>
      <c r="J7" s="26">
        <f>Model!P26/(Model!P59+Model!P60+Model!P61+Model!P62+Model!P63-Model!P57-Model!P55-Model!P78)</f>
        <v>0.14715909090909091</v>
      </c>
      <c r="L7" s="60">
        <f t="shared" si="0"/>
        <v>0.16283920229338777</v>
      </c>
    </row>
    <row r="9" spans="1:12" x14ac:dyDescent="0.2">
      <c r="B9" s="4" t="s">
        <v>110</v>
      </c>
      <c r="D9" s="26">
        <f>1-(-Model!J101/Model!J34)</f>
        <v>0.51369216241737492</v>
      </c>
      <c r="E9" s="26">
        <f>1-(-Model!K101/Model!K34)</f>
        <v>0.48710082275833222</v>
      </c>
      <c r="F9" s="26">
        <f>1-(-Model!L101/Model!L34)</f>
        <v>0.40472139515099959</v>
      </c>
      <c r="G9" s="26">
        <f>1-(-Model!M101/Model!M34)</f>
        <v>0.65428713858424725</v>
      </c>
      <c r="H9" s="26">
        <f>1-(-Model!N101/Model!N34)</f>
        <v>0.5190286850326612</v>
      </c>
      <c r="I9" s="26">
        <f>1-(-Model!O101/Model!O34)</f>
        <v>0.5282061420851456</v>
      </c>
      <c r="J9" s="26">
        <f>1-(-Model!P101/Model!P34)</f>
        <v>0.41657370517928283</v>
      </c>
      <c r="L9" s="60">
        <f t="shared" si="0"/>
        <v>0.54046299017555233</v>
      </c>
    </row>
    <row r="10" spans="1:12" x14ac:dyDescent="0.2">
      <c r="B10" s="4" t="s">
        <v>111</v>
      </c>
      <c r="D10" s="60">
        <f t="shared" ref="D10:H10" si="1">D9*D4</f>
        <v>9.6121565509320619E-2</v>
      </c>
      <c r="E10" s="60">
        <f t="shared" si="1"/>
        <v>9.10465267822234E-2</v>
      </c>
      <c r="F10" s="60">
        <f t="shared" si="1"/>
        <v>4.9009760745834303E-2</v>
      </c>
      <c r="G10" s="60">
        <f t="shared" si="1"/>
        <v>0.16101331043366252</v>
      </c>
      <c r="H10" s="60">
        <f t="shared" si="1"/>
        <v>0.12914281676206629</v>
      </c>
      <c r="I10" s="60">
        <f>I9*I4</f>
        <v>0.12782890225036284</v>
      </c>
      <c r="J10" s="60">
        <f>J9*J4</f>
        <v>7.5454269920764344E-2</v>
      </c>
      <c r="L10" s="60">
        <f t="shared" si="0"/>
        <v>0.12103062434752712</v>
      </c>
    </row>
    <row r="11" spans="1:12" x14ac:dyDescent="0.2">
      <c r="B11" s="4" t="s">
        <v>112</v>
      </c>
      <c r="D11" s="26">
        <f>(-Model!J94-Model!J96)/(Model!J26*(1-Model!J48))</f>
        <v>0.56694661938408963</v>
      </c>
      <c r="E11" s="26">
        <f>(-Model!K94-Model!K96)/(Model!K26*(1-Model!K48))</f>
        <v>0.54323242811754713</v>
      </c>
      <c r="F11" s="26">
        <f>(-Model!L94-Model!L96)/(Model!L26*(1-Model!L48))</f>
        <v>0.5303775120084776</v>
      </c>
      <c r="G11" s="26">
        <f>(-Model!M94-Model!M96)/(Model!M26*(1-Model!M48))</f>
        <v>0.17679274314101018</v>
      </c>
      <c r="H11" s="26">
        <f>(-Model!N94-Model!N96)/(Model!N26*(1-Model!N48))</f>
        <v>0.51862502868958626</v>
      </c>
      <c r="I11" s="26">
        <f>(-Model!O94-Model!O96)/(Model!O26*(1-Model!O48))</f>
        <v>0.72438440932282666</v>
      </c>
      <c r="J11" s="26">
        <f>(-Model!P94-Model!P96)/(Model!P26*(1-Model!P48))</f>
        <v>0.55129447226570283</v>
      </c>
      <c r="L11" s="60">
        <f t="shared" si="0"/>
        <v>0.50599624573101187</v>
      </c>
    </row>
    <row r="12" spans="1:12" x14ac:dyDescent="0.2">
      <c r="B12" s="4" t="s">
        <v>111</v>
      </c>
      <c r="D12" s="60">
        <f t="shared" ref="D12:H12" si="2">D11*D6</f>
        <v>0.10675189565487436</v>
      </c>
      <c r="E12" s="60">
        <f t="shared" si="2"/>
        <v>7.9486767097339123E-2</v>
      </c>
      <c r="F12" s="60">
        <f t="shared" si="2"/>
        <v>5.2041413624057946E-2</v>
      </c>
      <c r="G12" s="60">
        <f t="shared" si="2"/>
        <v>3.0676444383524095E-2</v>
      </c>
      <c r="H12" s="60">
        <f t="shared" si="2"/>
        <v>9.7087850649034968E-2</v>
      </c>
      <c r="I12" s="60">
        <f>I11*I6</f>
        <v>0.13244632929750158</v>
      </c>
      <c r="J12" s="60">
        <f>J11*J6</f>
        <v>7.650710584372275E-2</v>
      </c>
      <c r="L12" s="60">
        <f t="shared" si="0"/>
        <v>8.9289857416454829E-2</v>
      </c>
    </row>
    <row r="13" spans="1:12" x14ac:dyDescent="0.2">
      <c r="J13" s="26"/>
    </row>
    <row r="14" spans="1:12" x14ac:dyDescent="0.2">
      <c r="A14" s="58" t="s">
        <v>17</v>
      </c>
      <c r="B14" s="59" t="s">
        <v>113</v>
      </c>
      <c r="J14" s="26"/>
    </row>
    <row r="15" spans="1:12" x14ac:dyDescent="0.2">
      <c r="B15" s="4" t="s">
        <v>114</v>
      </c>
      <c r="D15" s="26">
        <f>D32/Model!J69</f>
        <v>0.13793915834732162</v>
      </c>
      <c r="E15" s="26">
        <f>E32/Model!K69</f>
        <v>0.45859507363482338</v>
      </c>
      <c r="F15" s="26">
        <f>F32/Model!L69</f>
        <v>0.40791676324396714</v>
      </c>
      <c r="G15" s="26">
        <f>G32/Model!M69</f>
        <v>0.49164775399210781</v>
      </c>
      <c r="H15" s="26">
        <f>H32/Model!N69</f>
        <v>0.45353685251925657</v>
      </c>
      <c r="I15" s="26">
        <f>I32/Model!O69</f>
        <v>0.45161959139407665</v>
      </c>
      <c r="J15" s="26">
        <f>J32/Model!P69</f>
        <v>0.40654090955013206</v>
      </c>
      <c r="L15" s="60">
        <f t="shared" ref="L15:L16" si="3">AVERAGE(G15:I15,D15:E15)</f>
        <v>0.39866768597751723</v>
      </c>
    </row>
    <row r="16" spans="1:12" x14ac:dyDescent="0.2">
      <c r="B16" s="4" t="s">
        <v>115</v>
      </c>
      <c r="D16" s="26">
        <f>D32/(Model!J26+Model!J88)</f>
        <v>0.38459643648903852</v>
      </c>
      <c r="E16" s="26">
        <f>E32/(Model!K26+Model!K88)</f>
        <v>1.25914263221928</v>
      </c>
      <c r="F16" s="26">
        <f>F32/(Model!L26+Model!L88)</f>
        <v>1.3833187772925764</v>
      </c>
      <c r="G16" s="26">
        <f>G32/(Model!M26+Model!M88)</f>
        <v>1.1848822312013403</v>
      </c>
      <c r="H16" s="26">
        <f>H32/(Model!N26+Model!N88)</f>
        <v>1.0599504541701072</v>
      </c>
      <c r="I16" s="26">
        <f>I32/(Model!O26+Model!O88)</f>
        <v>1.0603235228038643</v>
      </c>
      <c r="J16" s="26">
        <f>J32/(Model!P26+Model!P88)</f>
        <v>1.1999148029818956</v>
      </c>
      <c r="L16" s="60">
        <f t="shared" si="3"/>
        <v>0.98977905537672606</v>
      </c>
    </row>
    <row r="17" spans="1:12" x14ac:dyDescent="0.2">
      <c r="J17" s="26"/>
    </row>
    <row r="19" spans="1:12" x14ac:dyDescent="0.2">
      <c r="A19" s="58" t="s">
        <v>17</v>
      </c>
      <c r="B19" s="59" t="s">
        <v>116</v>
      </c>
    </row>
    <row r="20" spans="1:12" x14ac:dyDescent="0.2">
      <c r="B20" s="4" t="s">
        <v>117</v>
      </c>
      <c r="D20" s="42">
        <f>Model!J61/Model!J19*360</f>
        <v>24.770853799171402</v>
      </c>
      <c r="E20" s="42">
        <f>Model!K61/Model!K19*360</f>
        <v>23.141419787590831</v>
      </c>
      <c r="F20" s="42">
        <f>Model!L61/Model!L19*360</f>
        <v>22.220331011623479</v>
      </c>
      <c r="G20" s="42">
        <f>Model!M61/Model!M19*360</f>
        <v>21.230553608969867</v>
      </c>
      <c r="H20" s="42">
        <f>Model!N61/Model!N19*360</f>
        <v>19.358456253788646</v>
      </c>
      <c r="I20" s="42">
        <f>Model!O61/Model!O19*360</f>
        <v>19.756479751140414</v>
      </c>
      <c r="J20" s="42">
        <f>Model!P61/Model!P19*360</f>
        <v>20.10793193439061</v>
      </c>
      <c r="L20" s="42">
        <f>AVERAGE(G20:I20,D20:F20)</f>
        <v>21.746349035380774</v>
      </c>
    </row>
    <row r="21" spans="1:12" x14ac:dyDescent="0.2">
      <c r="B21" s="4" t="s">
        <v>118</v>
      </c>
      <c r="D21" s="42">
        <f>Model!J78/Model!J19*360</f>
        <v>40.854226284542776</v>
      </c>
      <c r="E21" s="42">
        <f>Model!K78/Model!K19*360</f>
        <v>38.998323085522635</v>
      </c>
      <c r="F21" s="42">
        <f>Model!L78/Model!L19*360</f>
        <v>41.102774853866656</v>
      </c>
      <c r="G21" s="42">
        <f>Model!M78/Model!M19*360</f>
        <v>39.725297827610376</v>
      </c>
      <c r="H21" s="42">
        <f>Model!N78/Model!N19*360</f>
        <v>39.953525964841383</v>
      </c>
      <c r="I21" s="42">
        <f>Model!O78/Model!O19*360</f>
        <v>37.812264227595094</v>
      </c>
      <c r="J21" s="42">
        <f>Model!P78/Model!P19*360</f>
        <v>36.687410696361724</v>
      </c>
      <c r="L21" s="42">
        <f t="shared" ref="L21:L25" si="4">AVERAGE(G21:I21,D21:F21)</f>
        <v>39.741068707329823</v>
      </c>
    </row>
    <row r="22" spans="1:12" x14ac:dyDescent="0.2">
      <c r="B22" s="4" t="s">
        <v>119</v>
      </c>
      <c r="D22" s="26">
        <f>Model!J60/Model!J66</f>
        <v>0.1680349932705249</v>
      </c>
      <c r="E22" s="26">
        <f>Model!K60/Model!K66</f>
        <v>0.14213476742619707</v>
      </c>
      <c r="F22" s="26">
        <f>Model!L60/Model!L66</f>
        <v>0.11977436482594252</v>
      </c>
      <c r="G22" s="26">
        <f>Model!M60/Model!M66</f>
        <v>0.13206342619562528</v>
      </c>
      <c r="H22" s="26">
        <f>Model!N60/Model!N66</f>
        <v>0.15090682233412059</v>
      </c>
      <c r="I22" s="26">
        <f>Model!O60/Model!O66</f>
        <v>0.15972831155093462</v>
      </c>
      <c r="J22" s="26">
        <f>Model!P60/Model!P66</f>
        <v>0.15865004356860379</v>
      </c>
      <c r="L22" s="26">
        <f>AVERAGE(D22:I22)</f>
        <v>0.14544044760055749</v>
      </c>
    </row>
    <row r="23" spans="1:12" x14ac:dyDescent="0.2">
      <c r="B23" s="4" t="s">
        <v>120</v>
      </c>
      <c r="D23" s="42">
        <f>Model!J20/Model!J60</f>
        <v>1.2515018021625952</v>
      </c>
      <c r="E23" s="42">
        <f>Model!K20/Model!K60</f>
        <v>1.3212072610629146</v>
      </c>
      <c r="F23" s="42">
        <f>Model!L20/Model!L60</f>
        <v>1.2193454210202828</v>
      </c>
      <c r="G23" s="42">
        <f>Model!M20/Model!M60</f>
        <v>1.2299836848147925</v>
      </c>
      <c r="H23" s="42">
        <f>Model!N20/Model!N60</f>
        <v>1.2297849303607462</v>
      </c>
      <c r="I23" s="42">
        <f>Model!O20/Model!O60</f>
        <v>1.1709654932032068</v>
      </c>
      <c r="J23" s="42">
        <f>Model!P20/Model!P60</f>
        <v>1.1795175123579364</v>
      </c>
      <c r="L23" s="42">
        <f t="shared" si="4"/>
        <v>1.2371314321040898</v>
      </c>
    </row>
    <row r="24" spans="1:12" x14ac:dyDescent="0.2">
      <c r="B24" s="4" t="s">
        <v>121</v>
      </c>
      <c r="D24" s="42">
        <f t="shared" ref="D24:H24" si="5">360/D23</f>
        <v>287.65439999999995</v>
      </c>
      <c r="E24" s="42">
        <f t="shared" si="5"/>
        <v>272.47806654527398</v>
      </c>
      <c r="F24" s="42">
        <f t="shared" si="5"/>
        <v>295.24037552769198</v>
      </c>
      <c r="G24" s="42">
        <f t="shared" si="5"/>
        <v>292.68680913780395</v>
      </c>
      <c r="H24" s="42">
        <f t="shared" si="5"/>
        <v>292.73411237393947</v>
      </c>
      <c r="I24" s="42">
        <f>360/I23</f>
        <v>307.43860693555587</v>
      </c>
      <c r="J24" s="42">
        <f>360/J23</f>
        <v>305.20954223081884</v>
      </c>
      <c r="L24" s="42">
        <f t="shared" si="4"/>
        <v>291.37206175337752</v>
      </c>
    </row>
    <row r="25" spans="1:12" x14ac:dyDescent="0.2">
      <c r="B25" s="4" t="s">
        <v>122</v>
      </c>
      <c r="D25" s="42">
        <f t="shared" ref="D25:H25" si="6">D24+D20-D21</f>
        <v>271.57102751462855</v>
      </c>
      <c r="E25" s="42">
        <f t="shared" si="6"/>
        <v>256.62116324734217</v>
      </c>
      <c r="F25" s="42">
        <f t="shared" si="6"/>
        <v>276.35793168544882</v>
      </c>
      <c r="G25" s="42">
        <f t="shared" si="6"/>
        <v>274.19206491916339</v>
      </c>
      <c r="H25" s="42">
        <f t="shared" si="6"/>
        <v>272.13904266288671</v>
      </c>
      <c r="I25" s="42">
        <f>I24+I20-I21</f>
        <v>289.38282245910119</v>
      </c>
      <c r="J25" s="42">
        <f>J24+J20-J21</f>
        <v>288.63006346884771</v>
      </c>
      <c r="L25" s="42">
        <f t="shared" si="4"/>
        <v>273.37734208142848</v>
      </c>
    </row>
    <row r="28" spans="1:12" x14ac:dyDescent="0.2">
      <c r="A28" s="58" t="s">
        <v>17</v>
      </c>
      <c r="B28" s="59" t="s">
        <v>123</v>
      </c>
    </row>
    <row r="29" spans="1:12" x14ac:dyDescent="0.2">
      <c r="B29" s="4" t="s">
        <v>1</v>
      </c>
      <c r="D29" s="4">
        <v>258.2</v>
      </c>
      <c r="E29" s="4">
        <v>414.6</v>
      </c>
      <c r="F29" s="4">
        <v>510.9</v>
      </c>
      <c r="G29" s="4">
        <v>730</v>
      </c>
      <c r="H29" s="4">
        <v>679.9</v>
      </c>
      <c r="I29" s="4">
        <v>733.6</v>
      </c>
      <c r="J29" s="4">
        <f>+Main!I4</f>
        <v>470.25</v>
      </c>
    </row>
    <row r="30" spans="1:12" x14ac:dyDescent="0.2">
      <c r="B30" s="4" t="s">
        <v>124</v>
      </c>
      <c r="D30" s="42">
        <f>Model!J37</f>
        <v>502.82564100000002</v>
      </c>
      <c r="E30" s="42">
        <f>Model!K37</f>
        <v>503.21885099999997</v>
      </c>
      <c r="F30" s="42">
        <f>Model!L37</f>
        <v>503.67927200000003</v>
      </c>
      <c r="G30" s="42">
        <f>Model!M37</f>
        <v>503.62770799999998</v>
      </c>
      <c r="H30" s="42">
        <f>Model!N37</f>
        <v>502.12069400000001</v>
      </c>
      <c r="I30" s="42">
        <f>Model!O37</f>
        <v>500.05656800000003</v>
      </c>
      <c r="J30" s="42">
        <f>Model!P37</f>
        <v>499.41251499999998</v>
      </c>
    </row>
    <row r="31" spans="1:12" x14ac:dyDescent="0.2">
      <c r="B31" s="4" t="s">
        <v>3</v>
      </c>
      <c r="D31" s="61">
        <f t="shared" ref="D31:H31" si="7">D30*D29</f>
        <v>129829.5805062</v>
      </c>
      <c r="E31" s="61">
        <f t="shared" si="7"/>
        <v>208634.53562459999</v>
      </c>
      <c r="F31" s="61">
        <f t="shared" si="7"/>
        <v>257329.74006479999</v>
      </c>
      <c r="G31" s="61">
        <f t="shared" si="7"/>
        <v>367648.22684000002</v>
      </c>
      <c r="H31" s="61">
        <f t="shared" si="7"/>
        <v>341391.85985060001</v>
      </c>
      <c r="I31" s="61">
        <f>I30*I29</f>
        <v>366841.49828480004</v>
      </c>
      <c r="J31" s="61">
        <f>J30*J29</f>
        <v>234848.73517874998</v>
      </c>
    </row>
    <row r="32" spans="1:12" x14ac:dyDescent="0.2">
      <c r="B32" s="4" t="s">
        <v>125</v>
      </c>
      <c r="D32" s="43">
        <f>(Model!J76+Model!J77+Model!J70+Model!J71-Model!J64-Model!J55-Model!J56)</f>
        <v>4684</v>
      </c>
      <c r="E32" s="43">
        <f>(Model!K76+Model!K77+Model!K70+Model!K71-Model!K64-Model!K55-Model!K56)</f>
        <v>17594</v>
      </c>
      <c r="F32" s="43">
        <f>(Model!L76+Model!L77+Model!L70+Model!L71-Model!L64-Model!L55-Model!L56)</f>
        <v>15839</v>
      </c>
      <c r="G32" s="43">
        <f>(Model!M76+Model!M77+Model!M70+Model!M71-Model!M64-Model!M55-Model!M56)</f>
        <v>24046</v>
      </c>
      <c r="H32" s="43">
        <f>(Model!N76+Model!N77+Model!N70+Model!N71-Model!N64-Model!N55-Model!N56)</f>
        <v>25672</v>
      </c>
      <c r="I32" s="43">
        <f>(Model!O76+Model!O77+Model!O70+Model!O71-Model!O64-Model!O55-Model!O56)</f>
        <v>28317</v>
      </c>
      <c r="J32" s="43">
        <f>(Model!P76+Model!P77+Model!P70+Model!P71-Model!P64-Model!P55-Model!P56)</f>
        <v>28168</v>
      </c>
    </row>
    <row r="33" spans="2:12" x14ac:dyDescent="0.2">
      <c r="B33" s="4" t="s">
        <v>6</v>
      </c>
      <c r="D33" s="61">
        <f t="shared" ref="D33:H33" si="8">D31+D32</f>
        <v>134513.5805062</v>
      </c>
      <c r="E33" s="61">
        <f t="shared" si="8"/>
        <v>226228.53562459999</v>
      </c>
      <c r="F33" s="61">
        <f t="shared" si="8"/>
        <v>273168.74006480002</v>
      </c>
      <c r="G33" s="61">
        <f t="shared" si="8"/>
        <v>391694.22684000002</v>
      </c>
      <c r="H33" s="61">
        <f t="shared" si="8"/>
        <v>367063.85985060001</v>
      </c>
      <c r="I33" s="61">
        <f>I31+I32</f>
        <v>395158.49828480004</v>
      </c>
      <c r="J33" s="61">
        <f>J31+J32</f>
        <v>263016.73517875001</v>
      </c>
    </row>
    <row r="34" spans="2:12" x14ac:dyDescent="0.2">
      <c r="B34" s="4" t="s">
        <v>134</v>
      </c>
      <c r="D34" s="43">
        <f>Model!J26*(1-Model!J46)+Model!J88+Model!J94+Model!J96+Model!J89</f>
        <v>5970.6461154059725</v>
      </c>
      <c r="E34" s="43">
        <f>Model!K26*(1-Model!K46)+Model!K88+Model!K94+Model!K96+Model!K89</f>
        <v>9565.1869014346939</v>
      </c>
      <c r="F34" s="43">
        <f>Model!L26*(1-Model!L46)+Model!L88+Model!L94+Model!L96+Model!L89</f>
        <v>9753.6772524691496</v>
      </c>
      <c r="G34" s="43">
        <f>Model!M26*(1-Model!M46)+Model!M88+Model!M94+Model!M96+Model!M89</f>
        <v>16164.051701315891</v>
      </c>
      <c r="H34" s="43">
        <f>Model!N26*(1-Model!N46)+Model!N88+Model!N94+Model!N96+Model!N89</f>
        <v>13669.162646494238</v>
      </c>
      <c r="I34" s="43">
        <f>Model!O26*(1-Model!O46)+Model!O88+Model!O94+Model!O96+Model!O89</f>
        <v>11774.444836511786</v>
      </c>
      <c r="J34" s="43">
        <f>Model!P26*(1-Model!P46)+Model!P88+Model!P94+Model!P96+Model!P89</f>
        <v>15025.672826895599</v>
      </c>
    </row>
    <row r="35" spans="2:12" x14ac:dyDescent="0.2">
      <c r="B35" s="59" t="s">
        <v>126</v>
      </c>
    </row>
    <row r="36" spans="2:12" x14ac:dyDescent="0.2">
      <c r="B36" s="4" t="s">
        <v>127</v>
      </c>
      <c r="D36" s="42">
        <f>D31/Model!J34</f>
        <v>20.432732216902739</v>
      </c>
      <c r="E36" s="42">
        <f>E31/Model!K34</f>
        <v>29.094203824375956</v>
      </c>
      <c r="F36" s="42">
        <f>F31/Model!L34</f>
        <v>54.727720132879625</v>
      </c>
      <c r="G36" s="42">
        <f>G31/Model!M34</f>
        <v>30.545715091392491</v>
      </c>
      <c r="H36" s="42">
        <f>H31/Model!N34</f>
        <v>24.239694678401023</v>
      </c>
      <c r="I36" s="42">
        <f>I31/Model!O34</f>
        <v>24.175662204085938</v>
      </c>
      <c r="J36" s="42">
        <f>Main!I6/Model!P34</f>
        <v>18.676578871434263</v>
      </c>
      <c r="L36" s="42">
        <f>AVERAGE(G36:I36,D36:E36)</f>
        <v>25.697601603031632</v>
      </c>
    </row>
    <row r="37" spans="2:12" x14ac:dyDescent="0.2">
      <c r="B37" s="4" t="s">
        <v>128</v>
      </c>
      <c r="D37" s="62"/>
      <c r="E37" s="62">
        <f>E36/((Model!K34/Model!J34-1)*100)</f>
        <v>2.2627242484710504</v>
      </c>
      <c r="F37" s="62">
        <f>F36/((Model!L34/Model!K34-1)*100)</f>
        <v>-1.5895199719436202</v>
      </c>
      <c r="G37" s="62">
        <f>G36/((Model!M34/Model!L34-1)*100)</f>
        <v>0.19583576814797859</v>
      </c>
      <c r="H37" s="62">
        <f>H36/((Model!N34/Model!M34-1)*100)</f>
        <v>1.4245554938927476</v>
      </c>
      <c r="I37" s="62">
        <f>I36/((Model!O34/Model!N34-1)*100)</f>
        <v>3.1237617108472171</v>
      </c>
      <c r="J37" s="42">
        <f>J36/-2</f>
        <v>-9.3382894357171313</v>
      </c>
      <c r="L37" s="62">
        <f>AVERAGE(G37:I37,E37)</f>
        <v>1.7517193053397484</v>
      </c>
    </row>
    <row r="38" spans="2:12" x14ac:dyDescent="0.2">
      <c r="B38" s="4" t="s">
        <v>129</v>
      </c>
      <c r="D38" s="42">
        <f>D31/Model!J69</f>
        <v>3.8233524900962981</v>
      </c>
      <c r="E38" s="42">
        <f>E31/Model!K69</f>
        <v>5.4381476769086401</v>
      </c>
      <c r="F38" s="42">
        <f>F31/Model!L69</f>
        <v>6.6272564337170667</v>
      </c>
      <c r="G38" s="42">
        <f>G31/Model!M69</f>
        <v>7.5169851528348568</v>
      </c>
      <c r="H38" s="42">
        <f>H31/Model!N69</f>
        <v>6.0312320657656704</v>
      </c>
      <c r="I38" s="42">
        <f>I31/Model!O69</f>
        <v>5.8506482876636738</v>
      </c>
      <c r="J38" s="42">
        <f>J31/Model!P69</f>
        <v>3.3895064756556059</v>
      </c>
      <c r="L38" s="42">
        <f>AVERAGE(G38:I38,D38:E38)</f>
        <v>5.7320731346538283</v>
      </c>
    </row>
    <row r="39" spans="2:12" x14ac:dyDescent="0.2">
      <c r="B39" s="59" t="s">
        <v>130</v>
      </c>
    </row>
    <row r="40" spans="2:12" x14ac:dyDescent="0.2">
      <c r="B40" s="4" t="s">
        <v>131</v>
      </c>
      <c r="D40" s="42">
        <f>D33/Model!J19</f>
        <v>2.872625902408918</v>
      </c>
      <c r="E40" s="42">
        <f>E33/Model!K19</f>
        <v>4.2151767397913167</v>
      </c>
      <c r="F40" s="42">
        <f>F33/Model!L19</f>
        <v>6.1178638790799766</v>
      </c>
      <c r="G40" s="42">
        <f>G33/Model!M19</f>
        <v>6.0997310105115634</v>
      </c>
      <c r="H40" s="42">
        <f>H33/Model!N19</f>
        <v>4.6355811761290164</v>
      </c>
      <c r="I40" s="42">
        <f>I33/Model!O19</f>
        <v>4.5867061888129266</v>
      </c>
      <c r="J40" s="42">
        <f>J33/Model!P19</f>
        <v>3.1058977029480532</v>
      </c>
      <c r="L40" s="42">
        <f>AVERAGE(G40:I40,D40:E40)</f>
        <v>4.4819642035307483</v>
      </c>
    </row>
    <row r="41" spans="2:12" x14ac:dyDescent="0.2">
      <c r="B41" s="4" t="s">
        <v>132</v>
      </c>
      <c r="D41" s="42">
        <f>Ratios!D33/(Model!J26+Model!J88+Model!J89)</f>
        <v>11.044714714360785</v>
      </c>
      <c r="E41" s="42">
        <f>Ratios!E33/(Model!K26+Model!K88+Model!K89)</f>
        <v>13.81042278399365</v>
      </c>
      <c r="F41" s="42">
        <f>Ratios!F33/(Model!L26+Model!L88+Model!L89)</f>
        <v>19.48143917164456</v>
      </c>
      <c r="G41" s="42">
        <f>Ratios!G33/(Model!M26+Model!M88+Model!M89)</f>
        <v>17.04129766543398</v>
      </c>
      <c r="H41" s="42">
        <f>Ratios!H33/(Model!N26+Model!N88+Model!N89)</f>
        <v>13.481612364586624</v>
      </c>
      <c r="I41" s="42">
        <f>Ratios!I33/(Model!O26+Model!O88+Model!O89)</f>
        <v>13.288445313407541</v>
      </c>
      <c r="J41" s="42">
        <f>Ratios!J33/(Model!P26+Model!P88+Model!P89)</f>
        <v>9.8497073429483581</v>
      </c>
      <c r="L41" s="42">
        <f t="shared" ref="L41:L42" si="9">AVERAGE(G41:I41,D41:E41)</f>
        <v>13.733298568356517</v>
      </c>
    </row>
    <row r="42" spans="2:12" x14ac:dyDescent="0.2">
      <c r="B42" s="4" t="s">
        <v>133</v>
      </c>
      <c r="D42" s="42">
        <f>D33/Model!J26</f>
        <v>13.61887015350815</v>
      </c>
      <c r="E42" s="42">
        <f>E33/Model!K26</f>
        <v>20.068174897950854</v>
      </c>
      <c r="F42" s="42">
        <f>F33/Model!L26</f>
        <v>34.266023590667338</v>
      </c>
      <c r="G42" s="42">
        <f>G33/Model!M26</f>
        <v>22.832656767123289</v>
      </c>
      <c r="H42" s="42">
        <f>H33/Model!N26</f>
        <v>17.4783991167373</v>
      </c>
      <c r="I42" s="42">
        <f>I33/Model!O26</f>
        <v>17.515890881418443</v>
      </c>
      <c r="J42" s="42">
        <f>J33/Model!P26</f>
        <v>13.911077123750463</v>
      </c>
      <c r="L42" s="42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4" bestFit="1" customWidth="1"/>
    <col min="2" max="2" width="9.140625" style="4"/>
    <col min="3" max="4" width="9.28515625" style="4" bestFit="1" customWidth="1"/>
    <col min="5" max="5" width="11.28515625" style="4" bestFit="1" customWidth="1"/>
    <col min="6" max="21" width="9.28515625" style="4" bestFit="1" customWidth="1"/>
    <col min="22" max="22" width="10.140625" style="4" bestFit="1" customWidth="1"/>
    <col min="23" max="16384" width="9.140625" style="4"/>
  </cols>
  <sheetData>
    <row r="1" spans="1:31" x14ac:dyDescent="0.2">
      <c r="A1" s="1" t="s">
        <v>7</v>
      </c>
      <c r="B1" s="2" t="s">
        <v>202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E2" s="5"/>
    </row>
    <row r="3" spans="1:31" x14ac:dyDescent="0.2">
      <c r="B3" s="4" t="s">
        <v>155</v>
      </c>
      <c r="E3" s="6" t="s">
        <v>146</v>
      </c>
      <c r="G3" s="4" t="s">
        <v>156</v>
      </c>
      <c r="J3" s="6">
        <f>+Main!I4</f>
        <v>470.25</v>
      </c>
      <c r="L3" s="4" t="s">
        <v>156</v>
      </c>
      <c r="O3" s="6">
        <f>+J3</f>
        <v>470.25</v>
      </c>
    </row>
    <row r="4" spans="1:31" x14ac:dyDescent="0.2">
      <c r="B4" s="4" t="s">
        <v>157</v>
      </c>
      <c r="E4" s="7">
        <f ca="1">+TODAY()</f>
        <v>45903</v>
      </c>
      <c r="G4" s="4" t="s">
        <v>158</v>
      </c>
      <c r="J4" s="8">
        <f ca="1">V62</f>
        <v>466.29499829788261</v>
      </c>
      <c r="L4" s="4" t="s">
        <v>159</v>
      </c>
      <c r="O4" s="9">
        <f>+J15+O15+T15</f>
        <v>0</v>
      </c>
    </row>
    <row r="5" spans="1:31" x14ac:dyDescent="0.2">
      <c r="B5" s="4" t="s">
        <v>160</v>
      </c>
      <c r="E5" s="10">
        <v>46022</v>
      </c>
      <c r="G5" s="4" t="s">
        <v>161</v>
      </c>
      <c r="J5" s="11">
        <f ca="1">J4/J3-1</f>
        <v>-8.4104236089683759E-3</v>
      </c>
      <c r="L5" s="4" t="s">
        <v>161</v>
      </c>
      <c r="O5" s="11">
        <f>O4/O3-1</f>
        <v>-1</v>
      </c>
    </row>
    <row r="7" spans="1:31" x14ac:dyDescent="0.2">
      <c r="A7" s="12" t="s">
        <v>17</v>
      </c>
      <c r="B7" s="13" t="s">
        <v>162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31" x14ac:dyDescent="0.2">
      <c r="A8" s="12"/>
    </row>
    <row r="9" spans="1:31" x14ac:dyDescent="0.2">
      <c r="A9" s="12"/>
      <c r="B9" s="14" t="s">
        <v>163</v>
      </c>
      <c r="C9" s="15"/>
      <c r="D9" s="15"/>
      <c r="E9" s="15"/>
      <c r="G9" s="14" t="s">
        <v>164</v>
      </c>
      <c r="H9" s="14"/>
      <c r="I9" s="15"/>
      <c r="J9" s="15"/>
      <c r="L9" s="14" t="s">
        <v>165</v>
      </c>
      <c r="M9" s="15"/>
      <c r="N9" s="15"/>
      <c r="O9" s="15"/>
      <c r="Q9" s="14" t="s">
        <v>166</v>
      </c>
      <c r="R9" s="15"/>
      <c r="S9" s="15"/>
      <c r="T9" s="15"/>
    </row>
    <row r="10" spans="1:31" x14ac:dyDescent="0.2">
      <c r="A10" s="12"/>
      <c r="B10" s="16" t="s">
        <v>167</v>
      </c>
      <c r="G10" s="16" t="s">
        <v>167</v>
      </c>
      <c r="H10" s="16"/>
      <c r="I10" s="16" t="s">
        <v>168</v>
      </c>
      <c r="J10" s="16" t="s">
        <v>169</v>
      </c>
      <c r="L10" s="16" t="s">
        <v>167</v>
      </c>
      <c r="N10" s="16" t="s">
        <v>168</v>
      </c>
      <c r="O10" s="16" t="s">
        <v>169</v>
      </c>
      <c r="Q10" s="16" t="s">
        <v>167</v>
      </c>
      <c r="S10" s="16" t="s">
        <v>168</v>
      </c>
      <c r="T10" s="16" t="s">
        <v>169</v>
      </c>
    </row>
    <row r="11" spans="1:31" x14ac:dyDescent="0.2">
      <c r="B11" s="4" t="s">
        <v>23</v>
      </c>
      <c r="E11" s="17">
        <v>2</v>
      </c>
      <c r="G11" s="4" t="s">
        <v>170</v>
      </c>
      <c r="K11" s="18"/>
      <c r="L11" s="4" t="s">
        <v>170</v>
      </c>
      <c r="Q11" s="4" t="s">
        <v>170</v>
      </c>
    </row>
    <row r="12" spans="1:31" x14ac:dyDescent="0.2">
      <c r="B12" s="4" t="s">
        <v>171</v>
      </c>
      <c r="E12" s="17">
        <v>2</v>
      </c>
      <c r="G12" s="4" t="s">
        <v>171</v>
      </c>
      <c r="L12" s="4" t="s">
        <v>171</v>
      </c>
      <c r="Q12" s="4" t="s">
        <v>171</v>
      </c>
    </row>
    <row r="13" spans="1:31" x14ac:dyDescent="0.2">
      <c r="B13" s="4" t="s">
        <v>172</v>
      </c>
      <c r="E13" s="17">
        <v>2</v>
      </c>
      <c r="G13" s="4" t="s">
        <v>173</v>
      </c>
      <c r="J13" s="19"/>
      <c r="O13" s="19"/>
      <c r="T13" s="19"/>
    </row>
    <row r="14" spans="1:31" x14ac:dyDescent="0.2">
      <c r="B14" s="4" t="s">
        <v>174</v>
      </c>
      <c r="E14" s="17">
        <v>2</v>
      </c>
      <c r="G14" s="4" t="s">
        <v>175</v>
      </c>
      <c r="J14" s="19"/>
      <c r="L14" s="4" t="s">
        <v>175</v>
      </c>
      <c r="O14" s="19"/>
      <c r="Q14" s="4" t="s">
        <v>175</v>
      </c>
      <c r="T14" s="19"/>
    </row>
    <row r="15" spans="1:31" x14ac:dyDescent="0.2">
      <c r="B15" s="4" t="s">
        <v>108</v>
      </c>
      <c r="E15" s="17">
        <v>2</v>
      </c>
      <c r="G15" s="4" t="s">
        <v>176</v>
      </c>
      <c r="J15" s="19"/>
      <c r="L15" s="4" t="s">
        <v>176</v>
      </c>
      <c r="O15" s="19"/>
      <c r="Q15" s="4" t="s">
        <v>176</v>
      </c>
      <c r="T15" s="19"/>
    </row>
    <row r="17" spans="1:22" x14ac:dyDescent="0.2">
      <c r="B17" s="16" t="s">
        <v>177</v>
      </c>
    </row>
    <row r="18" spans="1:22" x14ac:dyDescent="0.2">
      <c r="B18" s="4" t="s">
        <v>172</v>
      </c>
      <c r="E18" s="19">
        <f>CHOOSE(E13,J18,O18,T18)</f>
        <v>0.09</v>
      </c>
      <c r="G18" s="4" t="s">
        <v>172</v>
      </c>
      <c r="J18" s="19">
        <v>0.1</v>
      </c>
      <c r="L18" s="4" t="s">
        <v>172</v>
      </c>
      <c r="O18" s="19">
        <v>0.09</v>
      </c>
      <c r="Q18" s="4" t="s">
        <v>172</v>
      </c>
      <c r="T18" s="19">
        <v>0.08</v>
      </c>
    </row>
    <row r="19" spans="1:22" x14ac:dyDescent="0.2">
      <c r="B19" s="4" t="s">
        <v>174</v>
      </c>
      <c r="E19" s="19">
        <f>CHOOSE(E14,J19,O19,T19)</f>
        <v>0.02</v>
      </c>
      <c r="G19" s="4" t="s">
        <v>174</v>
      </c>
      <c r="J19" s="19">
        <v>0.01</v>
      </c>
      <c r="L19" s="4" t="s">
        <v>174</v>
      </c>
      <c r="O19" s="19">
        <v>0.02</v>
      </c>
      <c r="Q19" s="4" t="s">
        <v>174</v>
      </c>
      <c r="T19" s="19">
        <v>0.03</v>
      </c>
    </row>
    <row r="20" spans="1:22" x14ac:dyDescent="0.2">
      <c r="B20" s="4" t="s">
        <v>178</v>
      </c>
      <c r="E20" s="19">
        <f>CHOOSE(E15,J20,O20,T20)</f>
        <v>0.11</v>
      </c>
      <c r="G20" s="4" t="s">
        <v>178</v>
      </c>
      <c r="J20" s="19">
        <v>0.1</v>
      </c>
      <c r="L20" s="4" t="s">
        <v>178</v>
      </c>
      <c r="O20" s="19">
        <v>0.11</v>
      </c>
      <c r="Q20" s="4" t="s">
        <v>178</v>
      </c>
      <c r="T20" s="19">
        <v>0.12</v>
      </c>
    </row>
    <row r="24" spans="1:22" x14ac:dyDescent="0.2">
      <c r="A24" s="12" t="s">
        <v>17</v>
      </c>
      <c r="B24" s="13" t="s">
        <v>179</v>
      </c>
      <c r="C24" s="13"/>
      <c r="D24" s="13"/>
      <c r="E24" s="13"/>
      <c r="F24" s="13"/>
      <c r="G24" s="20">
        <v>19</v>
      </c>
      <c r="H24" s="20">
        <f>G24+1</f>
        <v>20</v>
      </c>
      <c r="I24" s="20">
        <f t="shared" ref="I24:V24" si="0">H24+1</f>
        <v>21</v>
      </c>
      <c r="J24" s="20">
        <f t="shared" si="0"/>
        <v>22</v>
      </c>
      <c r="K24" s="20">
        <f t="shared" si="0"/>
        <v>23</v>
      </c>
      <c r="L24" s="20">
        <f t="shared" si="0"/>
        <v>24</v>
      </c>
      <c r="M24" s="20">
        <f t="shared" si="0"/>
        <v>25</v>
      </c>
      <c r="N24" s="20">
        <f t="shared" si="0"/>
        <v>26</v>
      </c>
      <c r="O24" s="20">
        <f t="shared" si="0"/>
        <v>27</v>
      </c>
      <c r="P24" s="20">
        <f t="shared" si="0"/>
        <v>28</v>
      </c>
      <c r="Q24" s="20">
        <f t="shared" si="0"/>
        <v>29</v>
      </c>
      <c r="R24" s="20">
        <f t="shared" si="0"/>
        <v>30</v>
      </c>
      <c r="S24" s="20">
        <f t="shared" si="0"/>
        <v>31</v>
      </c>
      <c r="T24" s="20">
        <f t="shared" si="0"/>
        <v>32</v>
      </c>
      <c r="U24" s="20">
        <f t="shared" si="0"/>
        <v>33</v>
      </c>
      <c r="V24" s="20">
        <f t="shared" si="0"/>
        <v>34</v>
      </c>
    </row>
    <row r="25" spans="1:22" x14ac:dyDescent="0.2">
      <c r="B25" s="4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">
      <c r="B26" s="22" t="s">
        <v>180</v>
      </c>
      <c r="C26" s="23"/>
      <c r="G26" s="24"/>
      <c r="H26" s="25">
        <f t="shared" ref="H26:L26" si="2">H25/G25-1</f>
        <v>-0.16804546301471956</v>
      </c>
      <c r="I26" s="25">
        <f t="shared" si="2"/>
        <v>0.43815368076862771</v>
      </c>
      <c r="J26" s="25">
        <f t="shared" si="2"/>
        <v>0.23310752939344392</v>
      </c>
      <c r="K26" s="25">
        <f t="shared" si="2"/>
        <v>8.8010204081632626E-2</v>
      </c>
      <c r="L26" s="25">
        <f t="shared" si="2"/>
        <v>-1.7062667579770818E-2</v>
      </c>
      <c r="M26" s="25" cm="1">
        <f t="array" aca="1" ref="M26" ca="1">OFFSET(M26,$E$11,,)</f>
        <v>-4.6383689760636782E-2</v>
      </c>
      <c r="N26" s="25" cm="1">
        <f t="array" aca="1" ref="N26" ca="1">OFFSET(N26,$E$11,,)</f>
        <v>4.2991469639870328E-2</v>
      </c>
      <c r="O26" s="25" cm="1">
        <f t="array" aca="1" ref="O26" ca="1">OFFSET(O26,$E$11,,)</f>
        <v>5.795082756844705E-2</v>
      </c>
      <c r="P26" s="25" cm="1">
        <f t="array" aca="1" ref="P26" ca="1">OFFSET(P26,$E$11,,)</f>
        <v>5.7087320103053729E-2</v>
      </c>
      <c r="Q26" s="25" cm="1">
        <f t="array" aca="1" ref="Q26" ca="1">OFFSET(Q26,$E$11,,)</f>
        <v>5.6278384860037667E-2</v>
      </c>
      <c r="R26" s="25" cm="1">
        <f t="array" aca="1" ref="R26" ca="1">OFFSET(R26,$E$11,,)</f>
        <v>5.551940951923795E-2</v>
      </c>
      <c r="S26" s="25" cm="1">
        <f t="array" aca="1" ref="S26" ca="1">OFFSET(S26,$E$11,,)</f>
        <v>5.4806286622955058E-2</v>
      </c>
      <c r="T26" s="25" cm="1">
        <f t="array" aca="1" ref="T26" ca="1">OFFSET(T26,$E$11,,)</f>
        <v>2.6755207392724634E-2</v>
      </c>
      <c r="U26" s="25" cm="1">
        <f t="array" aca="1" ref="U26" ca="1">OFFSET(U26,$E$11,,)</f>
        <v>2.6832329620048778E-2</v>
      </c>
      <c r="V26" s="25" cm="1">
        <f t="array" aca="1" ref="V26" ca="1">OFFSET(V26,$E$11,,)</f>
        <v>2.6909480469218705E-2</v>
      </c>
    </row>
    <row r="27" spans="1:22" x14ac:dyDescent="0.2">
      <c r="B27" s="22" t="s">
        <v>164</v>
      </c>
      <c r="C27" s="23"/>
      <c r="I27" s="26"/>
      <c r="J27" s="26"/>
      <c r="K27" s="26"/>
      <c r="L27" s="26"/>
      <c r="M27" s="27">
        <f>+M28-2%</f>
        <v>-6.6383689760636785E-2</v>
      </c>
      <c r="N27" s="27">
        <f t="shared" ref="N27:V27" si="3">+N28-2%</f>
        <v>2.2991469639870327E-2</v>
      </c>
      <c r="O27" s="27">
        <f t="shared" si="3"/>
        <v>3.7950827568447046E-2</v>
      </c>
      <c r="P27" s="27">
        <f t="shared" si="3"/>
        <v>3.7087320103053725E-2</v>
      </c>
      <c r="Q27" s="27">
        <f t="shared" si="3"/>
        <v>3.6278384860037663E-2</v>
      </c>
      <c r="R27" s="27">
        <f t="shared" si="3"/>
        <v>3.5519409519237946E-2</v>
      </c>
      <c r="S27" s="27">
        <f t="shared" si="3"/>
        <v>3.4806286622955054E-2</v>
      </c>
      <c r="T27" s="27">
        <f t="shared" si="3"/>
        <v>6.7552073927246332E-3</v>
      </c>
      <c r="U27" s="27">
        <f t="shared" si="3"/>
        <v>6.8323296200487778E-3</v>
      </c>
      <c r="V27" s="27">
        <f t="shared" si="3"/>
        <v>6.9094804692187047E-3</v>
      </c>
    </row>
    <row r="28" spans="1:22" x14ac:dyDescent="0.2">
      <c r="B28" s="22" t="s">
        <v>181</v>
      </c>
      <c r="C28" s="23"/>
      <c r="I28" s="26"/>
      <c r="J28" s="26"/>
      <c r="K28" s="26"/>
      <c r="L28" s="26"/>
      <c r="M28" s="27">
        <f>+Model!Q44</f>
        <v>-4.6383689760636782E-2</v>
      </c>
      <c r="N28" s="27">
        <f>+Model!R44</f>
        <v>4.2991469639870328E-2</v>
      </c>
      <c r="O28" s="27">
        <f>+Model!S44</f>
        <v>5.795082756844705E-2</v>
      </c>
      <c r="P28" s="27">
        <f>+Model!T44</f>
        <v>5.7087320103053729E-2</v>
      </c>
      <c r="Q28" s="27">
        <f>+Model!U44</f>
        <v>5.6278384860037667E-2</v>
      </c>
      <c r="R28" s="27">
        <f>+Model!V44</f>
        <v>5.551940951923795E-2</v>
      </c>
      <c r="S28" s="27">
        <f>+Model!W44</f>
        <v>5.4806286622955058E-2</v>
      </c>
      <c r="T28" s="27">
        <f>+Model!X44</f>
        <v>2.6755207392724634E-2</v>
      </c>
      <c r="U28" s="27">
        <f>+Model!Y44</f>
        <v>2.6832329620048778E-2</v>
      </c>
      <c r="V28" s="27">
        <f>+Model!Z44</f>
        <v>2.6909480469218705E-2</v>
      </c>
    </row>
    <row r="29" spans="1:22" x14ac:dyDescent="0.2">
      <c r="B29" s="22" t="s">
        <v>182</v>
      </c>
      <c r="C29" s="23"/>
      <c r="I29" s="26"/>
      <c r="J29" s="26"/>
      <c r="K29" s="26"/>
      <c r="L29" s="26"/>
      <c r="M29" s="27">
        <f>+M28+2%</f>
        <v>-2.6383689760636781E-2</v>
      </c>
      <c r="N29" s="27">
        <f t="shared" ref="N29:V29" si="4">+N28+2%</f>
        <v>6.2991469639870332E-2</v>
      </c>
      <c r="O29" s="27">
        <f t="shared" si="4"/>
        <v>7.7950827568447054E-2</v>
      </c>
      <c r="P29" s="27">
        <f t="shared" si="4"/>
        <v>7.7087320103053733E-2</v>
      </c>
      <c r="Q29" s="27">
        <f t="shared" si="4"/>
        <v>7.6278384860037671E-2</v>
      </c>
      <c r="R29" s="27">
        <f t="shared" si="4"/>
        <v>7.5519409519237954E-2</v>
      </c>
      <c r="S29" s="27">
        <f t="shared" si="4"/>
        <v>7.4806286622955062E-2</v>
      </c>
      <c r="T29" s="27">
        <f t="shared" si="4"/>
        <v>4.6755207392724638E-2</v>
      </c>
      <c r="U29" s="27">
        <f t="shared" si="4"/>
        <v>4.6832329620048782E-2</v>
      </c>
      <c r="V29" s="27">
        <f t="shared" si="4"/>
        <v>4.6909480469218709E-2</v>
      </c>
    </row>
    <row r="31" spans="1:22" x14ac:dyDescent="0.2">
      <c r="B31" s="4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">
      <c r="B32" s="22" t="s">
        <v>183</v>
      </c>
      <c r="G32" s="25">
        <f>G31/G25</f>
        <v>0.21004285448108814</v>
      </c>
      <c r="H32" s="25">
        <f t="shared" ref="H32:L32" si="6">H31/H25</f>
        <v>0.17854023426127075</v>
      </c>
      <c r="I32" s="25">
        <f t="shared" si="6"/>
        <v>0.26714941991746477</v>
      </c>
      <c r="J32" s="25">
        <f t="shared" si="6"/>
        <v>0.265217720751667</v>
      </c>
      <c r="K32" s="25">
        <f t="shared" si="6"/>
        <v>0.26185971469362646</v>
      </c>
      <c r="L32" s="25">
        <f t="shared" si="6"/>
        <v>0.22326795224543297</v>
      </c>
      <c r="M32" s="25" cm="1">
        <f t="array" aca="1" ref="M32" ca="1">OFFSET(M32,$E$12,,)</f>
        <v>0.23</v>
      </c>
      <c r="N32" s="25" cm="1">
        <f t="array" aca="1" ref="N32" ca="1">OFFSET(N32,$E$12,,)</f>
        <v>0.245</v>
      </c>
      <c r="O32" s="25" cm="1">
        <f t="array" aca="1" ref="O32" ca="1">OFFSET(O32,$E$12,,)</f>
        <v>0.26</v>
      </c>
      <c r="P32" s="25" cm="1">
        <f t="array" aca="1" ref="P32" ca="1">OFFSET(P32,$E$12,,)</f>
        <v>0.27500000000000002</v>
      </c>
      <c r="Q32" s="25" cm="1">
        <f t="array" aca="1" ref="Q32" ca="1">OFFSET(Q32,$E$12,,)</f>
        <v>0.29000000000000004</v>
      </c>
      <c r="R32" s="25" cm="1">
        <f t="array" aca="1" ref="R32" ca="1">OFFSET(R32,$E$12,,)</f>
        <v>0.30500000000000005</v>
      </c>
      <c r="S32" s="25" cm="1">
        <f t="array" aca="1" ref="S32" ca="1">OFFSET(S32,$E$12,,)</f>
        <v>0.29500000000000004</v>
      </c>
      <c r="T32" s="25" cm="1">
        <f t="array" aca="1" ref="T32" ca="1">OFFSET(T32,$E$12,,)</f>
        <v>0.28500000000000003</v>
      </c>
      <c r="U32" s="25" cm="1">
        <f t="array" aca="1" ref="U32" ca="1">OFFSET(U32,$E$12,,)</f>
        <v>0.27500000000000002</v>
      </c>
      <c r="V32" s="25" cm="1">
        <f t="array" aca="1" ref="V32" ca="1">OFFSET(V32,$E$12,,)</f>
        <v>0.26500000000000001</v>
      </c>
    </row>
    <row r="33" spans="2:22" x14ac:dyDescent="0.2">
      <c r="B33" s="22" t="s">
        <v>164</v>
      </c>
      <c r="M33" s="27">
        <f>+M34-2%</f>
        <v>0.21000000000000002</v>
      </c>
      <c r="N33" s="27">
        <f t="shared" ref="N33:V33" si="7">+N34-2%</f>
        <v>0.22500000000000001</v>
      </c>
      <c r="O33" s="27">
        <f t="shared" si="7"/>
        <v>0.24000000000000002</v>
      </c>
      <c r="P33" s="27">
        <f t="shared" si="7"/>
        <v>0.255</v>
      </c>
      <c r="Q33" s="27">
        <f t="shared" si="7"/>
        <v>0.27</v>
      </c>
      <c r="R33" s="27">
        <f t="shared" si="7"/>
        <v>0.28500000000000003</v>
      </c>
      <c r="S33" s="27">
        <f t="shared" si="7"/>
        <v>0.27500000000000002</v>
      </c>
      <c r="T33" s="27">
        <f t="shared" si="7"/>
        <v>0.26500000000000001</v>
      </c>
      <c r="U33" s="27">
        <f t="shared" si="7"/>
        <v>0.255</v>
      </c>
      <c r="V33" s="27">
        <f t="shared" si="7"/>
        <v>0.24500000000000002</v>
      </c>
    </row>
    <row r="34" spans="2:22" x14ac:dyDescent="0.2">
      <c r="B34" s="22" t="s">
        <v>181</v>
      </c>
      <c r="M34" s="27">
        <f>+Model!Q46</f>
        <v>0.23</v>
      </c>
      <c r="N34" s="27">
        <f>+Model!R46</f>
        <v>0.245</v>
      </c>
      <c r="O34" s="27">
        <f>+Model!S46</f>
        <v>0.26</v>
      </c>
      <c r="P34" s="27">
        <f>+Model!T46</f>
        <v>0.27500000000000002</v>
      </c>
      <c r="Q34" s="27">
        <f>+Model!U46</f>
        <v>0.29000000000000004</v>
      </c>
      <c r="R34" s="27">
        <f>+Model!V46</f>
        <v>0.30500000000000005</v>
      </c>
      <c r="S34" s="27">
        <f>+Model!W46</f>
        <v>0.29500000000000004</v>
      </c>
      <c r="T34" s="27">
        <f>+Model!X46</f>
        <v>0.28500000000000003</v>
      </c>
      <c r="U34" s="27">
        <f>+Model!Y46</f>
        <v>0.27500000000000002</v>
      </c>
      <c r="V34" s="27">
        <f>+Model!Z46</f>
        <v>0.26500000000000001</v>
      </c>
    </row>
    <row r="35" spans="2:22" x14ac:dyDescent="0.2">
      <c r="B35" s="22" t="s">
        <v>182</v>
      </c>
      <c r="M35" s="27">
        <f>+M34+2%</f>
        <v>0.25</v>
      </c>
      <c r="N35" s="27">
        <f t="shared" ref="N35:V35" si="8">+N34+2%</f>
        <v>0.26500000000000001</v>
      </c>
      <c r="O35" s="27">
        <f t="shared" si="8"/>
        <v>0.28000000000000003</v>
      </c>
      <c r="P35" s="27">
        <f t="shared" si="8"/>
        <v>0.29500000000000004</v>
      </c>
      <c r="Q35" s="27">
        <f t="shared" si="8"/>
        <v>0.31000000000000005</v>
      </c>
      <c r="R35" s="27">
        <f t="shared" si="8"/>
        <v>0.32500000000000007</v>
      </c>
      <c r="S35" s="27">
        <f t="shared" si="8"/>
        <v>0.31500000000000006</v>
      </c>
      <c r="T35" s="27">
        <f t="shared" si="8"/>
        <v>0.30500000000000005</v>
      </c>
      <c r="U35" s="27">
        <f t="shared" si="8"/>
        <v>0.29500000000000004</v>
      </c>
      <c r="V35" s="27">
        <f t="shared" si="8"/>
        <v>0.28500000000000003</v>
      </c>
    </row>
    <row r="37" spans="2:22" x14ac:dyDescent="0.2">
      <c r="B37" s="4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">
      <c r="B38" s="23" t="s">
        <v>185</v>
      </c>
      <c r="G38" s="25">
        <f t="shared" ref="G38:L38" si="10">G37/G31</f>
        <v>0.2600904816818948</v>
      </c>
      <c r="H38" s="25">
        <f t="shared" si="10"/>
        <v>0.30218263923733063</v>
      </c>
      <c r="I38" s="25">
        <f t="shared" si="10"/>
        <v>0.26289711454386477</v>
      </c>
      <c r="J38" s="25">
        <f t="shared" si="10"/>
        <v>0.25532117518213421</v>
      </c>
      <c r="K38" s="25">
        <f t="shared" si="10"/>
        <v>0.25146276595744682</v>
      </c>
      <c r="L38" s="25">
        <f t="shared" si="10"/>
        <v>0.27275612207119054</v>
      </c>
      <c r="M38" s="25">
        <v>0.27</v>
      </c>
      <c r="N38" s="25">
        <v>0.28999999999999998</v>
      </c>
      <c r="O38" s="25">
        <v>0.28999999999999998</v>
      </c>
      <c r="P38" s="25">
        <v>0.28999999999999998</v>
      </c>
      <c r="Q38" s="25">
        <v>0.28999999999999998</v>
      </c>
      <c r="R38" s="25">
        <v>0.28999999999999998</v>
      </c>
      <c r="S38" s="25">
        <v>0.28999999999999998</v>
      </c>
      <c r="T38" s="25">
        <v>0.28999999999999998</v>
      </c>
      <c r="U38" s="25">
        <v>0.28999999999999998</v>
      </c>
      <c r="V38" s="25">
        <v>0.28999999999999998</v>
      </c>
    </row>
    <row r="39" spans="2:22" x14ac:dyDescent="0.2">
      <c r="B39" s="23"/>
    </row>
    <row r="40" spans="2:22" x14ac:dyDescent="0.2">
      <c r="B40" s="28" t="s">
        <v>186</v>
      </c>
      <c r="C40" s="29"/>
      <c r="D40" s="29"/>
      <c r="E40" s="29"/>
      <c r="F40" s="29"/>
      <c r="G40" s="30">
        <f t="shared" ref="G40:V40" si="11">G31-G37</f>
        <v>8341</v>
      </c>
      <c r="H40" s="30">
        <f t="shared" si="11"/>
        <v>5563</v>
      </c>
      <c r="I40" s="30">
        <f t="shared" si="11"/>
        <v>12645</v>
      </c>
      <c r="J40" s="30">
        <f t="shared" si="11"/>
        <v>15639</v>
      </c>
      <c r="K40" s="30">
        <f t="shared" si="11"/>
        <v>16887</v>
      </c>
      <c r="L40" s="30">
        <f t="shared" si="11"/>
        <v>13750</v>
      </c>
      <c r="M40" s="30">
        <f t="shared" ca="1" si="11"/>
        <v>13558.779610999998</v>
      </c>
      <c r="N40" s="30">
        <f t="shared" ca="1" si="11"/>
        <v>14651.264036500001</v>
      </c>
      <c r="O40" s="30">
        <f t="shared" ca="1" si="11"/>
        <v>16449.315906972002</v>
      </c>
      <c r="P40" s="30">
        <f t="shared" ca="1" si="11"/>
        <v>18391.538073646654</v>
      </c>
      <c r="Q40" s="30">
        <f t="shared" ca="1" si="11"/>
        <v>20486.215993242837</v>
      </c>
      <c r="R40" s="30">
        <f t="shared" ca="1" si="11"/>
        <v>22742.060605461142</v>
      </c>
      <c r="S40" s="30">
        <f t="shared" ca="1" si="11"/>
        <v>23201.961333551459</v>
      </c>
      <c r="T40" s="30">
        <f t="shared" ca="1" si="11"/>
        <v>23015.184294814753</v>
      </c>
      <c r="U40" s="30">
        <f t="shared" ca="1" si="11"/>
        <v>22803.51652340994</v>
      </c>
      <c r="V40" s="31">
        <f t="shared" ca="1" si="11"/>
        <v>22565.614676619738</v>
      </c>
    </row>
    <row r="42" spans="2:22" x14ac:dyDescent="0.2">
      <c r="B42" s="4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">
      <c r="B43" s="22" t="s">
        <v>183</v>
      </c>
      <c r="C43" s="24"/>
      <c r="D43" s="24"/>
      <c r="E43" s="24"/>
      <c r="F43" s="24"/>
      <c r="G43" s="32">
        <f t="shared" ref="G43:L43" si="13">G42/G25</f>
        <v>9.5174212781814788E-2</v>
      </c>
      <c r="H43" s="32">
        <f t="shared" si="13"/>
        <v>0.13549528565989563</v>
      </c>
      <c r="I43" s="32">
        <f t="shared" si="13"/>
        <v>9.0788756521062053E-2</v>
      </c>
      <c r="J43" s="32">
        <f t="shared" si="13"/>
        <v>7.8626995352596485E-2</v>
      </c>
      <c r="K43" s="32">
        <f t="shared" si="13"/>
        <v>8.3305282462595609E-2</v>
      </c>
      <c r="L43" s="32">
        <f t="shared" si="13"/>
        <v>9.2060980362056136E-2</v>
      </c>
      <c r="M43" s="33">
        <v>9.6000000000000002E-2</v>
      </c>
      <c r="N43" s="33">
        <v>9.6000000000000002E-2</v>
      </c>
      <c r="O43" s="33">
        <v>9.6000000000000002E-2</v>
      </c>
      <c r="P43" s="33">
        <v>9.6000000000000002E-2</v>
      </c>
      <c r="Q43" s="33">
        <v>9.6000000000000002E-2</v>
      </c>
      <c r="R43" s="33">
        <v>9.6000000000000002E-2</v>
      </c>
      <c r="S43" s="33">
        <v>9.6000000000000002E-2</v>
      </c>
      <c r="T43" s="33">
        <v>9.6000000000000002E-2</v>
      </c>
      <c r="U43" s="33">
        <v>9.6000000000000002E-2</v>
      </c>
      <c r="V43" s="33">
        <v>9.6000000000000002E-2</v>
      </c>
    </row>
    <row r="45" spans="2:22" x14ac:dyDescent="0.2">
      <c r="B45" s="4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">
      <c r="B46" s="22" t="s">
        <v>183</v>
      </c>
      <c r="G46" s="32">
        <f t="shared" ref="G46:L46" si="15">G45/G25</f>
        <v>-6.1375069871436559E-2</v>
      </c>
      <c r="H46" s="32">
        <f t="shared" si="15"/>
        <v>-5.5497077333094447E-2</v>
      </c>
      <c r="I46" s="32">
        <f t="shared" si="15"/>
        <v>-4.1485634197617381E-2</v>
      </c>
      <c r="J46" s="32">
        <f t="shared" si="15"/>
        <v>-6.2752576278035974E-2</v>
      </c>
      <c r="K46" s="32">
        <f t="shared" si="15"/>
        <v>-8.6799066776548695E-2</v>
      </c>
      <c r="L46" s="32">
        <f t="shared" si="15"/>
        <v>-6.5314171675542904E-2</v>
      </c>
      <c r="M46" s="33">
        <v>-6.5000000000000002E-2</v>
      </c>
      <c r="N46" s="33">
        <v>-6.5000000000000002E-2</v>
      </c>
      <c r="O46" s="33">
        <v>-6.5000000000000002E-2</v>
      </c>
      <c r="P46" s="33">
        <v>-6.5000000000000002E-2</v>
      </c>
      <c r="Q46" s="33">
        <f>+P46+0.1%</f>
        <v>-6.4000000000000001E-2</v>
      </c>
      <c r="R46" s="33">
        <f t="shared" ref="R46:V46" si="16">+Q46+0.1%</f>
        <v>-6.3E-2</v>
      </c>
      <c r="S46" s="33">
        <f t="shared" si="16"/>
        <v>-6.2E-2</v>
      </c>
      <c r="T46" s="33">
        <f t="shared" si="16"/>
        <v>-6.0999999999999999E-2</v>
      </c>
      <c r="U46" s="33">
        <f t="shared" si="16"/>
        <v>-0.06</v>
      </c>
      <c r="V46" s="33">
        <f t="shared" si="16"/>
        <v>-5.8999999999999997E-2</v>
      </c>
    </row>
    <row r="48" spans="2:22" x14ac:dyDescent="0.2">
      <c r="B48" s="4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">
      <c r="B49" s="22" t="s">
        <v>183</v>
      </c>
      <c r="G49" s="32">
        <f t="shared" ref="G49:L49" si="18">G48/G25</f>
        <v>-2.150177007639277E-2</v>
      </c>
      <c r="H49" s="32">
        <f t="shared" si="18"/>
        <v>-8.2193007995341651E-3</v>
      </c>
      <c r="I49" s="32">
        <f t="shared" si="18"/>
        <v>6.6339640270964726E-3</v>
      </c>
      <c r="J49" s="32">
        <f t="shared" si="18"/>
        <v>-3.81263891695292E-2</v>
      </c>
      <c r="K49" s="32">
        <f t="shared" si="18"/>
        <v>-5.3126414634429443E-2</v>
      </c>
      <c r="L49" s="32">
        <f t="shared" si="18"/>
        <v>-2.2731835197147006E-2</v>
      </c>
      <c r="M49" s="33">
        <v>-2.3E-2</v>
      </c>
      <c r="N49" s="33">
        <v>-2.3E-2</v>
      </c>
      <c r="O49" s="33">
        <v>-2.3E-2</v>
      </c>
      <c r="P49" s="33">
        <v>-2.3E-2</v>
      </c>
      <c r="Q49" s="33">
        <v>-2.3E-2</v>
      </c>
      <c r="R49" s="33">
        <v>-2.3E-2</v>
      </c>
      <c r="S49" s="33">
        <v>-2.3E-2</v>
      </c>
      <c r="T49" s="33">
        <v>-2.3E-2</v>
      </c>
      <c r="U49" s="33">
        <v>-2.3E-2</v>
      </c>
      <c r="V49" s="33">
        <v>-2.3E-2</v>
      </c>
    </row>
    <row r="51" spans="2:24" x14ac:dyDescent="0.2">
      <c r="B51" s="34" t="s">
        <v>188</v>
      </c>
      <c r="C51" s="35"/>
      <c r="D51" s="35"/>
      <c r="E51" s="35"/>
      <c r="F51" s="35"/>
      <c r="G51" s="36">
        <f>G40+G42+G45+G48</f>
        <v>9001</v>
      </c>
      <c r="H51" s="36">
        <f t="shared" ref="H51:U51" si="19">H40+H42+H45+H48</f>
        <v>8768</v>
      </c>
      <c r="I51" s="36">
        <f t="shared" si="19"/>
        <v>16237</v>
      </c>
      <c r="J51" s="36">
        <f t="shared" si="19"/>
        <v>13877</v>
      </c>
      <c r="K51" s="36">
        <f t="shared" si="19"/>
        <v>12009</v>
      </c>
      <c r="L51" s="36">
        <f t="shared" si="19"/>
        <v>14090</v>
      </c>
      <c r="M51" s="36">
        <f ca="1">M40+M42+M45+M48</f>
        <v>14204.820330999997</v>
      </c>
      <c r="N51" s="36">
        <f t="shared" ca="1" si="19"/>
        <v>15325.0789965</v>
      </c>
      <c r="O51" s="36">
        <f t="shared" ca="1" si="19"/>
        <v>17162.179001532004</v>
      </c>
      <c r="P51" s="36">
        <f t="shared" ca="1" si="19"/>
        <v>19145.096611875459</v>
      </c>
      <c r="Q51" s="36">
        <f t="shared" ca="1" si="19"/>
        <v>21381.679538357872</v>
      </c>
      <c r="R51" s="36">
        <f t="shared" ca="1" si="19"/>
        <v>23792.259663667617</v>
      </c>
      <c r="S51" s="36">
        <f t="shared" ca="1" si="19"/>
        <v>24420.49355923332</v>
      </c>
      <c r="T51" s="36">
        <f t="shared" ca="1" si="19"/>
        <v>24380.058085463519</v>
      </c>
      <c r="U51" s="36">
        <f t="shared" ca="1" si="19"/>
        <v>24321.804435339924</v>
      </c>
      <c r="V51" s="37">
        <f ca="1">V40+V42+V45+V48</f>
        <v>24244.6931006042</v>
      </c>
    </row>
    <row r="52" spans="2:24" x14ac:dyDescent="0.2">
      <c r="B52" s="38" t="s">
        <v>189</v>
      </c>
      <c r="C52" s="39"/>
      <c r="D52" s="39"/>
      <c r="E52" s="39"/>
      <c r="F52" s="39"/>
      <c r="G52" s="40"/>
      <c r="H52" s="40"/>
      <c r="I52" s="40"/>
      <c r="J52" s="40"/>
      <c r="K52" s="40"/>
      <c r="L52" s="40"/>
      <c r="M52" s="40">
        <f ca="1">(M51/(1+$E$18)^M53)*M53</f>
        <v>4526.3452517838268</v>
      </c>
      <c r="N52" s="40">
        <f ca="1">N51/(1+$E$18)^N53</f>
        <v>13668.115799806801</v>
      </c>
      <c r="O52" s="40">
        <f t="shared" ref="O52:U52" ca="1" si="20">O51/(1+$E$18)^O53</f>
        <v>14042.740069334313</v>
      </c>
      <c r="P52" s="40">
        <f t="shared" ca="1" si="20"/>
        <v>14371.777803387562</v>
      </c>
      <c r="Q52" s="40">
        <f t="shared" ca="1" si="20"/>
        <v>14725.438969982197</v>
      </c>
      <c r="R52" s="40">
        <f t="shared" ca="1" si="20"/>
        <v>15032.652801030574</v>
      </c>
      <c r="S52" s="40">
        <f t="shared" ca="1" si="20"/>
        <v>14155.586736500254</v>
      </c>
      <c r="T52" s="40">
        <f t="shared" ca="1" si="20"/>
        <v>12965.273306494468</v>
      </c>
      <c r="U52" s="40">
        <f t="shared" ca="1" si="20"/>
        <v>11866.324875887985</v>
      </c>
      <c r="V52" s="41">
        <f ca="1">V51/(1+$E$18)^V53</f>
        <v>10852.021242680617</v>
      </c>
    </row>
    <row r="53" spans="2:24" x14ac:dyDescent="0.2">
      <c r="B53" s="4" t="s">
        <v>190</v>
      </c>
      <c r="M53" s="42">
        <f ca="1">YEARFRAC(E4,E5)</f>
        <v>0.32777777777777778</v>
      </c>
      <c r="N53" s="42">
        <f ca="1">M53+1</f>
        <v>1.3277777777777777</v>
      </c>
      <c r="O53" s="42">
        <f ca="1">N53+1</f>
        <v>2.3277777777777775</v>
      </c>
      <c r="P53" s="42">
        <f t="shared" ref="P53:V53" ca="1" si="21">O53+1</f>
        <v>3.3277777777777775</v>
      </c>
      <c r="Q53" s="42">
        <f t="shared" ca="1" si="21"/>
        <v>4.3277777777777775</v>
      </c>
      <c r="R53" s="42">
        <f t="shared" ca="1" si="21"/>
        <v>5.3277777777777775</v>
      </c>
      <c r="S53" s="42">
        <f t="shared" ca="1" si="21"/>
        <v>6.3277777777777775</v>
      </c>
      <c r="T53" s="42">
        <f t="shared" ca="1" si="21"/>
        <v>7.3277777777777775</v>
      </c>
      <c r="U53" s="42">
        <f t="shared" ca="1" si="21"/>
        <v>8.3277777777777775</v>
      </c>
      <c r="V53" s="42">
        <f t="shared" ca="1" si="21"/>
        <v>9.3277777777777775</v>
      </c>
    </row>
    <row r="54" spans="2:24" x14ac:dyDescent="0.2">
      <c r="B54" s="4" t="s">
        <v>191</v>
      </c>
      <c r="N54" s="43"/>
      <c r="O54" s="43"/>
      <c r="P54" s="43"/>
      <c r="Q54" s="43"/>
      <c r="V54" s="21">
        <f ca="1">SUM(M52:V52)</f>
        <v>126206.27685688858</v>
      </c>
    </row>
    <row r="55" spans="2:24" x14ac:dyDescent="0.2">
      <c r="B55" s="4" t="s">
        <v>192</v>
      </c>
      <c r="N55" s="43"/>
      <c r="O55" s="43"/>
      <c r="P55" s="43"/>
      <c r="Q55" s="43"/>
      <c r="V55" s="21">
        <f ca="1">+(V40*(1+E19))*(1-(E19/E20))/(E18-E19)</f>
        <v>269029.01653424575</v>
      </c>
      <c r="X55" s="44" t="s">
        <v>193</v>
      </c>
    </row>
    <row r="56" spans="2:24" x14ac:dyDescent="0.2">
      <c r="B56" s="3" t="s">
        <v>194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5"/>
      <c r="O56" s="45"/>
      <c r="P56" s="45"/>
      <c r="Q56" s="45"/>
      <c r="R56" s="45"/>
      <c r="S56" s="45"/>
      <c r="T56" s="45"/>
      <c r="U56" s="45"/>
      <c r="V56" s="46">
        <f ca="1">V55/(1+E18)^V53</f>
        <v>120418.45983417926</v>
      </c>
    </row>
    <row r="57" spans="2:24" x14ac:dyDescent="0.2">
      <c r="B57" s="47" t="s">
        <v>195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8"/>
      <c r="O57" s="48"/>
      <c r="P57" s="48"/>
      <c r="Q57" s="48"/>
      <c r="R57" s="48"/>
      <c r="S57" s="48"/>
      <c r="T57" s="48"/>
      <c r="U57" s="48"/>
      <c r="V57" s="49">
        <f ca="1">V54+V56</f>
        <v>246624.73669106784</v>
      </c>
    </row>
    <row r="58" spans="2:24" x14ac:dyDescent="0.2">
      <c r="B58" s="4" t="s">
        <v>196</v>
      </c>
      <c r="N58" s="43"/>
      <c r="O58" s="43"/>
      <c r="P58" s="43"/>
      <c r="Q58" s="43"/>
      <c r="V58" s="50">
        <f>+Main!I7</f>
        <v>8176</v>
      </c>
    </row>
    <row r="59" spans="2:24" x14ac:dyDescent="0.2">
      <c r="B59" s="3" t="s">
        <v>197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5"/>
      <c r="O59" s="45"/>
      <c r="P59" s="45"/>
      <c r="Q59" s="45"/>
      <c r="R59" s="45"/>
      <c r="S59" s="45"/>
      <c r="T59" s="45"/>
      <c r="U59" s="45"/>
      <c r="V59" s="46">
        <f>+Main!I8</f>
        <v>22381</v>
      </c>
    </row>
    <row r="60" spans="2:24" x14ac:dyDescent="0.2">
      <c r="B60" s="4" t="s">
        <v>198</v>
      </c>
      <c r="N60" s="43"/>
      <c r="O60" s="43"/>
      <c r="P60" s="43"/>
      <c r="Q60" s="43"/>
      <c r="V60" s="50">
        <f ca="1">V57+V58-V59</f>
        <v>232419.73669106784</v>
      </c>
    </row>
    <row r="61" spans="2:24" x14ac:dyDescent="0.2">
      <c r="B61" s="3" t="s">
        <v>199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5"/>
      <c r="O61" s="45"/>
      <c r="P61" s="45"/>
      <c r="Q61" s="45"/>
      <c r="R61" s="45"/>
      <c r="S61" s="45"/>
      <c r="T61" s="45"/>
      <c r="U61" s="45"/>
      <c r="V61" s="46">
        <f>+Main!I5</f>
        <v>498.43926599999998</v>
      </c>
    </row>
    <row r="62" spans="2:24" x14ac:dyDescent="0.2">
      <c r="B62" s="4" t="s">
        <v>156</v>
      </c>
      <c r="V62" s="50">
        <f ca="1">V60/V61</f>
        <v>466.29499829788261</v>
      </c>
    </row>
    <row r="66" spans="1:22" x14ac:dyDescent="0.2">
      <c r="A66" s="12" t="s">
        <v>17</v>
      </c>
      <c r="B66" s="13" t="s">
        <v>200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8" spans="1:22" x14ac:dyDescent="0.2">
      <c r="B68" s="51"/>
      <c r="C68" s="76" t="s">
        <v>174</v>
      </c>
      <c r="D68" s="76"/>
      <c r="E68" s="76"/>
      <c r="F68" s="76"/>
      <c r="G68" s="76"/>
      <c r="H68" s="76"/>
      <c r="I68" s="76"/>
      <c r="J68" s="77"/>
      <c r="M68" s="51"/>
      <c r="N68" s="78" t="s">
        <v>201</v>
      </c>
      <c r="O68" s="78"/>
      <c r="P68" s="78"/>
      <c r="Q68" s="78"/>
      <c r="R68" s="78"/>
      <c r="S68" s="78"/>
      <c r="T68" s="78"/>
      <c r="U68" s="79"/>
    </row>
    <row r="69" spans="1:22" x14ac:dyDescent="0.2">
      <c r="B69" s="80" t="s">
        <v>172</v>
      </c>
      <c r="C69" s="52">
        <f ca="1">+J4</f>
        <v>466.29499829788261</v>
      </c>
      <c r="D69" s="53">
        <v>0.01</v>
      </c>
      <c r="E69" s="53">
        <v>1.4999999999999999E-2</v>
      </c>
      <c r="F69" s="53">
        <v>0.02</v>
      </c>
      <c r="G69" s="53">
        <v>2.5000000000000001E-2</v>
      </c>
      <c r="H69" s="53">
        <v>0.03</v>
      </c>
      <c r="I69" s="53">
        <v>3.5000000000000003E-2</v>
      </c>
      <c r="J69" s="53">
        <v>0.04</v>
      </c>
      <c r="M69" s="80" t="s">
        <v>172</v>
      </c>
      <c r="N69" s="52">
        <f ca="1">+J4</f>
        <v>466.29499829788261</v>
      </c>
      <c r="O69" s="53">
        <v>0.08</v>
      </c>
      <c r="P69" s="53">
        <v>0.09</v>
      </c>
      <c r="Q69" s="53">
        <v>0.1</v>
      </c>
      <c r="R69" s="53">
        <v>0.11</v>
      </c>
      <c r="S69" s="53">
        <v>0.12</v>
      </c>
      <c r="T69" s="53">
        <v>0.13</v>
      </c>
      <c r="U69" s="53">
        <v>0.14000000000000001</v>
      </c>
    </row>
    <row r="70" spans="1:22" x14ac:dyDescent="0.2">
      <c r="B70" s="80"/>
      <c r="C70" s="54">
        <v>0.06</v>
      </c>
      <c r="D70" s="55">
        <f t="dataTable" ref="D70:J76" dt2D="1" dtr="1" r1="E19" r2="E18" ca="1"/>
        <v>746.01538626041781</v>
      </c>
      <c r="E70" s="55">
        <v>775.35906207241817</v>
      </c>
      <c r="F70" s="55">
        <v>811.73990900675346</v>
      </c>
      <c r="G70" s="56">
        <v>858.17385754442398</v>
      </c>
      <c r="H70" s="55">
        <v>919.6874584870983</v>
      </c>
      <c r="I70" s="55">
        <v>1005.3285032777779</v>
      </c>
      <c r="J70" s="55">
        <v>1133.1925748024671</v>
      </c>
      <c r="M70" s="80"/>
      <c r="N70" s="54">
        <v>0.06</v>
      </c>
      <c r="O70" s="55">
        <f t="dataTable" ref="O70:U76" dt2D="1" dtr="1" r1="E20" r2="E18" ca="1"/>
        <v>766.03149091498381</v>
      </c>
      <c r="P70" s="55">
        <v>784.65343902644543</v>
      </c>
      <c r="Q70" s="55">
        <v>799.55099751561488</v>
      </c>
      <c r="R70" s="56">
        <v>811.73990900675346</v>
      </c>
      <c r="S70" s="55">
        <v>821.89733524936889</v>
      </c>
      <c r="T70" s="55">
        <v>830.49208053158213</v>
      </c>
      <c r="U70" s="55">
        <v>837.85900505919335</v>
      </c>
    </row>
    <row r="71" spans="1:22" x14ac:dyDescent="0.2">
      <c r="B71" s="80"/>
      <c r="C71" s="54">
        <v>7.0000000000000007E-2</v>
      </c>
      <c r="D71" s="55">
        <v>618.07101870150188</v>
      </c>
      <c r="E71" s="55">
        <v>633.36476481585385</v>
      </c>
      <c r="F71" s="55">
        <v>651.49830413495329</v>
      </c>
      <c r="G71" s="56">
        <v>673.41823439371535</v>
      </c>
      <c r="H71" s="55">
        <v>700.54445219451486</v>
      </c>
      <c r="I71" s="55">
        <v>735.10822362679505</v>
      </c>
      <c r="J71" s="55">
        <v>780.82832550629712</v>
      </c>
      <c r="M71" s="80"/>
      <c r="N71" s="54">
        <v>7.0000000000000007E-2</v>
      </c>
      <c r="O71" s="55">
        <v>617.99803336212767</v>
      </c>
      <c r="P71" s="55">
        <v>631.64629182513056</v>
      </c>
      <c r="Q71" s="55">
        <v>642.56489859553301</v>
      </c>
      <c r="R71" s="56">
        <v>651.49830413495329</v>
      </c>
      <c r="S71" s="55">
        <v>658.94280875113657</v>
      </c>
      <c r="T71" s="55">
        <v>665.24200496483036</v>
      </c>
      <c r="U71" s="55">
        <v>670.6413160051394</v>
      </c>
    </row>
    <row r="72" spans="1:22" x14ac:dyDescent="0.2">
      <c r="B72" s="80"/>
      <c r="C72" s="54">
        <v>0.08</v>
      </c>
      <c r="D72" s="56">
        <v>526.34019185957231</v>
      </c>
      <c r="E72" s="56">
        <v>534.49184931619277</v>
      </c>
      <c r="F72" s="56">
        <v>543.83481801139908</v>
      </c>
      <c r="G72" s="56">
        <v>554.69400101026008</v>
      </c>
      <c r="H72" s="56">
        <v>567.52426260387256</v>
      </c>
      <c r="I72" s="56">
        <v>582.98262899048655</v>
      </c>
      <c r="J72" s="56">
        <v>602.05463946747795</v>
      </c>
      <c r="M72" s="80"/>
      <c r="N72" s="54">
        <v>0.08</v>
      </c>
      <c r="O72" s="56">
        <v>518.23817237122648</v>
      </c>
      <c r="P72" s="56">
        <v>528.66643540981522</v>
      </c>
      <c r="Q72" s="56">
        <v>537.00904584068644</v>
      </c>
      <c r="R72" s="56">
        <v>543.83481801139908</v>
      </c>
      <c r="S72" s="56">
        <v>549.52296148699304</v>
      </c>
      <c r="T72" s="56">
        <v>554.33600596634176</v>
      </c>
      <c r="U72" s="56">
        <v>558.46147266292644</v>
      </c>
    </row>
    <row r="73" spans="1:22" x14ac:dyDescent="0.2">
      <c r="B73" s="80"/>
      <c r="C73" s="54">
        <v>0.09</v>
      </c>
      <c r="D73" s="55">
        <v>457.28138929575113</v>
      </c>
      <c r="E73" s="55">
        <v>461.54914674542209</v>
      </c>
      <c r="F73" s="55">
        <v>466.29499829788261</v>
      </c>
      <c r="G73" s="56">
        <v>471.62927336146839</v>
      </c>
      <c r="H73" s="55">
        <v>477.69907781396131</v>
      </c>
      <c r="I73" s="55">
        <v>484.70501057960814</v>
      </c>
      <c r="J73" s="55">
        <v>492.92791015235565</v>
      </c>
      <c r="M73" s="80"/>
      <c r="N73" s="54">
        <v>0.09</v>
      </c>
      <c r="O73" s="55">
        <v>446.16241176757455</v>
      </c>
      <c r="P73" s="55">
        <v>454.36457665029263</v>
      </c>
      <c r="Q73" s="55">
        <v>460.92630855646712</v>
      </c>
      <c r="R73" s="56">
        <v>466.29499829788261</v>
      </c>
      <c r="S73" s="55">
        <v>470.76890641572885</v>
      </c>
      <c r="T73" s="55">
        <v>474.55452097698338</v>
      </c>
      <c r="U73" s="55">
        <v>477.79933345805875</v>
      </c>
    </row>
    <row r="74" spans="1:22" x14ac:dyDescent="0.2">
      <c r="B74" s="80"/>
      <c r="C74" s="54">
        <v>0.1</v>
      </c>
      <c r="D74" s="55">
        <v>403.36751313073091</v>
      </c>
      <c r="E74" s="55">
        <v>405.4296993084576</v>
      </c>
      <c r="F74" s="55">
        <v>407.64392334111068</v>
      </c>
      <c r="G74" s="56">
        <v>410.04059279967504</v>
      </c>
      <c r="H74" s="55">
        <v>412.65880313256059</v>
      </c>
      <c r="I74" s="55">
        <v>415.54967915691816</v>
      </c>
      <c r="J74" s="55">
        <v>418.78138729561596</v>
      </c>
      <c r="M74" s="80"/>
      <c r="N74" s="54">
        <v>0.1</v>
      </c>
      <c r="O74" s="55">
        <v>391.46640449580065</v>
      </c>
      <c r="P74" s="55">
        <v>398.05724550685289</v>
      </c>
      <c r="Q74" s="55">
        <v>403.32991831569467</v>
      </c>
      <c r="R74" s="56">
        <v>407.64392334111068</v>
      </c>
      <c r="S74" s="55">
        <v>411.23892752895728</v>
      </c>
      <c r="T74" s="55">
        <v>414.28085414944297</v>
      </c>
      <c r="U74" s="55">
        <v>416.88821982414498</v>
      </c>
    </row>
    <row r="75" spans="1:22" x14ac:dyDescent="0.2">
      <c r="B75" s="80"/>
      <c r="C75" s="54">
        <v>0.11</v>
      </c>
      <c r="D75" s="55">
        <v>360.0791099636661</v>
      </c>
      <c r="E75" s="55">
        <v>360.8565189652744</v>
      </c>
      <c r="F75" s="55">
        <v>361.63392796688271</v>
      </c>
      <c r="G75" s="56">
        <v>362.4113369684909</v>
      </c>
      <c r="H75" s="55">
        <v>363.18874597009915</v>
      </c>
      <c r="I75" s="55">
        <v>363.96615497170745</v>
      </c>
      <c r="J75" s="55">
        <v>364.74356397331576</v>
      </c>
      <c r="M75" s="80"/>
      <c r="N75" s="54">
        <v>0.11</v>
      </c>
      <c r="O75" s="55">
        <v>348.41797493954209</v>
      </c>
      <c r="P75" s="55">
        <v>353.80225209882894</v>
      </c>
      <c r="Q75" s="55">
        <v>358.10967382625853</v>
      </c>
      <c r="R75" s="56">
        <v>361.63392796688271</v>
      </c>
      <c r="S75" s="55">
        <v>364.57080641740276</v>
      </c>
      <c r="T75" s="55">
        <v>367.05585741399676</v>
      </c>
      <c r="U75" s="55">
        <v>369.18590112536305</v>
      </c>
    </row>
    <row r="76" spans="1:22" x14ac:dyDescent="0.2">
      <c r="B76" s="81"/>
      <c r="C76" s="54">
        <v>0.12</v>
      </c>
      <c r="D76" s="55">
        <v>324.53760583263067</v>
      </c>
      <c r="E76" s="55">
        <v>324.55927306901282</v>
      </c>
      <c r="F76" s="55">
        <v>324.51160514897214</v>
      </c>
      <c r="G76" s="56">
        <v>324.38365441623102</v>
      </c>
      <c r="H76" s="55">
        <v>324.16204040200631</v>
      </c>
      <c r="I76" s="55">
        <v>323.83023429191854</v>
      </c>
      <c r="J76" s="55">
        <v>323.3675750679933</v>
      </c>
      <c r="M76" s="81"/>
      <c r="N76" s="54">
        <v>0.12</v>
      </c>
      <c r="O76" s="55">
        <v>313.57181749961273</v>
      </c>
      <c r="P76" s="55">
        <v>318.02876802342581</v>
      </c>
      <c r="Q76" s="55">
        <v>321.5943284424763</v>
      </c>
      <c r="R76" s="56">
        <v>324.51160514897214</v>
      </c>
      <c r="S76" s="55">
        <v>326.94266907105197</v>
      </c>
      <c r="T76" s="55">
        <v>328.99972315896565</v>
      </c>
      <c r="U76" s="55">
        <v>330.76291237717749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2025-09-03T12:37:11Z</dcterms:modified>
</cp:coreProperties>
</file>