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36A235FE-1561-4472-8AAC-31159F80EEB4}" xr6:coauthVersionLast="47" xr6:coauthVersionMax="47" xr10:uidLastSave="{00000000-0000-0000-0000-000000000000}"/>
  <bookViews>
    <workbookView xWindow="-120" yWindow="-120" windowWidth="38640" windowHeight="21120" activeTab="4" xr2:uid="{398237C1-CA6F-4F70-A6D1-46181DBC5386}"/>
  </bookViews>
  <sheets>
    <sheet name="Main" sheetId="1" r:id="rId1"/>
    <sheet name="Products" sheetId="5" r:id="rId2"/>
    <sheet name="Model" sheetId="2" r:id="rId3"/>
    <sheet name="Ratios" sheetId="3" r:id="rId4"/>
    <sheet name="DCF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H14" i="2"/>
  <c r="H13" i="2"/>
  <c r="H12" i="2"/>
  <c r="H11" i="2"/>
  <c r="H10" i="2"/>
  <c r="H47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J3" i="6"/>
  <c r="W7" i="2"/>
  <c r="X7" i="2" s="1"/>
  <c r="Y7" i="2" s="1"/>
  <c r="Z7" i="2" s="1"/>
  <c r="H7" i="1"/>
  <c r="W140" i="2"/>
  <c r="W146" i="2" s="1"/>
  <c r="W130" i="2"/>
  <c r="W131" i="2" s="1"/>
  <c r="W117" i="2"/>
  <c r="W121" i="2" s="1"/>
  <c r="W26" i="2"/>
  <c r="W105" i="2"/>
  <c r="W98" i="2"/>
  <c r="W91" i="2"/>
  <c r="W82" i="2"/>
  <c r="W74" i="2"/>
  <c r="W59" i="2"/>
  <c r="W58" i="2"/>
  <c r="W57" i="2"/>
  <c r="W56" i="2"/>
  <c r="W55" i="2"/>
  <c r="W54" i="2"/>
  <c r="W53" i="2"/>
  <c r="W52" i="2"/>
  <c r="W51" i="2"/>
  <c r="G117" i="2"/>
  <c r="G121" i="2" s="1"/>
  <c r="G150" i="2" s="1"/>
  <c r="G62" i="2"/>
  <c r="G60" i="2"/>
  <c r="G59" i="2"/>
  <c r="G57" i="2"/>
  <c r="G56" i="2"/>
  <c r="G55" i="2"/>
  <c r="G54" i="2"/>
  <c r="G53" i="2"/>
  <c r="G52" i="2"/>
  <c r="G51" i="2"/>
  <c r="G74" i="2"/>
  <c r="G15" i="2"/>
  <c r="G146" i="2"/>
  <c r="G131" i="2"/>
  <c r="G105" i="2"/>
  <c r="G98" i="2"/>
  <c r="G91" i="2"/>
  <c r="G82" i="2"/>
  <c r="G33" i="2"/>
  <c r="G38" i="2" s="1"/>
  <c r="G41" i="2" s="1"/>
  <c r="G43" i="2" s="1"/>
  <c r="G45" i="2" s="1"/>
  <c r="G47" i="2" s="1"/>
  <c r="H5" i="1"/>
  <c r="T69" i="6"/>
  <c r="U69" i="6" s="1"/>
  <c r="S69" i="6"/>
  <c r="P69" i="6"/>
  <c r="O69" i="6"/>
  <c r="Q69" i="6"/>
  <c r="N74" i="6"/>
  <c r="N75" i="6" s="1"/>
  <c r="N76" i="6" s="1"/>
  <c r="N72" i="6"/>
  <c r="N71" i="6"/>
  <c r="N70" i="6"/>
  <c r="C76" i="6"/>
  <c r="C75" i="6"/>
  <c r="C74" i="6"/>
  <c r="C70" i="6"/>
  <c r="C71" i="6"/>
  <c r="C72" i="6"/>
  <c r="O3" i="6"/>
  <c r="O5" i="6" s="1"/>
  <c r="V61" i="6"/>
  <c r="V59" i="6"/>
  <c r="V58" i="6"/>
  <c r="L45" i="6"/>
  <c r="K45" i="6"/>
  <c r="K46" i="6" s="1"/>
  <c r="J45" i="6"/>
  <c r="J46" i="6" s="1"/>
  <c r="I45" i="6"/>
  <c r="H45" i="6"/>
  <c r="G45" i="6"/>
  <c r="L42" i="6"/>
  <c r="K42" i="6"/>
  <c r="J42" i="6"/>
  <c r="I42" i="6"/>
  <c r="H42" i="6"/>
  <c r="G42" i="6"/>
  <c r="L37" i="6"/>
  <c r="K37" i="6"/>
  <c r="J37" i="6"/>
  <c r="I37" i="6"/>
  <c r="H37" i="6"/>
  <c r="G37" i="6"/>
  <c r="K25" i="6"/>
  <c r="J25" i="6"/>
  <c r="I25" i="6"/>
  <c r="H25" i="6"/>
  <c r="G25" i="6"/>
  <c r="I26" i="6"/>
  <c r="H26" i="6"/>
  <c r="E4" i="6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H24" i="6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E20" i="6"/>
  <c r="E19" i="6"/>
  <c r="E18" i="6"/>
  <c r="O4" i="6"/>
  <c r="K26" i="6" l="1"/>
  <c r="G106" i="2"/>
  <c r="W83" i="2"/>
  <c r="G43" i="6"/>
  <c r="G61" i="2"/>
  <c r="W150" i="2"/>
  <c r="W152" i="2" s="1"/>
  <c r="G63" i="2"/>
  <c r="G64" i="2"/>
  <c r="W106" i="2"/>
  <c r="I43" i="6"/>
  <c r="G46" i="6"/>
  <c r="H43" i="6"/>
  <c r="K43" i="6"/>
  <c r="G83" i="2"/>
  <c r="J43" i="6"/>
  <c r="I46" i="6"/>
  <c r="H46" i="6"/>
  <c r="J26" i="6"/>
  <c r="L20" i="2" l="1"/>
  <c r="M20" i="2"/>
  <c r="N20" i="2"/>
  <c r="O20" i="2"/>
  <c r="P20" i="2"/>
  <c r="Q20" i="2"/>
  <c r="Q52" i="2" s="1"/>
  <c r="R20" i="2"/>
  <c r="R52" i="2" s="1"/>
  <c r="S20" i="2"/>
  <c r="S52" i="2" s="1"/>
  <c r="T20" i="2"/>
  <c r="U52" i="2" s="1"/>
  <c r="N24" i="3"/>
  <c r="N25" i="3" s="1"/>
  <c r="E60" i="2"/>
  <c r="E59" i="2"/>
  <c r="E57" i="2"/>
  <c r="E56" i="2"/>
  <c r="E55" i="2"/>
  <c r="E54" i="2"/>
  <c r="E53" i="2"/>
  <c r="E52" i="2"/>
  <c r="E51" i="2"/>
  <c r="P53" i="2"/>
  <c r="O53" i="2"/>
  <c r="N53" i="2"/>
  <c r="M53" i="2"/>
  <c r="M52" i="2"/>
  <c r="P51" i="2"/>
  <c r="V53" i="2"/>
  <c r="U53" i="2"/>
  <c r="T53" i="2"/>
  <c r="S53" i="2"/>
  <c r="R53" i="2"/>
  <c r="V52" i="2"/>
  <c r="V51" i="2"/>
  <c r="U51" i="2"/>
  <c r="T51" i="2"/>
  <c r="S51" i="2"/>
  <c r="R51" i="2"/>
  <c r="Q53" i="2"/>
  <c r="Q51" i="2"/>
  <c r="F48" i="2"/>
  <c r="F44" i="2"/>
  <c r="F42" i="2"/>
  <c r="F40" i="2"/>
  <c r="F39" i="2"/>
  <c r="F37" i="2"/>
  <c r="F36" i="2"/>
  <c r="F35" i="2"/>
  <c r="F34" i="2"/>
  <c r="F32" i="2"/>
  <c r="F31" i="2"/>
  <c r="F30" i="2"/>
  <c r="F28" i="2"/>
  <c r="F27" i="2"/>
  <c r="F25" i="2"/>
  <c r="F24" i="2"/>
  <c r="F23" i="2"/>
  <c r="F22" i="2"/>
  <c r="F21" i="2"/>
  <c r="F53" i="2" s="1"/>
  <c r="F20" i="2"/>
  <c r="F52" i="2" s="1"/>
  <c r="F19" i="2"/>
  <c r="F51" i="2" s="1"/>
  <c r="F14" i="2"/>
  <c r="F13" i="2"/>
  <c r="F12" i="2"/>
  <c r="F11" i="2"/>
  <c r="F10" i="2"/>
  <c r="V146" i="2"/>
  <c r="V131" i="2"/>
  <c r="V117" i="2"/>
  <c r="L48" i="6" s="1"/>
  <c r="V105" i="2"/>
  <c r="V98" i="2"/>
  <c r="V91" i="2"/>
  <c r="N38" i="3" s="1"/>
  <c r="V82" i="2"/>
  <c r="V74" i="2"/>
  <c r="V59" i="2"/>
  <c r="V58" i="2"/>
  <c r="V57" i="2"/>
  <c r="V56" i="2"/>
  <c r="V55" i="2"/>
  <c r="V54" i="2"/>
  <c r="V17" i="2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G32" i="3"/>
  <c r="F32" i="3"/>
  <c r="E32" i="3"/>
  <c r="D32" i="3"/>
  <c r="G24" i="3"/>
  <c r="G25" i="3" s="1"/>
  <c r="F24" i="3"/>
  <c r="F25" i="3" s="1"/>
  <c r="E24" i="3"/>
  <c r="E25" i="3" s="1"/>
  <c r="D24" i="3"/>
  <c r="G22" i="3"/>
  <c r="F22" i="3"/>
  <c r="E22" i="3"/>
  <c r="D22" i="3"/>
  <c r="G21" i="3"/>
  <c r="F21" i="3"/>
  <c r="E21" i="3"/>
  <c r="D21" i="3"/>
  <c r="L145" i="2"/>
  <c r="L146" i="2" s="1"/>
  <c r="M145" i="2"/>
  <c r="M146" i="2" s="1"/>
  <c r="N145" i="2"/>
  <c r="N146" i="2" s="1"/>
  <c r="O129" i="2"/>
  <c r="O131" i="2" s="1"/>
  <c r="N131" i="2"/>
  <c r="M131" i="2"/>
  <c r="L131" i="2"/>
  <c r="O146" i="2"/>
  <c r="O116" i="2"/>
  <c r="O117" i="2" s="1"/>
  <c r="N117" i="2"/>
  <c r="M117" i="2"/>
  <c r="L117" i="2"/>
  <c r="O105" i="2"/>
  <c r="N105" i="2"/>
  <c r="M105" i="2"/>
  <c r="L105" i="2"/>
  <c r="O98" i="2"/>
  <c r="N98" i="2"/>
  <c r="M98" i="2"/>
  <c r="L98" i="2"/>
  <c r="O91" i="2"/>
  <c r="N91" i="2"/>
  <c r="M91" i="2"/>
  <c r="L91" i="2"/>
  <c r="O82" i="2"/>
  <c r="N82" i="2"/>
  <c r="M82" i="2"/>
  <c r="L82" i="2"/>
  <c r="N74" i="2"/>
  <c r="M74" i="2"/>
  <c r="L74" i="2"/>
  <c r="O74" i="2"/>
  <c r="O33" i="2"/>
  <c r="P60" i="2"/>
  <c r="O60" i="2"/>
  <c r="N60" i="2"/>
  <c r="M60" i="2"/>
  <c r="M33" i="2"/>
  <c r="M38" i="2" s="1"/>
  <c r="M108" i="2" s="1"/>
  <c r="L33" i="2"/>
  <c r="L61" i="2" s="1"/>
  <c r="N33" i="2"/>
  <c r="N61" i="2" s="1"/>
  <c r="P52" i="2" l="1"/>
  <c r="N52" i="2"/>
  <c r="O52" i="2"/>
  <c r="T52" i="2"/>
  <c r="V83" i="2"/>
  <c r="V106" i="2"/>
  <c r="N14" i="3" s="1"/>
  <c r="E16" i="3"/>
  <c r="D15" i="3"/>
  <c r="E15" i="3"/>
  <c r="F15" i="3"/>
  <c r="G15" i="3"/>
  <c r="E26" i="3"/>
  <c r="G26" i="3"/>
  <c r="E17" i="3"/>
  <c r="F26" i="3"/>
  <c r="D25" i="3"/>
  <c r="O106" i="2"/>
  <c r="G14" i="3" s="1"/>
  <c r="N83" i="2"/>
  <c r="O83" i="2"/>
  <c r="E5" i="3"/>
  <c r="M61" i="2"/>
  <c r="M121" i="2"/>
  <c r="M150" i="2" s="1"/>
  <c r="N106" i="2"/>
  <c r="F14" i="3" s="1"/>
  <c r="M106" i="2"/>
  <c r="E14" i="3" s="1"/>
  <c r="L106" i="2"/>
  <c r="D14" i="3" s="1"/>
  <c r="L83" i="2"/>
  <c r="M83" i="2"/>
  <c r="L38" i="2"/>
  <c r="M62" i="2"/>
  <c r="M41" i="2"/>
  <c r="O61" i="2"/>
  <c r="O38" i="2"/>
  <c r="N38" i="2"/>
  <c r="H8" i="1"/>
  <c r="N23" i="3" l="1"/>
  <c r="N18" i="3"/>
  <c r="D26" i="3"/>
  <c r="G18" i="3"/>
  <c r="G23" i="3"/>
  <c r="L108" i="2"/>
  <c r="L121" i="2" s="1"/>
  <c r="L150" i="2" s="1"/>
  <c r="D5" i="3"/>
  <c r="D17" i="3"/>
  <c r="D16" i="3"/>
  <c r="D23" i="3"/>
  <c r="D18" i="3"/>
  <c r="F18" i="3"/>
  <c r="F23" i="3"/>
  <c r="N62" i="2"/>
  <c r="F5" i="3"/>
  <c r="F17" i="3"/>
  <c r="F16" i="3"/>
  <c r="N41" i="2"/>
  <c r="N108" i="2"/>
  <c r="N121" i="2" s="1"/>
  <c r="N150" i="2" s="1"/>
  <c r="O62" i="2"/>
  <c r="G5" i="3"/>
  <c r="G17" i="3"/>
  <c r="O41" i="2"/>
  <c r="O108" i="2"/>
  <c r="O121" i="2" s="1"/>
  <c r="O150" i="2" s="1"/>
  <c r="G16" i="3"/>
  <c r="E23" i="3"/>
  <c r="E18" i="3"/>
  <c r="L41" i="2"/>
  <c r="L64" i="2" s="1"/>
  <c r="D9" i="3" s="1"/>
  <c r="L62" i="2"/>
  <c r="M64" i="2"/>
  <c r="M43" i="2"/>
  <c r="C22" i="1"/>
  <c r="C21" i="1"/>
  <c r="C20" i="1"/>
  <c r="C23" i="1" s="1"/>
  <c r="U26" i="2"/>
  <c r="T26" i="2"/>
  <c r="S26" i="2"/>
  <c r="R26" i="2"/>
  <c r="Q26" i="2"/>
  <c r="P26" i="2"/>
  <c r="E26" i="2"/>
  <c r="G58" i="2" s="1"/>
  <c r="C26" i="2"/>
  <c r="AD7" i="2"/>
  <c r="U7" i="2"/>
  <c r="T7" i="2"/>
  <c r="S7" i="2"/>
  <c r="R7" i="2"/>
  <c r="W3" i="2"/>
  <c r="X3" i="2" s="1"/>
  <c r="Y3" i="2" s="1"/>
  <c r="Z3" i="2" s="1"/>
  <c r="AA3" i="2" s="1"/>
  <c r="AB3" i="2" s="1"/>
  <c r="AC3" i="2" s="1"/>
  <c r="AD3" i="2" s="1"/>
  <c r="AE3" i="2" s="1"/>
  <c r="AF3" i="2" s="1"/>
  <c r="N30" i="3"/>
  <c r="N29" i="3"/>
  <c r="L24" i="3"/>
  <c r="L25" i="3" s="1"/>
  <c r="K24" i="3"/>
  <c r="K25" i="3" s="1"/>
  <c r="J24" i="3"/>
  <c r="J25" i="3" s="1"/>
  <c r="I24" i="3"/>
  <c r="I25" i="3" s="1"/>
  <c r="H24" i="3"/>
  <c r="M24" i="3"/>
  <c r="L22" i="3"/>
  <c r="K22" i="3"/>
  <c r="J22" i="3"/>
  <c r="I22" i="3"/>
  <c r="H22" i="3"/>
  <c r="M22" i="3"/>
  <c r="L21" i="3"/>
  <c r="K21" i="3"/>
  <c r="J21" i="3"/>
  <c r="I21" i="3"/>
  <c r="H21" i="3"/>
  <c r="M21" i="3"/>
  <c r="L32" i="3"/>
  <c r="K32" i="3"/>
  <c r="J32" i="3"/>
  <c r="I32" i="3"/>
  <c r="H32" i="3"/>
  <c r="M32" i="3"/>
  <c r="D149" i="2"/>
  <c r="D148" i="2"/>
  <c r="D145" i="2"/>
  <c r="D144" i="2"/>
  <c r="D143" i="2"/>
  <c r="D142" i="2"/>
  <c r="D139" i="2"/>
  <c r="D138" i="2"/>
  <c r="D137" i="2"/>
  <c r="D136" i="2"/>
  <c r="D135" i="2"/>
  <c r="D134" i="2"/>
  <c r="D133" i="2"/>
  <c r="D132" i="2"/>
  <c r="D130" i="2"/>
  <c r="D129" i="2"/>
  <c r="D128" i="2"/>
  <c r="D127" i="2"/>
  <c r="D126" i="2"/>
  <c r="D125" i="2"/>
  <c r="D124" i="2"/>
  <c r="D123" i="2"/>
  <c r="D122" i="2"/>
  <c r="D120" i="2"/>
  <c r="D119" i="2"/>
  <c r="D118" i="2"/>
  <c r="D116" i="2"/>
  <c r="D115" i="2"/>
  <c r="D114" i="2"/>
  <c r="D113" i="2"/>
  <c r="D112" i="2"/>
  <c r="D111" i="2"/>
  <c r="D110" i="2"/>
  <c r="D109" i="2"/>
  <c r="D104" i="2"/>
  <c r="D103" i="2"/>
  <c r="D102" i="2"/>
  <c r="D101" i="2"/>
  <c r="D100" i="2"/>
  <c r="D99" i="2"/>
  <c r="D97" i="2"/>
  <c r="D96" i="2"/>
  <c r="D95" i="2"/>
  <c r="D94" i="2"/>
  <c r="D93" i="2"/>
  <c r="D92" i="2"/>
  <c r="D90" i="2"/>
  <c r="D89" i="2"/>
  <c r="D88" i="2"/>
  <c r="D87" i="2"/>
  <c r="D86" i="2"/>
  <c r="D85" i="2"/>
  <c r="D84" i="2"/>
  <c r="D81" i="2"/>
  <c r="D80" i="2"/>
  <c r="D79" i="2"/>
  <c r="D78" i="2"/>
  <c r="D77" i="2"/>
  <c r="D76" i="2"/>
  <c r="D75" i="2"/>
  <c r="D73" i="2"/>
  <c r="D72" i="2"/>
  <c r="D71" i="2"/>
  <c r="D70" i="2"/>
  <c r="D69" i="2"/>
  <c r="D68" i="2"/>
  <c r="D67" i="2"/>
  <c r="D66" i="2"/>
  <c r="D44" i="2"/>
  <c r="AE15" i="2"/>
  <c r="AD15" i="2"/>
  <c r="AC15" i="2"/>
  <c r="AB15" i="2"/>
  <c r="AA15" i="2"/>
  <c r="Z15" i="2"/>
  <c r="Y15" i="2"/>
  <c r="X15" i="2"/>
  <c r="W15" i="2"/>
  <c r="W50" i="2" s="1"/>
  <c r="V15" i="2"/>
  <c r="V50" i="2" s="1"/>
  <c r="U15" i="2"/>
  <c r="U50" i="2" s="1"/>
  <c r="T15" i="2"/>
  <c r="S15" i="2"/>
  <c r="R15" i="2"/>
  <c r="Q15" i="2"/>
  <c r="P15" i="2"/>
  <c r="F15" i="2"/>
  <c r="E15" i="2"/>
  <c r="C15" i="2"/>
  <c r="E58" i="2" l="1"/>
  <c r="D6" i="3"/>
  <c r="D10" i="3" s="1"/>
  <c r="H25" i="3"/>
  <c r="H26" i="3" s="1"/>
  <c r="Q24" i="3"/>
  <c r="P24" i="3"/>
  <c r="E4" i="3"/>
  <c r="E7" i="3"/>
  <c r="E30" i="3"/>
  <c r="E31" i="3" s="1"/>
  <c r="E9" i="3"/>
  <c r="E6" i="3"/>
  <c r="P22" i="3"/>
  <c r="Q22" i="3"/>
  <c r="N64" i="2"/>
  <c r="N43" i="2"/>
  <c r="Q21" i="3"/>
  <c r="P21" i="3"/>
  <c r="O64" i="2"/>
  <c r="O43" i="2"/>
  <c r="L43" i="2"/>
  <c r="L63" i="2" s="1"/>
  <c r="L45" i="2"/>
  <c r="M63" i="2"/>
  <c r="M45" i="2"/>
  <c r="M47" i="2" s="1"/>
  <c r="N31" i="3"/>
  <c r="N46" i="3" s="1"/>
  <c r="K26" i="3"/>
  <c r="L26" i="3"/>
  <c r="I26" i="3"/>
  <c r="J26" i="3"/>
  <c r="M25" i="3"/>
  <c r="M26" i="3" s="1"/>
  <c r="X40" i="2"/>
  <c r="Y40" i="2" s="1"/>
  <c r="Z40" i="2" s="1"/>
  <c r="AA40" i="2" s="1"/>
  <c r="AB40" i="2" s="1"/>
  <c r="AC40" i="2" s="1"/>
  <c r="AD40" i="2" s="1"/>
  <c r="AE40" i="2" s="1"/>
  <c r="AF40" i="2" s="1"/>
  <c r="X39" i="2"/>
  <c r="Y39" i="2" s="1"/>
  <c r="Z39" i="2" s="1"/>
  <c r="AA39" i="2" s="1"/>
  <c r="AB39" i="2" s="1"/>
  <c r="AC39" i="2" s="1"/>
  <c r="AD39" i="2" s="1"/>
  <c r="AE39" i="2" s="1"/>
  <c r="AF39" i="2" s="1"/>
  <c r="X37" i="2"/>
  <c r="Y37" i="2" s="1"/>
  <c r="Z37" i="2" s="1"/>
  <c r="AA37" i="2" s="1"/>
  <c r="AB37" i="2" s="1"/>
  <c r="AC37" i="2" s="1"/>
  <c r="AD37" i="2" s="1"/>
  <c r="AE37" i="2" s="1"/>
  <c r="AF37" i="2" s="1"/>
  <c r="X36" i="2"/>
  <c r="Y36" i="2" s="1"/>
  <c r="Z36" i="2" s="1"/>
  <c r="AA36" i="2" s="1"/>
  <c r="AB36" i="2" s="1"/>
  <c r="AC36" i="2" s="1"/>
  <c r="AD36" i="2" s="1"/>
  <c r="AE36" i="2" s="1"/>
  <c r="AF36" i="2" s="1"/>
  <c r="X35" i="2"/>
  <c r="Y35" i="2" s="1"/>
  <c r="Z35" i="2" s="1"/>
  <c r="AA35" i="2" s="1"/>
  <c r="AB35" i="2" s="1"/>
  <c r="AC35" i="2" s="1"/>
  <c r="AD35" i="2" s="1"/>
  <c r="AE35" i="2" s="1"/>
  <c r="AF35" i="2" s="1"/>
  <c r="X34" i="2"/>
  <c r="Y34" i="2" s="1"/>
  <c r="Z34" i="2" s="1"/>
  <c r="AA34" i="2" s="1"/>
  <c r="AB34" i="2" s="1"/>
  <c r="AC34" i="2" s="1"/>
  <c r="AD34" i="2" s="1"/>
  <c r="AE34" i="2" s="1"/>
  <c r="AF34" i="2" s="1"/>
  <c r="X32" i="2"/>
  <c r="Y32" i="2" s="1"/>
  <c r="Z32" i="2" s="1"/>
  <c r="AA32" i="2" s="1"/>
  <c r="AB32" i="2" s="1"/>
  <c r="AC32" i="2" s="1"/>
  <c r="AD32" i="2" s="1"/>
  <c r="AE32" i="2" s="1"/>
  <c r="AF32" i="2" s="1"/>
  <c r="X31" i="2"/>
  <c r="Y31" i="2" s="1"/>
  <c r="Z31" i="2" s="1"/>
  <c r="AA31" i="2" s="1"/>
  <c r="AB31" i="2" s="1"/>
  <c r="AC31" i="2" s="1"/>
  <c r="AD31" i="2" s="1"/>
  <c r="AE31" i="2" s="1"/>
  <c r="AF31" i="2" s="1"/>
  <c r="X30" i="2"/>
  <c r="Y30" i="2" s="1"/>
  <c r="Z30" i="2" s="1"/>
  <c r="AA30" i="2" s="1"/>
  <c r="AB30" i="2" s="1"/>
  <c r="AC30" i="2" s="1"/>
  <c r="AD30" i="2" s="1"/>
  <c r="AE30" i="2" s="1"/>
  <c r="AF30" i="2" s="1"/>
  <c r="U5" i="2"/>
  <c r="V5" i="2" s="1"/>
  <c r="AC4" i="2"/>
  <c r="AD4" i="2" s="1"/>
  <c r="AE4" i="2" s="1"/>
  <c r="AF4" i="2" s="1"/>
  <c r="X4" i="2"/>
  <c r="Y4" i="2" s="1"/>
  <c r="Z4" i="2" s="1"/>
  <c r="AA4" i="2" s="1"/>
  <c r="U4" i="2"/>
  <c r="V4" i="2" s="1"/>
  <c r="D14" i="2"/>
  <c r="D13" i="2"/>
  <c r="D12" i="2"/>
  <c r="D11" i="2"/>
  <c r="D10" i="2"/>
  <c r="T59" i="2"/>
  <c r="S59" i="2"/>
  <c r="R59" i="2"/>
  <c r="Q59" i="2"/>
  <c r="T58" i="2"/>
  <c r="S58" i="2"/>
  <c r="R58" i="2"/>
  <c r="Q58" i="2"/>
  <c r="T57" i="2"/>
  <c r="S57" i="2"/>
  <c r="R57" i="2"/>
  <c r="Q57" i="2"/>
  <c r="T56" i="2"/>
  <c r="S56" i="2"/>
  <c r="R56" i="2"/>
  <c r="Q56" i="2"/>
  <c r="T55" i="2"/>
  <c r="S55" i="2"/>
  <c r="R55" i="2"/>
  <c r="Q55" i="2"/>
  <c r="T54" i="2"/>
  <c r="S54" i="2"/>
  <c r="R54" i="2"/>
  <c r="Q54" i="2"/>
  <c r="U59" i="2"/>
  <c r="U58" i="2"/>
  <c r="U57" i="2"/>
  <c r="U56" i="2"/>
  <c r="U55" i="2"/>
  <c r="U54" i="2"/>
  <c r="C10" i="1"/>
  <c r="C15" i="1"/>
  <c r="D28" i="2"/>
  <c r="F60" i="2" s="1"/>
  <c r="D27" i="2"/>
  <c r="F59" i="2" s="1"/>
  <c r="D25" i="2"/>
  <c r="F57" i="2" s="1"/>
  <c r="D24" i="2"/>
  <c r="F56" i="2" s="1"/>
  <c r="D23" i="2"/>
  <c r="F55" i="2" s="1"/>
  <c r="D22" i="2"/>
  <c r="F54" i="2" s="1"/>
  <c r="E8" i="3" l="1"/>
  <c r="E10" i="3"/>
  <c r="Q26" i="3"/>
  <c r="N63" i="2"/>
  <c r="F4" i="3"/>
  <c r="F30" i="3"/>
  <c r="F31" i="3" s="1"/>
  <c r="N45" i="2"/>
  <c r="N47" i="2" s="1"/>
  <c r="F7" i="3"/>
  <c r="E33" i="3"/>
  <c r="E36" i="3"/>
  <c r="E37" i="3" s="1"/>
  <c r="E46" i="3"/>
  <c r="P26" i="3"/>
  <c r="F9" i="3"/>
  <c r="F6" i="3"/>
  <c r="G9" i="3"/>
  <c r="G6" i="3"/>
  <c r="P25" i="3"/>
  <c r="Q25" i="3"/>
  <c r="D4" i="3"/>
  <c r="L48" i="2"/>
  <c r="D30" i="3" s="1"/>
  <c r="D31" i="3" s="1"/>
  <c r="D7" i="3"/>
  <c r="G4" i="3"/>
  <c r="G30" i="3"/>
  <c r="G31" i="3" s="1"/>
  <c r="O45" i="2"/>
  <c r="O47" i="2" s="1"/>
  <c r="G7" i="3"/>
  <c r="O63" i="2"/>
  <c r="X28" i="2"/>
  <c r="Y28" i="2" s="1"/>
  <c r="Z28" i="2" s="1"/>
  <c r="AA28" i="2" s="1"/>
  <c r="AB28" i="2" s="1"/>
  <c r="AC28" i="2" s="1"/>
  <c r="AD28" i="2" s="1"/>
  <c r="AE28" i="2" s="1"/>
  <c r="AF28" i="2" s="1"/>
  <c r="X27" i="2"/>
  <c r="Y27" i="2" s="1"/>
  <c r="Z27" i="2" s="1"/>
  <c r="AA27" i="2" s="1"/>
  <c r="AB27" i="2" s="1"/>
  <c r="AC27" i="2" s="1"/>
  <c r="AD27" i="2" s="1"/>
  <c r="AE27" i="2" s="1"/>
  <c r="AF27" i="2" s="1"/>
  <c r="V26" i="2"/>
  <c r="D26" i="2"/>
  <c r="D15" i="2"/>
  <c r="W5" i="2"/>
  <c r="V6" i="2"/>
  <c r="V7" i="2" s="1"/>
  <c r="V29" i="2" l="1"/>
  <c r="W60" i="2" s="1"/>
  <c r="F26" i="2"/>
  <c r="F58" i="2" s="1"/>
  <c r="F8" i="3"/>
  <c r="G8" i="3"/>
  <c r="G10" i="3"/>
  <c r="G33" i="3"/>
  <c r="F38" i="3"/>
  <c r="G36" i="3"/>
  <c r="G37" i="3" s="1"/>
  <c r="G46" i="3"/>
  <c r="D33" i="3"/>
  <c r="D36" i="3"/>
  <c r="D46" i="3"/>
  <c r="D8" i="3"/>
  <c r="F10" i="3"/>
  <c r="E42" i="3"/>
  <c r="E44" i="3"/>
  <c r="E41" i="3"/>
  <c r="F33" i="3"/>
  <c r="E38" i="3"/>
  <c r="F36" i="3"/>
  <c r="F37" i="3" s="1"/>
  <c r="F46" i="3"/>
  <c r="X5" i="2"/>
  <c r="V33" i="2" l="1"/>
  <c r="L25" i="6"/>
  <c r="N22" i="3"/>
  <c r="N21" i="3"/>
  <c r="V60" i="2"/>
  <c r="F29" i="2"/>
  <c r="F33" i="2" s="1"/>
  <c r="F38" i="2" s="1"/>
  <c r="V38" i="2"/>
  <c r="V41" i="2" s="1"/>
  <c r="V61" i="2"/>
  <c r="F44" i="3"/>
  <c r="F42" i="3"/>
  <c r="F41" i="3"/>
  <c r="G44" i="3"/>
  <c r="G42" i="3"/>
  <c r="G41" i="3"/>
  <c r="D44" i="3"/>
  <c r="D42" i="3"/>
  <c r="D41" i="3"/>
  <c r="M28" i="6"/>
  <c r="W33" i="2"/>
  <c r="Y5" i="2"/>
  <c r="X6" i="2"/>
  <c r="X26" i="2" s="1"/>
  <c r="X29" i="2" s="1"/>
  <c r="X38" i="2" s="1"/>
  <c r="I2" i="3"/>
  <c r="J2" i="3" s="1"/>
  <c r="K2" i="3" s="1"/>
  <c r="L2" i="3" s="1"/>
  <c r="M2" i="3" s="1"/>
  <c r="N2" i="3" s="1"/>
  <c r="F146" i="2"/>
  <c r="E146" i="2"/>
  <c r="D146" i="2"/>
  <c r="C146" i="2"/>
  <c r="F131" i="2"/>
  <c r="E131" i="2"/>
  <c r="D131" i="2"/>
  <c r="C131" i="2"/>
  <c r="F117" i="2"/>
  <c r="E117" i="2"/>
  <c r="D117" i="2"/>
  <c r="C117" i="2"/>
  <c r="F105" i="2"/>
  <c r="E105" i="2"/>
  <c r="D105" i="2"/>
  <c r="C105" i="2"/>
  <c r="F98" i="2"/>
  <c r="E98" i="2"/>
  <c r="D98" i="2"/>
  <c r="C98" i="2"/>
  <c r="F91" i="2"/>
  <c r="E91" i="2"/>
  <c r="D91" i="2"/>
  <c r="C91" i="2"/>
  <c r="F82" i="2"/>
  <c r="E82" i="2"/>
  <c r="D82" i="2"/>
  <c r="C82" i="2"/>
  <c r="F74" i="2"/>
  <c r="E74" i="2"/>
  <c r="D74" i="2"/>
  <c r="C74" i="2"/>
  <c r="P117" i="2"/>
  <c r="U117" i="2"/>
  <c r="K48" i="6" s="1"/>
  <c r="K49" i="6" s="1"/>
  <c r="T117" i="2"/>
  <c r="J48" i="6" s="1"/>
  <c r="J49" i="6" s="1"/>
  <c r="S117" i="2"/>
  <c r="I48" i="6" s="1"/>
  <c r="I49" i="6" s="1"/>
  <c r="R117" i="2"/>
  <c r="H48" i="6" s="1"/>
  <c r="H49" i="6" s="1"/>
  <c r="Q117" i="2"/>
  <c r="G48" i="6" s="1"/>
  <c r="G49" i="6" s="1"/>
  <c r="R146" i="2"/>
  <c r="U146" i="2"/>
  <c r="T152" i="2"/>
  <c r="T146" i="2"/>
  <c r="S146" i="2"/>
  <c r="Q146" i="2"/>
  <c r="P146" i="2"/>
  <c r="T131" i="2"/>
  <c r="S131" i="2"/>
  <c r="R131" i="2"/>
  <c r="Q131" i="2"/>
  <c r="P131" i="2"/>
  <c r="U131" i="2"/>
  <c r="U105" i="2"/>
  <c r="T105" i="2"/>
  <c r="S105" i="2"/>
  <c r="R105" i="2"/>
  <c r="Q105" i="2"/>
  <c r="P105" i="2"/>
  <c r="T98" i="2"/>
  <c r="S98" i="2"/>
  <c r="R98" i="2"/>
  <c r="Q98" i="2"/>
  <c r="P98" i="2"/>
  <c r="U98" i="2"/>
  <c r="T91" i="2"/>
  <c r="S91" i="2"/>
  <c r="R91" i="2"/>
  <c r="Q91" i="2"/>
  <c r="P91" i="2"/>
  <c r="U91" i="2"/>
  <c r="T82" i="2"/>
  <c r="S82" i="2"/>
  <c r="R82" i="2"/>
  <c r="Q82" i="2"/>
  <c r="P82" i="2"/>
  <c r="U82" i="2"/>
  <c r="T74" i="2"/>
  <c r="S74" i="2"/>
  <c r="R74" i="2"/>
  <c r="Q74" i="2"/>
  <c r="P74" i="2"/>
  <c r="U74" i="2"/>
  <c r="T60" i="2"/>
  <c r="S60" i="2"/>
  <c r="R60" i="2"/>
  <c r="Q60" i="2"/>
  <c r="U60" i="2"/>
  <c r="U33" i="2"/>
  <c r="U38" i="2" s="1"/>
  <c r="T33" i="2"/>
  <c r="T38" i="2" s="1"/>
  <c r="J31" i="6" s="1"/>
  <c r="S33" i="2"/>
  <c r="S61" i="2" s="1"/>
  <c r="R33" i="2"/>
  <c r="R38" i="2" s="1"/>
  <c r="H31" i="6" s="1"/>
  <c r="Q33" i="2"/>
  <c r="Q61" i="2" s="1"/>
  <c r="P33" i="2"/>
  <c r="D30" i="2"/>
  <c r="D42" i="2"/>
  <c r="D40" i="2"/>
  <c r="D39" i="2"/>
  <c r="D37" i="2"/>
  <c r="D36" i="2"/>
  <c r="D35" i="2"/>
  <c r="D34" i="2"/>
  <c r="D32" i="2"/>
  <c r="D31" i="2"/>
  <c r="D29" i="2"/>
  <c r="C33" i="2"/>
  <c r="C38" i="2" s="1"/>
  <c r="E33" i="2"/>
  <c r="E61" i="2" s="1"/>
  <c r="N26" i="3" l="1"/>
  <c r="W38" i="2"/>
  <c r="W61" i="2"/>
  <c r="H32" i="6"/>
  <c r="H38" i="6"/>
  <c r="H40" i="6"/>
  <c r="H51" i="6" s="1"/>
  <c r="V108" i="2"/>
  <c r="V121" i="2" s="1"/>
  <c r="V150" i="2" s="1"/>
  <c r="L31" i="6"/>
  <c r="N16" i="3"/>
  <c r="N5" i="3"/>
  <c r="M29" i="6"/>
  <c r="M27" i="6"/>
  <c r="M26" i="6" a="1"/>
  <c r="M26" i="6" s="1"/>
  <c r="M25" i="6" s="1"/>
  <c r="L43" i="6"/>
  <c r="L26" i="6"/>
  <c r="L46" i="6"/>
  <c r="L49" i="6"/>
  <c r="J32" i="6"/>
  <c r="J38" i="6"/>
  <c r="J40" i="6"/>
  <c r="J51" i="6" s="1"/>
  <c r="U108" i="2"/>
  <c r="K31" i="6"/>
  <c r="V64" i="2"/>
  <c r="N6" i="3" s="1"/>
  <c r="V62" i="2"/>
  <c r="P38" i="2"/>
  <c r="P108" i="2" s="1"/>
  <c r="P121" i="2" s="1"/>
  <c r="P61" i="2"/>
  <c r="J5" i="3"/>
  <c r="L5" i="3"/>
  <c r="M5" i="3"/>
  <c r="U41" i="2"/>
  <c r="U43" i="2" s="1"/>
  <c r="M4" i="3" s="1"/>
  <c r="X60" i="2"/>
  <c r="N28" i="6" s="1"/>
  <c r="X33" i="2"/>
  <c r="N32" i="3"/>
  <c r="L16" i="3"/>
  <c r="L17" i="3"/>
  <c r="L15" i="3"/>
  <c r="M16" i="3"/>
  <c r="M17" i="3"/>
  <c r="M38" i="3"/>
  <c r="M15" i="3"/>
  <c r="J16" i="3"/>
  <c r="J17" i="3"/>
  <c r="K15" i="3"/>
  <c r="H15" i="3"/>
  <c r="J15" i="3"/>
  <c r="I15" i="3"/>
  <c r="Z5" i="2"/>
  <c r="Y6" i="2"/>
  <c r="Y26" i="2" s="1"/>
  <c r="Y29" i="2" s="1"/>
  <c r="Y38" i="2" s="1"/>
  <c r="F83" i="2"/>
  <c r="F106" i="2"/>
  <c r="R108" i="2"/>
  <c r="R121" i="2" s="1"/>
  <c r="R150" i="2" s="1"/>
  <c r="C62" i="2"/>
  <c r="T41" i="2"/>
  <c r="T64" i="2" s="1"/>
  <c r="L9" i="3" s="1"/>
  <c r="C108" i="2"/>
  <c r="C121" i="2" s="1"/>
  <c r="C150" i="2" s="1"/>
  <c r="C152" i="2" s="1"/>
  <c r="D151" i="2" s="1"/>
  <c r="F108" i="2"/>
  <c r="F121" i="2" s="1"/>
  <c r="F150" i="2" s="1"/>
  <c r="D83" i="2"/>
  <c r="D106" i="2"/>
  <c r="U83" i="2"/>
  <c r="E106" i="2"/>
  <c r="C106" i="2"/>
  <c r="C83" i="2"/>
  <c r="E83" i="2"/>
  <c r="E38" i="2"/>
  <c r="E41" i="2" s="1"/>
  <c r="S106" i="2"/>
  <c r="K14" i="3" s="1"/>
  <c r="R83" i="2"/>
  <c r="S83" i="2"/>
  <c r="Q106" i="2"/>
  <c r="I14" i="3" s="1"/>
  <c r="T106" i="2"/>
  <c r="F61" i="2"/>
  <c r="T108" i="2"/>
  <c r="T121" i="2" s="1"/>
  <c r="T150" i="2" s="1"/>
  <c r="T151" i="2" s="1"/>
  <c r="S152" i="2" s="1"/>
  <c r="C41" i="2"/>
  <c r="R106" i="2"/>
  <c r="T62" i="2"/>
  <c r="U62" i="2"/>
  <c r="P83" i="2"/>
  <c r="Q83" i="2"/>
  <c r="S38" i="2"/>
  <c r="I31" i="6" s="1"/>
  <c r="T83" i="2"/>
  <c r="P106" i="2"/>
  <c r="U106" i="2"/>
  <c r="F41" i="2"/>
  <c r="F62" i="2"/>
  <c r="R41" i="2"/>
  <c r="R62" i="2"/>
  <c r="R61" i="2"/>
  <c r="U61" i="2"/>
  <c r="C61" i="2"/>
  <c r="Q38" i="2"/>
  <c r="G31" i="6" s="1"/>
  <c r="T61" i="2"/>
  <c r="D33" i="2"/>
  <c r="D38" i="2" s="1"/>
  <c r="W41" i="2" l="1"/>
  <c r="W64" i="2" s="1"/>
  <c r="W62" i="2"/>
  <c r="N9" i="3"/>
  <c r="N10" i="3" s="1"/>
  <c r="N26" i="6" a="1"/>
  <c r="N26" i="6" s="1"/>
  <c r="N25" i="6" s="1"/>
  <c r="N29" i="6"/>
  <c r="N27" i="6"/>
  <c r="K32" i="6"/>
  <c r="K38" i="6"/>
  <c r="K40" i="6"/>
  <c r="K51" i="6" s="1"/>
  <c r="I32" i="6"/>
  <c r="I38" i="6"/>
  <c r="I40" i="6"/>
  <c r="I51" i="6" s="1"/>
  <c r="L32" i="6"/>
  <c r="L38" i="6"/>
  <c r="L40" i="6"/>
  <c r="L51" i="6" s="1"/>
  <c r="G32" i="6"/>
  <c r="G40" i="6"/>
  <c r="G51" i="6" s="1"/>
  <c r="G38" i="6"/>
  <c r="M42" i="6"/>
  <c r="M45" i="6"/>
  <c r="M48" i="6"/>
  <c r="N33" i="3"/>
  <c r="N41" i="3" s="1"/>
  <c r="N37" i="3"/>
  <c r="N17" i="3"/>
  <c r="N15" i="3"/>
  <c r="H17" i="3"/>
  <c r="H16" i="3"/>
  <c r="P41" i="2"/>
  <c r="P64" i="2" s="1"/>
  <c r="H9" i="3" s="1"/>
  <c r="P62" i="2"/>
  <c r="H5" i="3"/>
  <c r="Q15" i="3"/>
  <c r="P15" i="3"/>
  <c r="L6" i="3"/>
  <c r="L10" i="3" s="1"/>
  <c r="K5" i="3"/>
  <c r="Y60" i="2"/>
  <c r="O28" i="6" s="1"/>
  <c r="Y33" i="2"/>
  <c r="M34" i="6"/>
  <c r="I5" i="3"/>
  <c r="X61" i="2"/>
  <c r="AA7" i="2"/>
  <c r="J14" i="3"/>
  <c r="H23" i="3"/>
  <c r="H18" i="3"/>
  <c r="L23" i="3"/>
  <c r="L18" i="3"/>
  <c r="H14" i="3"/>
  <c r="I16" i="3"/>
  <c r="I17" i="3"/>
  <c r="M7" i="3"/>
  <c r="J23" i="3"/>
  <c r="J18" i="3"/>
  <c r="M23" i="3"/>
  <c r="M18" i="3"/>
  <c r="K16" i="3"/>
  <c r="K17" i="3"/>
  <c r="I23" i="3"/>
  <c r="I18" i="3"/>
  <c r="K23" i="3"/>
  <c r="K18" i="3"/>
  <c r="L14" i="3"/>
  <c r="M14" i="3"/>
  <c r="T43" i="2"/>
  <c r="L4" i="3" s="1"/>
  <c r="AA5" i="2"/>
  <c r="Z6" i="2"/>
  <c r="Z26" i="2" s="1"/>
  <c r="Z29" i="2" s="1"/>
  <c r="Z38" i="2" s="1"/>
  <c r="U64" i="2"/>
  <c r="U45" i="2"/>
  <c r="U47" i="2" s="1"/>
  <c r="D47" i="2" s="1"/>
  <c r="Q108" i="2"/>
  <c r="Q121" i="2" s="1"/>
  <c r="Q150" i="2" s="1"/>
  <c r="S62" i="2"/>
  <c r="U63" i="2"/>
  <c r="M30" i="3"/>
  <c r="M31" i="3" s="1"/>
  <c r="M46" i="3" s="1"/>
  <c r="E62" i="2"/>
  <c r="E108" i="2"/>
  <c r="E121" i="2" s="1"/>
  <c r="E150" i="2" s="1"/>
  <c r="E152" i="2" s="1"/>
  <c r="D41" i="2"/>
  <c r="D43" i="2" s="1"/>
  <c r="D108" i="2"/>
  <c r="D121" i="2" s="1"/>
  <c r="D150" i="2" s="1"/>
  <c r="D152" i="2" s="1"/>
  <c r="E43" i="2"/>
  <c r="E64" i="2"/>
  <c r="F43" i="2"/>
  <c r="F64" i="2"/>
  <c r="C43" i="2"/>
  <c r="C64" i="2"/>
  <c r="R43" i="2"/>
  <c r="J4" i="3" s="1"/>
  <c r="R64" i="2"/>
  <c r="U121" i="2"/>
  <c r="U150" i="2" s="1"/>
  <c r="U152" i="2" s="1"/>
  <c r="V151" i="2" s="1"/>
  <c r="V152" i="2" s="1"/>
  <c r="P150" i="2"/>
  <c r="S41" i="2"/>
  <c r="S108" i="2"/>
  <c r="Q62" i="2"/>
  <c r="Q41" i="2"/>
  <c r="D61" i="2"/>
  <c r="D62" i="2"/>
  <c r="M38" i="6" l="1"/>
  <c r="X64" i="2"/>
  <c r="N45" i="6"/>
  <c r="N48" i="6"/>
  <c r="N42" i="6"/>
  <c r="O26" i="6" a="1"/>
  <c r="O26" i="6" s="1"/>
  <c r="O25" i="6" s="1"/>
  <c r="O29" i="6"/>
  <c r="O27" i="6"/>
  <c r="M33" i="6"/>
  <c r="M32" i="6" a="1"/>
  <c r="M32" i="6" s="1"/>
  <c r="M31" i="6" s="1"/>
  <c r="M37" i="6" s="1"/>
  <c r="M40" i="6" s="1"/>
  <c r="M51" i="6" s="1"/>
  <c r="M52" i="6" s="1"/>
  <c r="M35" i="6"/>
  <c r="N42" i="3"/>
  <c r="N44" i="3"/>
  <c r="H6" i="3"/>
  <c r="H10" i="3" s="1"/>
  <c r="Q17" i="3"/>
  <c r="P16" i="3"/>
  <c r="P43" i="2"/>
  <c r="H30" i="3" s="1"/>
  <c r="H31" i="3" s="1"/>
  <c r="Q16" i="3"/>
  <c r="P63" i="2"/>
  <c r="H4" i="3"/>
  <c r="H7" i="3"/>
  <c r="P17" i="3"/>
  <c r="Q14" i="3"/>
  <c r="P14" i="3"/>
  <c r="P18" i="3"/>
  <c r="Q18" i="3"/>
  <c r="P23" i="3"/>
  <c r="Q23" i="3"/>
  <c r="Q5" i="3"/>
  <c r="P5" i="3"/>
  <c r="Z60" i="2"/>
  <c r="P28" i="6" s="1"/>
  <c r="Z33" i="2"/>
  <c r="Y61" i="2"/>
  <c r="J9" i="3"/>
  <c r="J6" i="3"/>
  <c r="W43" i="2"/>
  <c r="X62" i="2"/>
  <c r="N34" i="6" s="1"/>
  <c r="X41" i="2"/>
  <c r="M9" i="3"/>
  <c r="M6" i="3"/>
  <c r="AB7" i="2"/>
  <c r="M8" i="3"/>
  <c r="T63" i="2"/>
  <c r="L7" i="3"/>
  <c r="R63" i="2"/>
  <c r="J7" i="3"/>
  <c r="L30" i="3"/>
  <c r="L31" i="3" s="1"/>
  <c r="L46" i="3" s="1"/>
  <c r="L38" i="3"/>
  <c r="M36" i="3"/>
  <c r="M37" i="3" s="1"/>
  <c r="M33" i="3"/>
  <c r="T45" i="2"/>
  <c r="T47" i="2" s="1"/>
  <c r="AB5" i="2"/>
  <c r="AA6" i="2"/>
  <c r="AA26" i="2" s="1"/>
  <c r="AA29" i="2" s="1"/>
  <c r="AA38" i="2" s="1"/>
  <c r="V43" i="2"/>
  <c r="F63" i="2"/>
  <c r="D63" i="2"/>
  <c r="R45" i="2"/>
  <c r="R47" i="2" s="1"/>
  <c r="E48" i="2"/>
  <c r="D64" i="2"/>
  <c r="C45" i="2"/>
  <c r="F45" i="2"/>
  <c r="F47" i="2" s="1"/>
  <c r="C63" i="2"/>
  <c r="J30" i="3"/>
  <c r="J31" i="3" s="1"/>
  <c r="J46" i="3" s="1"/>
  <c r="Q43" i="2"/>
  <c r="I4" i="3" s="1"/>
  <c r="Q64" i="2"/>
  <c r="E45" i="2"/>
  <c r="E63" i="2"/>
  <c r="D48" i="2"/>
  <c r="D45" i="2"/>
  <c r="S43" i="2"/>
  <c r="K4" i="3" s="1"/>
  <c r="S64" i="2"/>
  <c r="C48" i="2"/>
  <c r="S121" i="2"/>
  <c r="S150" i="2" s="1"/>
  <c r="S151" i="2" s="1"/>
  <c r="R152" i="2" s="1"/>
  <c r="R151" i="2" s="1"/>
  <c r="Q152" i="2" s="1"/>
  <c r="Q151" i="2" s="1"/>
  <c r="P152" i="2" s="1"/>
  <c r="P151" i="2" s="1"/>
  <c r="O152" i="2" s="1"/>
  <c r="O151" i="2" s="1"/>
  <c r="N152" i="2" s="1"/>
  <c r="W63" i="2" l="1"/>
  <c r="W45" i="2"/>
  <c r="W47" i="2" s="1"/>
  <c r="Y64" i="2"/>
  <c r="N38" i="6"/>
  <c r="O45" i="6"/>
  <c r="O48" i="6"/>
  <c r="O42" i="6"/>
  <c r="P26" i="6" a="1"/>
  <c r="P26" i="6" s="1"/>
  <c r="P25" i="6" s="1"/>
  <c r="P29" i="6"/>
  <c r="P27" i="6"/>
  <c r="N7" i="3"/>
  <c r="N4" i="3"/>
  <c r="N35" i="6"/>
  <c r="N33" i="6"/>
  <c r="N32" i="6" a="1"/>
  <c r="N32" i="6" s="1"/>
  <c r="N31" i="6" s="1"/>
  <c r="N37" i="6" s="1"/>
  <c r="N40" i="6" s="1"/>
  <c r="N51" i="6" s="1"/>
  <c r="N52" i="6" s="1"/>
  <c r="N43" i="3"/>
  <c r="P45" i="2"/>
  <c r="P47" i="2" s="1"/>
  <c r="N36" i="3"/>
  <c r="V63" i="2"/>
  <c r="M152" i="2"/>
  <c r="M151" i="2" s="1"/>
  <c r="L152" i="2" s="1"/>
  <c r="L151" i="2" s="1"/>
  <c r="N151" i="2"/>
  <c r="P4" i="3"/>
  <c r="Q4" i="3"/>
  <c r="H46" i="3"/>
  <c r="G38" i="3"/>
  <c r="H8" i="3"/>
  <c r="X42" i="2"/>
  <c r="X43" i="2" s="1"/>
  <c r="X63" i="2" s="1"/>
  <c r="AA60" i="2"/>
  <c r="Q28" i="6" s="1"/>
  <c r="AA33" i="2"/>
  <c r="J10" i="3"/>
  <c r="Z61" i="2"/>
  <c r="Y62" i="2"/>
  <c r="O34" i="6" s="1"/>
  <c r="Y41" i="2"/>
  <c r="K9" i="3"/>
  <c r="K6" i="3"/>
  <c r="I9" i="3"/>
  <c r="I6" i="3"/>
  <c r="M10" i="3"/>
  <c r="AC7" i="2"/>
  <c r="J8" i="3"/>
  <c r="L8" i="3"/>
  <c r="L33" i="3"/>
  <c r="L36" i="3"/>
  <c r="L37" i="3" s="1"/>
  <c r="K38" i="3"/>
  <c r="S63" i="2"/>
  <c r="K7" i="3"/>
  <c r="I7" i="3"/>
  <c r="H36" i="3"/>
  <c r="H37" i="3" s="1"/>
  <c r="H33" i="3"/>
  <c r="J36" i="3"/>
  <c r="J37" i="3" s="1"/>
  <c r="I38" i="3"/>
  <c r="J33" i="3"/>
  <c r="M44" i="3"/>
  <c r="M43" i="3"/>
  <c r="M42" i="3"/>
  <c r="M41" i="3"/>
  <c r="V45" i="2"/>
  <c r="V47" i="2" s="1"/>
  <c r="AC5" i="2"/>
  <c r="AB6" i="2"/>
  <c r="AB26" i="2" s="1"/>
  <c r="AB29" i="2" s="1"/>
  <c r="AB38" i="2" s="1"/>
  <c r="Q63" i="2"/>
  <c r="I30" i="3"/>
  <c r="I31" i="3" s="1"/>
  <c r="I46" i="3" s="1"/>
  <c r="Q45" i="2"/>
  <c r="Q47" i="2" s="1"/>
  <c r="S45" i="2"/>
  <c r="S47" i="2" s="1"/>
  <c r="K30" i="3"/>
  <c r="K31" i="3" s="1"/>
  <c r="K46" i="3" s="1"/>
  <c r="Z64" i="2" l="1"/>
  <c r="O38" i="6"/>
  <c r="P45" i="6"/>
  <c r="P48" i="6"/>
  <c r="P42" i="6"/>
  <c r="N8" i="3"/>
  <c r="Q26" i="6" a="1"/>
  <c r="Q26" i="6" s="1"/>
  <c r="Q25" i="6" s="1"/>
  <c r="Q29" i="6"/>
  <c r="Q27" i="6"/>
  <c r="O35" i="6"/>
  <c r="O33" i="6"/>
  <c r="O32" i="6" a="1"/>
  <c r="O32" i="6" s="1"/>
  <c r="O31" i="6" s="1"/>
  <c r="O37" i="6" s="1"/>
  <c r="O40" i="6" s="1"/>
  <c r="O51" i="6" s="1"/>
  <c r="O52" i="6" s="1"/>
  <c r="Q9" i="3"/>
  <c r="P7" i="3"/>
  <c r="Q7" i="3"/>
  <c r="P46" i="3"/>
  <c r="Q46" i="3"/>
  <c r="Q6" i="3"/>
  <c r="P6" i="3"/>
  <c r="P9" i="3"/>
  <c r="I10" i="3"/>
  <c r="K10" i="3"/>
  <c r="Z41" i="2"/>
  <c r="Z62" i="2"/>
  <c r="P34" i="6" s="1"/>
  <c r="AA61" i="2"/>
  <c r="AB60" i="2"/>
  <c r="R28" i="6" s="1"/>
  <c r="AB33" i="2"/>
  <c r="Y42" i="2"/>
  <c r="Y43" i="2" s="1"/>
  <c r="Y63" i="2" s="1"/>
  <c r="I36" i="3"/>
  <c r="I37" i="3" s="1"/>
  <c r="H38" i="3"/>
  <c r="I33" i="3"/>
  <c r="I8" i="3"/>
  <c r="L43" i="3"/>
  <c r="L41" i="3"/>
  <c r="L44" i="3"/>
  <c r="L42" i="3"/>
  <c r="J38" i="3"/>
  <c r="K36" i="3"/>
  <c r="K37" i="3" s="1"/>
  <c r="K33" i="3"/>
  <c r="J42" i="3"/>
  <c r="J41" i="3"/>
  <c r="J43" i="3"/>
  <c r="J44" i="3"/>
  <c r="H41" i="3"/>
  <c r="H44" i="3"/>
  <c r="H43" i="3"/>
  <c r="H42" i="3"/>
  <c r="K8" i="3"/>
  <c r="AD5" i="2"/>
  <c r="AC6" i="2"/>
  <c r="AC26" i="2" s="1"/>
  <c r="AC29" i="2" s="1"/>
  <c r="AC38" i="2" s="1"/>
  <c r="AA64" i="2" l="1"/>
  <c r="P38" i="6"/>
  <c r="Q48" i="6"/>
  <c r="Q45" i="6"/>
  <c r="Q42" i="6"/>
  <c r="R26" i="6" a="1"/>
  <c r="R26" i="6" s="1"/>
  <c r="R25" i="6" s="1"/>
  <c r="R27" i="6"/>
  <c r="R29" i="6"/>
  <c r="P35" i="6"/>
  <c r="P33" i="6"/>
  <c r="P32" i="6" a="1"/>
  <c r="P32" i="6" s="1"/>
  <c r="P31" i="6" s="1"/>
  <c r="P37" i="6" s="1"/>
  <c r="P40" i="6" s="1"/>
  <c r="P51" i="6" s="1"/>
  <c r="P52" i="6" s="1"/>
  <c r="Q38" i="3"/>
  <c r="Q37" i="3"/>
  <c r="Q8" i="3"/>
  <c r="Q10" i="3"/>
  <c r="P10" i="3"/>
  <c r="P37" i="3"/>
  <c r="P8" i="3"/>
  <c r="P38" i="3"/>
  <c r="Q36" i="3"/>
  <c r="P36" i="3"/>
  <c r="AB61" i="2"/>
  <c r="AC60" i="2"/>
  <c r="S28" i="6" s="1"/>
  <c r="AC33" i="2"/>
  <c r="AA62" i="2"/>
  <c r="Q34" i="6" s="1"/>
  <c r="AA41" i="2"/>
  <c r="Z42" i="2"/>
  <c r="Z43" i="2" s="1"/>
  <c r="Z63" i="2" s="1"/>
  <c r="K44" i="3"/>
  <c r="K42" i="3"/>
  <c r="K41" i="3"/>
  <c r="K43" i="3"/>
  <c r="I43" i="3"/>
  <c r="I44" i="3"/>
  <c r="I42" i="3"/>
  <c r="I41" i="3"/>
  <c r="AE5" i="2"/>
  <c r="AD6" i="2"/>
  <c r="AD26" i="2" s="1"/>
  <c r="AD29" i="2" s="1"/>
  <c r="AD38" i="2" s="1"/>
  <c r="AB64" i="2" l="1"/>
  <c r="Q38" i="6"/>
  <c r="R48" i="6"/>
  <c r="R42" i="6"/>
  <c r="R45" i="6"/>
  <c r="S29" i="6"/>
  <c r="S27" i="6"/>
  <c r="S26" i="6" a="1"/>
  <c r="S26" i="6" s="1"/>
  <c r="S25" i="6" s="1"/>
  <c r="AE6" i="2"/>
  <c r="AE26" i="2" s="1"/>
  <c r="AE29" i="2" s="1"/>
  <c r="AF5" i="2"/>
  <c r="AF6" i="2" s="1"/>
  <c r="AF26" i="2" s="1"/>
  <c r="AF29" i="2" s="1"/>
  <c r="Q35" i="6"/>
  <c r="Q33" i="6"/>
  <c r="Q32" i="6" a="1"/>
  <c r="Q32" i="6" s="1"/>
  <c r="Q31" i="6" s="1"/>
  <c r="Q37" i="6" s="1"/>
  <c r="Q40" i="6" s="1"/>
  <c r="Q51" i="6" s="1"/>
  <c r="Q52" i="6" s="1"/>
  <c r="Q43" i="3"/>
  <c r="Q41" i="3"/>
  <c r="Q42" i="3"/>
  <c r="P42" i="3"/>
  <c r="Q44" i="3"/>
  <c r="P43" i="3"/>
  <c r="P41" i="3"/>
  <c r="P44" i="3"/>
  <c r="AD60" i="2"/>
  <c r="T28" i="6" s="1"/>
  <c r="AD33" i="2"/>
  <c r="AC61" i="2"/>
  <c r="AB62" i="2"/>
  <c r="R34" i="6" s="1"/>
  <c r="AB41" i="2"/>
  <c r="AA42" i="2"/>
  <c r="AA43" i="2" s="1"/>
  <c r="AA63" i="2" s="1"/>
  <c r="AC64" i="2" l="1"/>
  <c r="R38" i="6"/>
  <c r="S48" i="6"/>
  <c r="S42" i="6"/>
  <c r="S45" i="6"/>
  <c r="AE33" i="2"/>
  <c r="AE61" i="2" s="1"/>
  <c r="AE38" i="2"/>
  <c r="T29" i="6"/>
  <c r="T26" i="6" a="1"/>
  <c r="T26" i="6" s="1"/>
  <c r="T25" i="6" s="1"/>
  <c r="T27" i="6"/>
  <c r="AF38" i="2"/>
  <c r="AF62" i="2" s="1"/>
  <c r="V34" i="6" s="1"/>
  <c r="AF60" i="2"/>
  <c r="V28" i="6" s="1"/>
  <c r="AF33" i="2"/>
  <c r="AE60" i="2"/>
  <c r="U28" i="6" s="1"/>
  <c r="R35" i="6"/>
  <c r="R33" i="6"/>
  <c r="R32" i="6" a="1"/>
  <c r="R32" i="6" s="1"/>
  <c r="R31" i="6" s="1"/>
  <c r="R37" i="6" s="1"/>
  <c r="R40" i="6" s="1"/>
  <c r="R51" i="6" s="1"/>
  <c r="R52" i="6" s="1"/>
  <c r="AB42" i="2"/>
  <c r="AB43" i="2" s="1"/>
  <c r="AB63" i="2" s="1"/>
  <c r="AC41" i="2"/>
  <c r="AC62" i="2"/>
  <c r="S34" i="6" s="1"/>
  <c r="AD61" i="2"/>
  <c r="AE41" i="2"/>
  <c r="AE62" i="2"/>
  <c r="U34" i="6" s="1"/>
  <c r="S38" i="6" l="1"/>
  <c r="AD64" i="2"/>
  <c r="T48" i="6"/>
  <c r="T42" i="6"/>
  <c r="T45" i="6"/>
  <c r="AF41" i="2"/>
  <c r="AF61" i="2"/>
  <c r="U27" i="6"/>
  <c r="U29" i="6"/>
  <c r="U26" i="6" a="1"/>
  <c r="U26" i="6" s="1"/>
  <c r="U25" i="6" s="1"/>
  <c r="V32" i="6" a="1"/>
  <c r="V32" i="6" s="1"/>
  <c r="V35" i="6"/>
  <c r="V33" i="6"/>
  <c r="V27" i="6"/>
  <c r="V29" i="6"/>
  <c r="V26" i="6" a="1"/>
  <c r="V26" i="6" s="1"/>
  <c r="U35" i="6"/>
  <c r="U33" i="6"/>
  <c r="U32" i="6" a="1"/>
  <c r="U32" i="6" s="1"/>
  <c r="S35" i="6"/>
  <c r="S33" i="6"/>
  <c r="S32" i="6" a="1"/>
  <c r="S32" i="6" s="1"/>
  <c r="S31" i="6" s="1"/>
  <c r="S37" i="6" s="1"/>
  <c r="S40" i="6" s="1"/>
  <c r="S51" i="6" s="1"/>
  <c r="S52" i="6" s="1"/>
  <c r="AD41" i="2"/>
  <c r="AD62" i="2"/>
  <c r="T34" i="6" s="1"/>
  <c r="AC42" i="2"/>
  <c r="AC43" i="2" s="1"/>
  <c r="AC63" i="2" s="1"/>
  <c r="AE64" i="2" l="1"/>
  <c r="T38" i="6"/>
  <c r="U48" i="6"/>
  <c r="U42" i="6"/>
  <c r="U45" i="6"/>
  <c r="V25" i="6"/>
  <c r="V31" i="6" s="1"/>
  <c r="U31" i="6"/>
  <c r="T35" i="6"/>
  <c r="T33" i="6"/>
  <c r="T32" i="6" a="1"/>
  <c r="T32" i="6" s="1"/>
  <c r="T31" i="6" s="1"/>
  <c r="T37" i="6" s="1"/>
  <c r="T40" i="6" s="1"/>
  <c r="T51" i="6" s="1"/>
  <c r="T52" i="6" s="1"/>
  <c r="AD42" i="2"/>
  <c r="AD43" i="2" s="1"/>
  <c r="AD63" i="2" s="1"/>
  <c r="AF64" i="2" l="1"/>
  <c r="U38" i="6"/>
  <c r="U37" i="6" s="1"/>
  <c r="U40" i="6" s="1"/>
  <c r="U51" i="6" s="1"/>
  <c r="U52" i="6" s="1"/>
  <c r="AE42" i="2"/>
  <c r="AE43" i="2" s="1"/>
  <c r="AE63" i="2" s="1"/>
  <c r="V48" i="6"/>
  <c r="V42" i="6"/>
  <c r="V45" i="6"/>
  <c r="V38" i="6" l="1"/>
  <c r="V37" i="6" s="1"/>
  <c r="V40" i="6" s="1"/>
  <c r="V55" i="6" s="1"/>
  <c r="V56" i="6" s="1"/>
  <c r="AF42" i="2"/>
  <c r="AF43" i="2" s="1"/>
  <c r="AF63" i="2" s="1"/>
  <c r="V51" i="6" l="1"/>
  <c r="V52" i="6" s="1"/>
  <c r="V54" i="6" s="1"/>
  <c r="V57" i="6" s="1"/>
  <c r="V60" i="6" s="1"/>
  <c r="V62" i="6" s="1"/>
  <c r="J4" i="6" s="1"/>
  <c r="C69" i="6" l="1"/>
  <c r="J5" i="6"/>
  <c r="N6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N116" authorId="0" shapeId="0" xr:uid="{ED1FC5F7-3C64-480E-95FE-8F2F69DA3A2D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Increase in amount receivables in respect of the Quebec Class Action</t>
        </r>
      </text>
    </comment>
    <comment ref="O116" authorId="0" shapeId="0" xr:uid="{3719B623-9703-44C6-9593-4DBB01F875C6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Increase in amount receivables in respect of the Quebec Class Action
</t>
        </r>
      </text>
    </comment>
    <comment ref="Q116" authorId="0" shapeId="0" xr:uid="{5D86C013-7492-4AD7-8273-8915D93DCBE2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Decrease in receivables related to the charge in respect of the Quebec 436 -
Class Action</t>
        </r>
      </text>
    </comment>
    <comment ref="O129" authorId="0" shapeId="0" xr:uid="{EAC50067-D359-4F4C-AFE4-F00440DDDFE6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Acquistion of RAI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<sst xmlns="http://schemas.openxmlformats.org/spreadsheetml/2006/main" count="531" uniqueCount="391">
  <si>
    <t>IR</t>
  </si>
  <si>
    <t>Shares</t>
  </si>
  <si>
    <t>MC</t>
  </si>
  <si>
    <t xml:space="preserve">Cash </t>
  </si>
  <si>
    <t>Debt</t>
  </si>
  <si>
    <t>EV</t>
  </si>
  <si>
    <t>Main</t>
  </si>
  <si>
    <t>x</t>
  </si>
  <si>
    <t>FY18</t>
  </si>
  <si>
    <t>FY19</t>
  </si>
  <si>
    <t>FY20</t>
  </si>
  <si>
    <t>FY21</t>
  </si>
  <si>
    <t>FY22</t>
  </si>
  <si>
    <t>FY23</t>
  </si>
  <si>
    <t>FY24</t>
  </si>
  <si>
    <t>British American Tobacco</t>
  </si>
  <si>
    <t>H123</t>
  </si>
  <si>
    <t>H223</t>
  </si>
  <si>
    <t>H124</t>
  </si>
  <si>
    <t>H224</t>
  </si>
  <si>
    <t>TICKR</t>
  </si>
  <si>
    <t>Investors</t>
  </si>
  <si>
    <t>BTI</t>
  </si>
  <si>
    <t>Busines Model</t>
  </si>
  <si>
    <t>Price GBP</t>
  </si>
  <si>
    <t>in m GBP</t>
  </si>
  <si>
    <t>Revenue</t>
  </si>
  <si>
    <t>Cost of Materials</t>
  </si>
  <si>
    <t>Changes in inventories of finished goods</t>
  </si>
  <si>
    <t>Employee benefit cost</t>
  </si>
  <si>
    <t>D&amp;A</t>
  </si>
  <si>
    <t>Gross Profit</t>
  </si>
  <si>
    <t>Other Operating Income</t>
  </si>
  <si>
    <t>Loss on Impairment of Assets</t>
  </si>
  <si>
    <t>Other Operating Expenses</t>
  </si>
  <si>
    <t>Operating Profit</t>
  </si>
  <si>
    <t>Financial Result</t>
  </si>
  <si>
    <t>Post Tax Income of Asscociates/Joint Ventures</t>
  </si>
  <si>
    <t>Pretax Income</t>
  </si>
  <si>
    <t>Income Tax</t>
  </si>
  <si>
    <t>Net Income</t>
  </si>
  <si>
    <t>Non-Controlling Assets</t>
  </si>
  <si>
    <t>Net Income to Parent Company</t>
  </si>
  <si>
    <t>EPS</t>
  </si>
  <si>
    <t>Revenue Growth</t>
  </si>
  <si>
    <t>Gross Margin</t>
  </si>
  <si>
    <t>Opearting Margin</t>
  </si>
  <si>
    <t>Net Profit Margin</t>
  </si>
  <si>
    <t>Tax Rate</t>
  </si>
  <si>
    <t>Intangible Assets</t>
  </si>
  <si>
    <t>PP&amp;E</t>
  </si>
  <si>
    <t>Investments in Joint Ventures and Associates</t>
  </si>
  <si>
    <t>Retirment Benefit Assets</t>
  </si>
  <si>
    <t>Deffered Tax Assets</t>
  </si>
  <si>
    <t>Account Receivables</t>
  </si>
  <si>
    <t>Investment held at fair value</t>
  </si>
  <si>
    <t>Dereivative financial instruments</t>
  </si>
  <si>
    <t>Inventories</t>
  </si>
  <si>
    <t>Income tax and receivable</t>
  </si>
  <si>
    <t>Cash and Cash Equivalents</t>
  </si>
  <si>
    <t>Assets held for Sale</t>
  </si>
  <si>
    <t>Current Assets</t>
  </si>
  <si>
    <t>Total Assets</t>
  </si>
  <si>
    <t>Non Current Assets</t>
  </si>
  <si>
    <t>Share Capital</t>
  </si>
  <si>
    <t>Share Premium</t>
  </si>
  <si>
    <t>Other Reserves</t>
  </si>
  <si>
    <t>Retained Earnings</t>
  </si>
  <si>
    <t>Other</t>
  </si>
  <si>
    <t>Perpetual Hybrid Bonds</t>
  </si>
  <si>
    <t>Equity</t>
  </si>
  <si>
    <t>Borrowings</t>
  </si>
  <si>
    <t>Retirement Benefit Liabilities</t>
  </si>
  <si>
    <t>Deffered Tax Liabilties</t>
  </si>
  <si>
    <t>Other provisions for Liabilities</t>
  </si>
  <si>
    <t>Account Payables</t>
  </si>
  <si>
    <t>Non Current Liabilties</t>
  </si>
  <si>
    <t>Total Equity &amp; Liabilties</t>
  </si>
  <si>
    <t>Current Liabilties</t>
  </si>
  <si>
    <t>Assets held for sale</t>
  </si>
  <si>
    <t>Income from Operations</t>
  </si>
  <si>
    <t>D&amp;A and Impairment Cost</t>
  </si>
  <si>
    <t>Change in Inventories</t>
  </si>
  <si>
    <t>Change in Account Recievables</t>
  </si>
  <si>
    <t>Change Master Settlement Agreement Payable</t>
  </si>
  <si>
    <t>Change in Account Payables</t>
  </si>
  <si>
    <t>Change in in net retirement Liabilties</t>
  </si>
  <si>
    <t>Other Non Cash Items</t>
  </si>
  <si>
    <t>Change in WC</t>
  </si>
  <si>
    <t>CFFO</t>
  </si>
  <si>
    <t>Change in Provision Liabilties</t>
  </si>
  <si>
    <t>Interest Recieved</t>
  </si>
  <si>
    <t>CapEx</t>
  </si>
  <si>
    <t>Sale of PP&amp;E</t>
  </si>
  <si>
    <t>Purchase of Intangibles</t>
  </si>
  <si>
    <t>Sale of Intangibles</t>
  </si>
  <si>
    <t>Purchase of Investments</t>
  </si>
  <si>
    <t>Sale of Invetments</t>
  </si>
  <si>
    <t>Investment in Associates and other Subsidaries</t>
  </si>
  <si>
    <t>CFFI</t>
  </si>
  <si>
    <t>Interest element on Lease Liabilties</t>
  </si>
  <si>
    <t>Capital element on Lease Liabilties</t>
  </si>
  <si>
    <t>Issuance of Debt (Borrowings)</t>
  </si>
  <si>
    <t>Repayment of Borrowings</t>
  </si>
  <si>
    <t xml:space="preserve">Outflows related to Derivates </t>
  </si>
  <si>
    <t>Repurchase of Stock for Employee</t>
  </si>
  <si>
    <t>Coupon paid on perpetual hybrid Bond</t>
  </si>
  <si>
    <t>Dividends paid to owners</t>
  </si>
  <si>
    <t>Capital Injections from non controlling Interest</t>
  </si>
  <si>
    <t>Dividends paid to non controlling Interest</t>
  </si>
  <si>
    <t>CFFF</t>
  </si>
  <si>
    <t>Transferred Assets held for Sale</t>
  </si>
  <si>
    <t>Exchange Rates</t>
  </si>
  <si>
    <t>Change in Cash</t>
  </si>
  <si>
    <t>Tax Paid</t>
  </si>
  <si>
    <t>Dividends from Associates</t>
  </si>
  <si>
    <t>Issuance of perpetual hybrid Bond</t>
  </si>
  <si>
    <t>Segments</t>
  </si>
  <si>
    <t>Brands/Products</t>
  </si>
  <si>
    <t>Notes</t>
  </si>
  <si>
    <t>Ratios</t>
  </si>
  <si>
    <t>Average</t>
  </si>
  <si>
    <t>Median</t>
  </si>
  <si>
    <t>Return on Equity (ROE)</t>
  </si>
  <si>
    <t>Return on Capital Employed (ROCE)</t>
  </si>
  <si>
    <t>Return on Capital Invested (ROIC)</t>
  </si>
  <si>
    <t>Retention Rate</t>
  </si>
  <si>
    <t>Expected Growth</t>
  </si>
  <si>
    <t>Reinvestment Rate</t>
  </si>
  <si>
    <t>EK-Quote</t>
  </si>
  <si>
    <t>Gearing</t>
  </si>
  <si>
    <t>Interest Coverage Ratio</t>
  </si>
  <si>
    <t>Net Debt / EBITDA</t>
  </si>
  <si>
    <t>Goodwill-Anteil</t>
  </si>
  <si>
    <t>Debitorenlaufzeit</t>
  </si>
  <si>
    <t>Kreditorenlaufzeit</t>
  </si>
  <si>
    <t>Vorratsintensität</t>
  </si>
  <si>
    <t>Umschlaghäufigkeit der Vorräte</t>
  </si>
  <si>
    <t>Lagedauer</t>
  </si>
  <si>
    <t>Cash Conversion Cycle</t>
  </si>
  <si>
    <t>Price</t>
  </si>
  <si>
    <t>Market Cap</t>
  </si>
  <si>
    <t>Net Debt</t>
  </si>
  <si>
    <t>P/E Ratio</t>
  </si>
  <si>
    <t>PEG Ratio</t>
  </si>
  <si>
    <t>P/B Ratio</t>
  </si>
  <si>
    <t>EV/EBITDA</t>
  </si>
  <si>
    <t>EV/EBIT</t>
  </si>
  <si>
    <t>EV/FCF</t>
  </si>
  <si>
    <t>EV/Sales</t>
  </si>
  <si>
    <t>Ticker</t>
  </si>
  <si>
    <t>Share Price</t>
  </si>
  <si>
    <t>Date</t>
  </si>
  <si>
    <t>Fair Share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</si>
  <si>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</si>
  <si>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</si>
  <si>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</si>
  <si>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</si>
  <si>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</si>
  <si>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</si>
  <si>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</si>
  <si>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</si>
  <si>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</si>
  <si>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</si>
  <si>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</si>
  <si>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</si>
  <si>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WACC</t>
  </si>
  <si>
    <t>TGR</t>
  </si>
  <si>
    <t>Valuation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</si>
  <si>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</si>
  <si>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</si>
  <si>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</si>
  <si>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</si>
  <si>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</si>
  <si>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</si>
  <si>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</si>
  <si>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</si>
  <si>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Unlevered Free Cashflow</t>
  </si>
  <si>
    <t>Present Value of unlevered FC</t>
  </si>
  <si>
    <t>Discount Period</t>
  </si>
  <si>
    <t>Sum of Present Value</t>
  </si>
  <si>
    <t>Terminal Value</t>
  </si>
  <si>
    <t>Present Value of TV</t>
  </si>
  <si>
    <t>Enterprise Value</t>
  </si>
  <si>
    <t>Equity Value</t>
  </si>
  <si>
    <t xml:space="preserve">Number of Shares </t>
  </si>
  <si>
    <t>Sensitivity Analysis</t>
  </si>
  <si>
    <t>British American Tobacco DCF</t>
  </si>
  <si>
    <t>Smoke-Free</t>
  </si>
  <si>
    <t>Vapors</t>
  </si>
  <si>
    <t>HP-Sticks</t>
  </si>
  <si>
    <t>Combustibles</t>
  </si>
  <si>
    <t>Cigarettes</t>
  </si>
  <si>
    <t>Vapours</t>
  </si>
  <si>
    <t>Modern Oral</t>
  </si>
  <si>
    <t>Traditional Oral</t>
  </si>
  <si>
    <t>Total Combustibles</t>
  </si>
  <si>
    <t>THP</t>
  </si>
  <si>
    <t>Vapours Growth</t>
  </si>
  <si>
    <t>THP Growth</t>
  </si>
  <si>
    <t>Modern Oral Growth</t>
  </si>
  <si>
    <t>Traditional Oral Growth</t>
  </si>
  <si>
    <t>Total Combustibles Growth</t>
  </si>
  <si>
    <t>Other Growth</t>
  </si>
  <si>
    <t>Camel, Dunhill, Kent, Lucky Strike, Pall Mall, Rothmans, Newport, American Spirit</t>
  </si>
  <si>
    <t>Local Tobacco Brands like Vogue, Viceroy etc</t>
  </si>
  <si>
    <t>Glo -&gt; handheld device with lithium-ion battery -&gt; powers a heating chamber</t>
  </si>
  <si>
    <t>Grizzly -&gt; Snuff Tobacco</t>
  </si>
  <si>
    <t>Founded 1902</t>
  </si>
  <si>
    <t>BTI Bond US05526DAZ87</t>
  </si>
  <si>
    <t xml:space="preserve">3,22% Coupon </t>
  </si>
  <si>
    <t>Events</t>
  </si>
  <si>
    <t>2024 FDA Authorization of Vuse Alto Device</t>
  </si>
  <si>
    <t>Volume in bn</t>
  </si>
  <si>
    <t>Global Volume exp. To be down 2% 2024</t>
  </si>
  <si>
    <t>FY23 Amortization and Impairment Charge of 23,202 Bn GBP</t>
  </si>
  <si>
    <t>n.a.</t>
  </si>
  <si>
    <t>-&gt; Due to Acquistion of Reinolds 2017</t>
  </si>
  <si>
    <t>In 2017 Acqusition of Reneyolds for 41,8 bil GBP</t>
  </si>
  <si>
    <t>Revenue down H124 due to:</t>
  </si>
  <si>
    <t>Sale of Group businesses in Belarus and Russia (385 Million Revenue)</t>
  </si>
  <si>
    <t>Lower Organic Combustible Volume</t>
  </si>
  <si>
    <t>Foreign Currency Exchange effects of 4,5%</t>
  </si>
  <si>
    <t>Total Smokers</t>
  </si>
  <si>
    <t>Total Smokefree</t>
  </si>
  <si>
    <t>FY25</t>
  </si>
  <si>
    <t>FY26</t>
  </si>
  <si>
    <t>FY27</t>
  </si>
  <si>
    <t>FY29</t>
  </si>
  <si>
    <t>FY28</t>
  </si>
  <si>
    <t>FY30</t>
  </si>
  <si>
    <t>FY31</t>
  </si>
  <si>
    <t>FY32</t>
  </si>
  <si>
    <t>FY33</t>
  </si>
  <si>
    <t>Total</t>
  </si>
  <si>
    <t>Population</t>
  </si>
  <si>
    <t>Smokefree Customers</t>
  </si>
  <si>
    <t>Revenue per Costumer</t>
  </si>
  <si>
    <t>Smoke Free</t>
  </si>
  <si>
    <t>Dividend Yield</t>
  </si>
  <si>
    <t>Chart</t>
  </si>
  <si>
    <t>BAT</t>
  </si>
  <si>
    <t>U.S.</t>
  </si>
  <si>
    <t>AME</t>
  </si>
  <si>
    <t>APMEA</t>
  </si>
  <si>
    <t>Region</t>
  </si>
  <si>
    <t>% of NI</t>
  </si>
  <si>
    <t>Market Share</t>
  </si>
  <si>
    <t>GBP/EUR</t>
  </si>
  <si>
    <t>GBP/USD</t>
  </si>
  <si>
    <t>SWOT Analysis</t>
  </si>
  <si>
    <t>Strength</t>
  </si>
  <si>
    <t>Weakness</t>
  </si>
  <si>
    <t>Opportunities</t>
  </si>
  <si>
    <t>Threats</t>
  </si>
  <si>
    <t>5. Forces Model</t>
  </si>
  <si>
    <t>Management</t>
  </si>
  <si>
    <t>CEO</t>
  </si>
  <si>
    <t>CFO</t>
  </si>
  <si>
    <t>Tadeu Marroco</t>
  </si>
  <si>
    <t>Soraya Benchikh</t>
  </si>
  <si>
    <t>Legal Director</t>
  </si>
  <si>
    <t>Jerome Abelman</t>
  </si>
  <si>
    <t>James Barret</t>
  </si>
  <si>
    <t>Luaciano Comin</t>
  </si>
  <si>
    <t>Regional Director</t>
  </si>
  <si>
    <t>Miachael Dijanosic</t>
  </si>
  <si>
    <t>Javed Iqbal</t>
  </si>
  <si>
    <t>Zafar Khan</t>
  </si>
  <si>
    <t>CPO</t>
  </si>
  <si>
    <t>Dr. Cora Koppen-Stahrenberg</t>
  </si>
  <si>
    <t>Paul McCrory</t>
  </si>
  <si>
    <t>Fred Monteiro</t>
  </si>
  <si>
    <t>Research a. Science</t>
  </si>
  <si>
    <t>Dr James Murphy</t>
  </si>
  <si>
    <t>COO</t>
  </si>
  <si>
    <t>Johan Vandermeulen</t>
  </si>
  <si>
    <t>Ceo Reynolds</t>
  </si>
  <si>
    <t>David Waterfield</t>
  </si>
  <si>
    <t>Kingsley Wheaton</t>
  </si>
  <si>
    <t>Corporate Director</t>
  </si>
  <si>
    <t>Operations Director</t>
  </si>
  <si>
    <t>Digital Director</t>
  </si>
  <si>
    <t>Marketing Director</t>
  </si>
  <si>
    <t>Business Develop.</t>
  </si>
  <si>
    <t>1. Competity Rivaliry</t>
  </si>
  <si>
    <t>2. Threat of New Entrants</t>
  </si>
  <si>
    <t>3. Bargain Power of Supplier</t>
  </si>
  <si>
    <t>4. Bargain Power of Costumers</t>
  </si>
  <si>
    <t>5. Threat of  Substitutes</t>
  </si>
  <si>
    <t>Only real Threat is Phil Morris</t>
  </si>
  <si>
    <t>No real threat -&gt; very consolidated market -&gt; High Moats due to Regulatory</t>
  </si>
  <si>
    <t>Very low, Cigarrete Prices have been rising for years</t>
  </si>
  <si>
    <t xml:space="preserve">Elfbar Vapes (illegal), Decling TAM </t>
  </si>
  <si>
    <t>Smokefree Products</t>
  </si>
  <si>
    <t>battery powered Devices that heat a e-liquid to produce an inhalble aerosol</t>
  </si>
  <si>
    <t>E-Liquid usually contains nicotine origanilly derived from Tobacco -&gt; there is no Tobacco in Vapours products</t>
  </si>
  <si>
    <t>The Atomiser - the part that produces the vapour - contains a littel electric heater combined wiht a wick</t>
  </si>
  <si>
    <t xml:space="preserve">made from absorbant materials such as glass fibre, cotton or ceramic </t>
  </si>
  <si>
    <t>E-Liquid is drawn in the wick a tank -&gt; heated to a form of vapour when the costumers puffs on the product</t>
  </si>
  <si>
    <t>Classified in open and closed systems</t>
  </si>
  <si>
    <t>Open systems can be costumized -&gt; using a refillable tank -&gt; Costumers can choose from a wide range of e-liquids</t>
  </si>
  <si>
    <t>Closed systems work with disposable pre-filled with e-liquid</t>
  </si>
  <si>
    <t>Closed sytems products Vuse e-Pod and Vuse e-Pen 3</t>
  </si>
  <si>
    <t>Scientific Evidence:</t>
  </si>
  <si>
    <t>Products:</t>
  </si>
  <si>
    <t xml:space="preserve">6,3% of Brittish population are now vaping </t>
  </si>
  <si>
    <t>Smoking level has dropped to 14,3%</t>
  </si>
  <si>
    <t>In 2023 studies to BAT vapours in journal of Internal and Emergency Medicine</t>
  </si>
  <si>
    <t>Vapour user had favorauble differences in biomarkers of exposure (boe) and biomarkers of potential harm (boph) compared to smokers</t>
  </si>
  <si>
    <t>Nicotine</t>
  </si>
  <si>
    <t>Toxicants that are produced while tobacco is burned is way more harmful than nicotine</t>
  </si>
  <si>
    <t>Belongs to the family of alkaloids and occurs naturally in a variety of plants as a neurotxin (tomatoes, potatoes, highest concentration on tobacco)</t>
  </si>
  <si>
    <t>Nicotine can cause acute increase in heart rate and blood pressure, a low dosis is not dangerous</t>
  </si>
  <si>
    <t>Consuming Nicotine doesnt cause harm, but is addicitive (pure nocotine is not very addictive)</t>
  </si>
  <si>
    <t>Cash EoY</t>
  </si>
  <si>
    <t>Cash BoY</t>
  </si>
  <si>
    <t>Low According to Creditors Metric</t>
  </si>
  <si>
    <t>Category</t>
  </si>
  <si>
    <t>Cashcow</t>
  </si>
  <si>
    <t>Oral Tobacco</t>
  </si>
  <si>
    <t>Heatstick</t>
  </si>
  <si>
    <t>Vuse -&gt; Biggest Vape Brand globally -&gt; 35,9% Market Share 11,5 mio Customers</t>
  </si>
  <si>
    <t>Velo -&gt; Gloabl leading Brand Snooze 3,3 Mio Customers</t>
  </si>
  <si>
    <t xml:space="preserve">VC investements 25 (3 exits) </t>
  </si>
  <si>
    <t>-Beyond Tobacco since 2020 -&gt; Brand Ryde</t>
  </si>
  <si>
    <t>CBD or coffeine instead of nicotine for vapours</t>
  </si>
  <si>
    <t>Brands:</t>
  </si>
  <si>
    <t>Dunhill, Kent, Lucky Strike, Pall Mall, Rothmans</t>
  </si>
  <si>
    <t>US:</t>
  </si>
  <si>
    <t>Camel, American Spirit, Newport</t>
  </si>
  <si>
    <t>International and local cigarette brands -&gt; not part of portfolio</t>
  </si>
  <si>
    <t>Vogue, Viceroy, Kool, Peter Stuyvesant, Craven A, State Express 555, Shuang Xi</t>
  </si>
  <si>
    <t>Components:</t>
  </si>
  <si>
    <t xml:space="preserve">Tobacco rod, Cigarette paper, tipping paper, filter </t>
  </si>
  <si>
    <t>46.000 Employees</t>
  </si>
  <si>
    <t>FY17</t>
  </si>
  <si>
    <t>FY16</t>
  </si>
  <si>
    <t>FY15</t>
  </si>
  <si>
    <t>FY14</t>
  </si>
  <si>
    <t>Repurchase of Common Stock</t>
  </si>
  <si>
    <t>Efficieny</t>
  </si>
  <si>
    <t>Financial Stability</t>
  </si>
  <si>
    <t>WC Management</t>
  </si>
  <si>
    <t>Multiples</t>
  </si>
  <si>
    <t>Equity-Multiples</t>
  </si>
  <si>
    <t>Entity-Multiples</t>
  </si>
  <si>
    <t>n.a</t>
  </si>
  <si>
    <t>CCO</t>
  </si>
  <si>
    <t>17/09/24 -&gt; Kingsley Wheaton new role as Chief Corporate( former officer Chief Strategy and Growth officer)</t>
  </si>
  <si>
    <t>His role is to push Tobacco Harm Reduction agenda</t>
  </si>
  <si>
    <t>3 November next Dividend</t>
  </si>
  <si>
    <t>8,6 Billion Tones Market Size in 2023</t>
  </si>
  <si>
    <t>9,7 Billion until 2032</t>
  </si>
  <si>
    <t>-&gt; 1,3% CAGR</t>
  </si>
  <si>
    <t>Total Industry (in billions)</t>
  </si>
  <si>
    <t>Innovation Partnership with BYD and Smol</t>
  </si>
  <si>
    <t>16/10/2024: 3 new Innovationscenters in Southhampton and China</t>
  </si>
  <si>
    <t>US Revenue</t>
  </si>
  <si>
    <t>AME Revenue</t>
  </si>
  <si>
    <t>Sale of Subsidaries &amp; share in associate</t>
  </si>
  <si>
    <t>Interest paid on Borrowings</t>
  </si>
  <si>
    <t>H125</t>
  </si>
  <si>
    <t>H225</t>
  </si>
  <si>
    <t>US Growth</t>
  </si>
  <si>
    <t>EMA Growth</t>
  </si>
  <si>
    <t>APMEA Revenue</t>
  </si>
  <si>
    <t>APMEA Growth</t>
  </si>
  <si>
    <t>Scneario DCF Price</t>
  </si>
  <si>
    <t>Implied Share Price</t>
  </si>
  <si>
    <t>Probability</t>
  </si>
  <si>
    <t>ROIC</t>
  </si>
  <si>
    <t>Implied Share Price * p</t>
  </si>
  <si>
    <t>RONIC</t>
  </si>
  <si>
    <t>D&amp;A and other non-cash Expenses</t>
  </si>
  <si>
    <t>=&gt; CV(t) = NOPAT(t+1)*(1-g/RONIC)/(WACC - g) =&gt; equal pertuity formula: CV = FCF*(1+g) /(WACC-g)</t>
  </si>
  <si>
    <t>(+) Cash and other non-operating assets</t>
  </si>
  <si>
    <t>(-) Debt and other non-equity claims</t>
  </si>
  <si>
    <t>ROINC</t>
  </si>
  <si>
    <t>FY34</t>
  </si>
  <si>
    <t>Guidance for FY25: 1% Revenue Growth</t>
  </si>
  <si>
    <t>CAGR for nicotine value growth 2024-2035: 4,6%</t>
  </si>
  <si>
    <t>2026: 3-6% revenue Growth</t>
  </si>
  <si>
    <t>Price USD</t>
  </si>
  <si>
    <t>% of Rev</t>
  </si>
  <si>
    <t>27-05-25: Sale of stake in ITC -&gt; 313 million shares for ca. 1.5 billion USD -&gt; no impact on guidance</t>
  </si>
  <si>
    <t>BATS.L</t>
  </si>
  <si>
    <t>03-06-25: H1 on track to slightly beat expectations -&gt; around 1-2% rev growth</t>
  </si>
  <si>
    <t>Q425</t>
  </si>
  <si>
    <t>H126</t>
  </si>
  <si>
    <t>H226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</si>
</sst>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;\(#,##0.0\)"/>
    <numFmt numFmtId="165" formatCode="&quot;FY&quot;0"/>
    <numFmt numFmtId="166" formatCode="#,##0.0;[Red]#,##0.0"/>
    <numFmt numFmtId="167" formatCode="0.0%"/>
    <numFmt numFmtId="168" formatCode="&quot;FY&quot;0&quot;A&quot;"/>
    <numFmt numFmtId="169" formatCode="0.0"/>
    <numFmt numFmtId="170" formatCode="#,##0;\(#,##0\)"/>
    <numFmt numFmtId="171" formatCode="#,##0.00;\(#,##0.00\)"/>
    <numFmt numFmtId="172" formatCode="#,##0;[Red]#,##0"/>
    <numFmt numFmtId="173" formatCode="#,##0.0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10">
    <xf numFmtId="0" fontId="0" fillId="0" borderId="0" xfId="0"/>
    <xf numFmtId="0" fontId="9" fillId="0" borderId="0" xfId="0" applyFont="1"/>
    <xf numFmtId="0" fontId="3" fillId="0" borderId="0" xfId="0" applyFont="1"/>
    <xf numFmtId="164" fontId="3" fillId="0" borderId="0" xfId="0" applyNumberFormat="1" applyFont="1"/>
    <xf numFmtId="16" fontId="3" fillId="0" borderId="0" xfId="0" applyNumberFormat="1" applyFont="1"/>
    <xf numFmtId="170" fontId="3" fillId="0" borderId="0" xfId="0" applyNumberFormat="1" applyFont="1"/>
    <xf numFmtId="0" fontId="3" fillId="0" borderId="0" xfId="0" applyFont="1" applyAlignment="1">
      <alignment horizontal="right"/>
    </xf>
    <xf numFmtId="0" fontId="11" fillId="0" borderId="0" xfId="1" applyFont="1"/>
    <xf numFmtId="0" fontId="9" fillId="0" borderId="0" xfId="0" applyFont="1" applyAlignment="1">
      <alignment horizontal="center"/>
    </xf>
    <xf numFmtId="0" fontId="12" fillId="0" borderId="0" xfId="0" applyFont="1"/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9" fontId="9" fillId="0" borderId="5" xfId="0" applyNumberFormat="1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9" fontId="3" fillId="0" borderId="0" xfId="0" applyNumberFormat="1" applyFont="1"/>
    <xf numFmtId="0" fontId="3" fillId="0" borderId="8" xfId="0" applyFont="1" applyBorder="1"/>
    <xf numFmtId="0" fontId="12" fillId="0" borderId="7" xfId="0" applyFont="1" applyBorder="1"/>
    <xf numFmtId="9" fontId="9" fillId="0" borderId="0" xfId="0" applyNumberFormat="1" applyFont="1"/>
    <xf numFmtId="0" fontId="3" fillId="0" borderId="9" xfId="0" applyFont="1" applyBorder="1"/>
    <xf numFmtId="9" fontId="3" fillId="0" borderId="10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9" fillId="0" borderId="1" xfId="0" applyFont="1" applyBorder="1"/>
    <xf numFmtId="0" fontId="3" fillId="0" borderId="3" xfId="0" applyFont="1" applyBorder="1"/>
    <xf numFmtId="0" fontId="3" fillId="0" borderId="4" xfId="0" applyFont="1" applyBorder="1"/>
    <xf numFmtId="9" fontId="3" fillId="0" borderId="6" xfId="2" applyFont="1" applyBorder="1"/>
    <xf numFmtId="9" fontId="3" fillId="0" borderId="8" xfId="2" applyFont="1" applyBorder="1"/>
    <xf numFmtId="9" fontId="3" fillId="0" borderId="11" xfId="2" applyFont="1" applyBorder="1"/>
    <xf numFmtId="0" fontId="9" fillId="0" borderId="9" xfId="0" applyFont="1" applyBorder="1"/>
    <xf numFmtId="9" fontId="9" fillId="0" borderId="11" xfId="0" applyNumberFormat="1" applyFont="1" applyBorder="1"/>
    <xf numFmtId="0" fontId="3" fillId="0" borderId="0" xfId="0" applyFont="1" applyAlignment="1">
      <alignment horizontal="center"/>
    </xf>
    <xf numFmtId="0" fontId="3" fillId="0" borderId="0" xfId="0" quotePrefix="1" applyFont="1"/>
    <xf numFmtId="0" fontId="13" fillId="0" borderId="0" xfId="0" applyFont="1"/>
    <xf numFmtId="170" fontId="3" fillId="0" borderId="0" xfId="0" applyNumberFormat="1" applyFont="1" applyAlignment="1">
      <alignment horizontal="right"/>
    </xf>
    <xf numFmtId="170" fontId="3" fillId="0" borderId="0" xfId="2" applyNumberFormat="1" applyFont="1"/>
    <xf numFmtId="164" fontId="3" fillId="0" borderId="0" xfId="0" applyNumberFormat="1" applyFont="1" applyAlignment="1">
      <alignment horizontal="right"/>
    </xf>
    <xf numFmtId="164" fontId="9" fillId="0" borderId="0" xfId="0" applyNumberFormat="1" applyFont="1"/>
    <xf numFmtId="170" fontId="9" fillId="0" borderId="0" xfId="0" applyNumberFormat="1" applyFont="1"/>
    <xf numFmtId="170" fontId="9" fillId="0" borderId="0" xfId="0" applyNumberFormat="1" applyFont="1" applyAlignment="1">
      <alignment horizontal="right"/>
    </xf>
    <xf numFmtId="171" fontId="3" fillId="0" borderId="0" xfId="0" applyNumberFormat="1" applyFont="1"/>
    <xf numFmtId="9" fontId="3" fillId="0" borderId="0" xfId="2" applyFont="1"/>
    <xf numFmtId="9" fontId="3" fillId="0" borderId="0" xfId="2" applyFont="1" applyAlignment="1">
      <alignment horizontal="right"/>
    </xf>
    <xf numFmtId="9" fontId="9" fillId="0" borderId="0" xfId="2" applyFont="1"/>
    <xf numFmtId="165" fontId="3" fillId="0" borderId="0" xfId="0" applyNumberFormat="1" applyFont="1" applyAlignment="1">
      <alignment horizontal="right"/>
    </xf>
    <xf numFmtId="2" fontId="3" fillId="0" borderId="0" xfId="2" applyNumberFormat="1" applyFont="1"/>
    <xf numFmtId="169" fontId="3" fillId="0" borderId="0" xfId="0" applyNumberFormat="1" applyFont="1"/>
    <xf numFmtId="2" fontId="3" fillId="0" borderId="0" xfId="0" applyNumberFormat="1" applyFont="1"/>
    <xf numFmtId="166" fontId="3" fillId="0" borderId="0" xfId="0" applyNumberFormat="1" applyFont="1"/>
    <xf numFmtId="172" fontId="3" fillId="0" borderId="0" xfId="0" applyNumberFormat="1" applyFont="1"/>
    <xf numFmtId="169" fontId="3" fillId="0" borderId="0" xfId="0" applyNumberFormat="1" applyFont="1" applyAlignment="1">
      <alignment horizontal="right"/>
    </xf>
    <xf numFmtId="167" fontId="3" fillId="0" borderId="0" xfId="2" applyNumberFormat="1" applyFont="1"/>
    <xf numFmtId="167" fontId="3" fillId="0" borderId="0" xfId="0" applyNumberFormat="1" applyFont="1"/>
    <xf numFmtId="0" fontId="11" fillId="0" borderId="10" xfId="1" applyFont="1" applyBorder="1"/>
    <xf numFmtId="0" fontId="9" fillId="0" borderId="10" xfId="0" applyFont="1" applyBorder="1"/>
    <xf numFmtId="0" fontId="3" fillId="0" borderId="12" xfId="0" applyFont="1" applyBorder="1"/>
    <xf numFmtId="0" fontId="3" fillId="2" borderId="13" xfId="0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center"/>
    </xf>
    <xf numFmtId="2" fontId="3" fillId="2" borderId="13" xfId="0" applyNumberFormat="1" applyFont="1" applyFill="1" applyBorder="1" applyAlignment="1">
      <alignment horizontal="center"/>
    </xf>
    <xf numFmtId="173" fontId="3" fillId="2" borderId="14" xfId="2" applyNumberFormat="1" applyFont="1" applyFill="1" applyBorder="1" applyAlignment="1">
      <alignment horizontal="center"/>
    </xf>
    <xf numFmtId="14" fontId="3" fillId="2" borderId="14" xfId="0" applyNumberFormat="1" applyFont="1" applyFill="1" applyBorder="1" applyAlignment="1">
      <alignment horizontal="center"/>
    </xf>
    <xf numFmtId="9" fontId="3" fillId="2" borderId="14" xfId="2" applyFont="1" applyFill="1" applyBorder="1" applyAlignment="1">
      <alignment horizontal="center"/>
    </xf>
    <xf numFmtId="0" fontId="8" fillId="3" borderId="0" xfId="0" applyFont="1" applyFill="1"/>
    <xf numFmtId="0" fontId="8" fillId="4" borderId="0" xfId="0" applyFont="1" applyFill="1"/>
    <xf numFmtId="0" fontId="10" fillId="4" borderId="0" xfId="0" applyFont="1" applyFill="1"/>
    <xf numFmtId="0" fontId="3" fillId="2" borderId="14" xfId="0" applyFont="1" applyFill="1" applyBorder="1" applyAlignment="1">
      <alignment horizontal="center"/>
    </xf>
    <xf numFmtId="167" fontId="3" fillId="2" borderId="14" xfId="2" applyNumberFormat="1" applyFont="1" applyFill="1" applyBorder="1" applyAlignment="1">
      <alignment horizontal="center"/>
    </xf>
    <xf numFmtId="168" fontId="8" fillId="3" borderId="0" xfId="0" applyNumberFormat="1" applyFont="1" applyFill="1"/>
    <xf numFmtId="0" fontId="14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14" fillId="0" borderId="0" xfId="0" applyFont="1"/>
    <xf numFmtId="9" fontId="14" fillId="0" borderId="0" xfId="2" applyFont="1"/>
    <xf numFmtId="167" fontId="3" fillId="2" borderId="14" xfId="2" applyNumberFormat="1" applyFont="1" applyFill="1" applyBorder="1" applyAlignment="1">
      <alignment horizontal="right"/>
    </xf>
    <xf numFmtId="0" fontId="9" fillId="5" borderId="1" xfId="0" applyFont="1" applyFill="1" applyBorder="1"/>
    <xf numFmtId="0" fontId="9" fillId="5" borderId="2" xfId="0" applyFont="1" applyFill="1" applyBorder="1"/>
    <xf numFmtId="170" fontId="9" fillId="5" borderId="2" xfId="0" applyNumberFormat="1" applyFont="1" applyFill="1" applyBorder="1"/>
    <xf numFmtId="170" fontId="9" fillId="5" borderId="3" xfId="0" applyNumberFormat="1" applyFont="1" applyFill="1" applyBorder="1"/>
    <xf numFmtId="167" fontId="14" fillId="0" borderId="0" xfId="2" applyNumberFormat="1" applyFont="1"/>
    <xf numFmtId="167" fontId="14" fillId="0" borderId="0" xfId="0" applyNumberFormat="1" applyFont="1"/>
    <xf numFmtId="166" fontId="9" fillId="5" borderId="4" xfId="0" applyNumberFormat="1" applyFont="1" applyFill="1" applyBorder="1"/>
    <xf numFmtId="166" fontId="9" fillId="5" borderId="5" xfId="0" applyNumberFormat="1" applyFont="1" applyFill="1" applyBorder="1"/>
    <xf numFmtId="170" fontId="9" fillId="5" borderId="5" xfId="0" applyNumberFormat="1" applyFont="1" applyFill="1" applyBorder="1"/>
    <xf numFmtId="170" fontId="9" fillId="5" borderId="6" xfId="0" applyNumberFormat="1" applyFont="1" applyFill="1" applyBorder="1"/>
    <xf numFmtId="166" fontId="9" fillId="5" borderId="9" xfId="0" applyNumberFormat="1" applyFont="1" applyFill="1" applyBorder="1"/>
    <xf numFmtId="166" fontId="9" fillId="5" borderId="10" xfId="0" applyNumberFormat="1" applyFont="1" applyFill="1" applyBorder="1"/>
    <xf numFmtId="170" fontId="9" fillId="5" borderId="10" xfId="0" applyNumberFormat="1" applyFont="1" applyFill="1" applyBorder="1"/>
    <xf numFmtId="170" fontId="9" fillId="5" borderId="11" xfId="0" applyNumberFormat="1" applyFont="1" applyFill="1" applyBorder="1"/>
    <xf numFmtId="166" fontId="3" fillId="0" borderId="10" xfId="0" applyNumberFormat="1" applyFont="1" applyBorder="1"/>
    <xf numFmtId="166" fontId="3" fillId="0" borderId="10" xfId="0" applyNumberFormat="1" applyFont="1" applyBorder="1" applyAlignment="1">
      <alignment horizontal="right"/>
    </xf>
    <xf numFmtId="0" fontId="3" fillId="0" borderId="2" xfId="0" applyFont="1" applyBorder="1"/>
    <xf numFmtId="166" fontId="3" fillId="0" borderId="2" xfId="0" applyNumberFormat="1" applyFont="1" applyBorder="1"/>
    <xf numFmtId="166" fontId="3" fillId="0" borderId="2" xfId="0" applyNumberFormat="1" applyFont="1" applyBorder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6" borderId="4" xfId="0" applyFont="1" applyFill="1" applyBorder="1"/>
    <xf numFmtId="2" fontId="15" fillId="6" borderId="5" xfId="0" applyNumberFormat="1" applyFont="1" applyFill="1" applyBorder="1"/>
    <xf numFmtId="167" fontId="8" fillId="6" borderId="5" xfId="0" applyNumberFormat="1" applyFont="1" applyFill="1" applyBorder="1"/>
    <xf numFmtId="167" fontId="8" fillId="6" borderId="0" xfId="0" applyNumberFormat="1" applyFont="1" applyFill="1"/>
    <xf numFmtId="169" fontId="9" fillId="0" borderId="0" xfId="0" applyNumberFormat="1" applyFont="1"/>
    <xf numFmtId="0" fontId="2" fillId="0" borderId="0" xfId="0" applyFont="1" applyAlignment="1">
      <alignment horizontal="right"/>
    </xf>
    <xf numFmtId="170" fontId="2" fillId="0" borderId="0" xfId="0" applyNumberFormat="1" applyFont="1"/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 vertical="center" textRotation="90"/>
    </xf>
    <xf numFmtId="0" fontId="9" fillId="6" borderId="16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88231</xdr:colOff>
      <xdr:row>2</xdr:row>
      <xdr:rowOff>0</xdr:rowOff>
    </xdr:from>
    <xdr:to>
      <xdr:col>26</xdr:col>
      <xdr:colOff>170448</xdr:colOff>
      <xdr:row>30</xdr:row>
      <xdr:rowOff>128254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11599-35EF-4BE9-7713-FBA089C73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442" y="381000"/>
          <a:ext cx="6809874" cy="4620044"/>
        </a:xfrm>
        <a:prstGeom prst="rect">
          <a:avLst/>
        </a:prstGeom>
      </xdr:spPr>
    </xdr:pic>
    <xdr:clientData/>
  </xdr:twoCellAnchor>
  <xdr:twoCellAnchor editAs="oneCell">
    <xdr:from>
      <xdr:col>9</xdr:col>
      <xdr:colOff>457867</xdr:colOff>
      <xdr:row>32</xdr:row>
      <xdr:rowOff>90238</xdr:rowOff>
    </xdr:from>
    <xdr:to>
      <xdr:col>17</xdr:col>
      <xdr:colOff>541421</xdr:colOff>
      <xdr:row>73</xdr:row>
      <xdr:rowOff>145433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670EB8-FA73-AE5C-4F63-1E21B70D1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446" y="6186238"/>
          <a:ext cx="4976396" cy="6632458"/>
        </a:xfrm>
        <a:prstGeom prst="rect">
          <a:avLst/>
        </a:prstGeom>
      </xdr:spPr>
    </xdr:pic>
    <xdr:clientData/>
  </xdr:twoCellAnchor>
  <xdr:twoCellAnchor editAs="oneCell">
    <xdr:from>
      <xdr:col>18</xdr:col>
      <xdr:colOff>70184</xdr:colOff>
      <xdr:row>32</xdr:row>
      <xdr:rowOff>30080</xdr:rowOff>
    </xdr:from>
    <xdr:to>
      <xdr:col>26</xdr:col>
      <xdr:colOff>330868</xdr:colOff>
      <xdr:row>72</xdr:row>
      <xdr:rowOff>64642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C3A1EC-2C3D-0660-14BB-1D0C3E92F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8210" y="6126080"/>
          <a:ext cx="5153526" cy="64514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587354</xdr:colOff>
      <xdr:row>0</xdr:row>
      <xdr:rowOff>73025</xdr:rowOff>
    </xdr:from>
    <xdr:to>
      <xdr:col>8</xdr:col>
      <xdr:colOff>3154</xdr:colOff>
      <xdr:row>64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8824634-EA6E-C7AC-37E2-D8E0F09CB4F8}"/>
            </a:ext>
          </a:extLst>
        </xdr:cNvPr>
        <xdr:cNvCxnSpPr/>
      </xdr:nvCxnSpPr>
      <xdr:spPr>
        <a:xfrm flipH="1">
          <a:off x="6511904" y="73025"/>
          <a:ext cx="25400" cy="10309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0</xdr:row>
      <xdr:rowOff>133351</xdr:rowOff>
    </xdr:from>
    <xdr:to>
      <xdr:col>23</xdr:col>
      <xdr:colOff>12700</xdr:colOff>
      <xdr:row>64</xdr:row>
      <xdr:rowOff>128588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2571A8B-009A-4FA6-9CAB-4D97D2A9CF6E}"/>
            </a:ext>
          </a:extLst>
        </xdr:cNvPr>
        <xdr:cNvCxnSpPr/>
      </xdr:nvCxnSpPr>
      <xdr:spPr>
        <a:xfrm flipH="1">
          <a:off x="14382750" y="133351"/>
          <a:ext cx="12700" cy="103584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nance.yahoo.com/quote/BATS.L/" TargetMode="External"/><Relationship Id="rId1" Type="http://schemas.openxmlformats.org/officeDocument/2006/relationships/hyperlink" Target="https://www.bat.com/investors-and-report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225F-ECB2-4048-8E18-3B54811707AA}">
  <dimension ref="A1:I57"/>
  <sheetViews>
    <sheetView topLeftCell="E1" zoomScale="200" zoomScaleNormal="200" workbookViewId="0">
      <selection activeCell="H4" sqref="H4"/>
    </sheetView>
  </sheetViews>
  <sheetFormatPr defaultRowHeight="12.75" x14ac:dyDescent="0.2"/>
  <cols>
    <col min="1" max="1" width="4.140625" style="2" customWidth="1"/>
    <col min="2" max="2" width="23.28515625" style="2" customWidth="1"/>
    <col min="3" max="3" width="8.7109375" style="2" bestFit="1" customWidth="1"/>
    <col min="4" max="4" width="66.5703125" style="2" bestFit="1" customWidth="1"/>
    <col min="5" max="5" width="17" style="2" customWidth="1"/>
    <col min="6" max="16384" width="9.140625" style="2"/>
  </cols>
  <sheetData>
    <row r="1" spans="1:9" x14ac:dyDescent="0.2">
      <c r="A1" s="1" t="s">
        <v>15</v>
      </c>
    </row>
    <row r="2" spans="1:9" x14ac:dyDescent="0.2">
      <c r="A2" s="2" t="s">
        <v>25</v>
      </c>
      <c r="G2" s="2" t="s">
        <v>383</v>
      </c>
      <c r="H2" s="2">
        <v>60.8</v>
      </c>
    </row>
    <row r="3" spans="1:9" x14ac:dyDescent="0.2">
      <c r="G3" s="2" t="s">
        <v>24</v>
      </c>
      <c r="H3" s="3">
        <v>46.15</v>
      </c>
    </row>
    <row r="4" spans="1:9" x14ac:dyDescent="0.2">
      <c r="B4" s="2" t="s">
        <v>20</v>
      </c>
      <c r="C4" s="2" t="s">
        <v>386</v>
      </c>
      <c r="F4" s="4"/>
      <c r="G4" s="2" t="s">
        <v>1</v>
      </c>
      <c r="H4" s="5">
        <v>2187</v>
      </c>
      <c r="I4" s="101" t="s">
        <v>388</v>
      </c>
    </row>
    <row r="5" spans="1:9" x14ac:dyDescent="0.2">
      <c r="B5" s="2" t="s">
        <v>21</v>
      </c>
      <c r="C5" s="7" t="s">
        <v>0</v>
      </c>
      <c r="F5" s="4"/>
      <c r="G5" s="2" t="s">
        <v>2</v>
      </c>
      <c r="H5" s="5">
        <f>+H3*H4</f>
        <v>100930.05</v>
      </c>
    </row>
    <row r="6" spans="1:9" x14ac:dyDescent="0.2">
      <c r="B6" s="2" t="s">
        <v>240</v>
      </c>
      <c r="C6" s="7" t="s">
        <v>241</v>
      </c>
      <c r="G6" s="2" t="s">
        <v>3</v>
      </c>
      <c r="H6" s="5">
        <v>3827</v>
      </c>
      <c r="I6" s="101" t="s">
        <v>388</v>
      </c>
    </row>
    <row r="7" spans="1:9" x14ac:dyDescent="0.2">
      <c r="G7" s="2" t="s">
        <v>4</v>
      </c>
      <c r="H7" s="5">
        <f>31708+3362</f>
        <v>35070</v>
      </c>
      <c r="I7" s="101" t="s">
        <v>388</v>
      </c>
    </row>
    <row r="8" spans="1:9" x14ac:dyDescent="0.2">
      <c r="A8" s="8" t="s">
        <v>7</v>
      </c>
      <c r="B8" s="9" t="s">
        <v>23</v>
      </c>
      <c r="G8" s="2" t="s">
        <v>5</v>
      </c>
      <c r="H8" s="5">
        <f>H5-H6+H7</f>
        <v>132173.04999999999</v>
      </c>
    </row>
    <row r="9" spans="1:9" x14ac:dyDescent="0.2">
      <c r="B9" s="10" t="s">
        <v>117</v>
      </c>
      <c r="C9" s="11" t="s">
        <v>384</v>
      </c>
      <c r="D9" s="11" t="s">
        <v>118</v>
      </c>
      <c r="E9" s="12" t="s">
        <v>318</v>
      </c>
    </row>
    <row r="10" spans="1:9" x14ac:dyDescent="0.2">
      <c r="B10" s="13" t="s">
        <v>188</v>
      </c>
      <c r="C10" s="14">
        <f>SUM(C11:C14)</f>
        <v>0.17</v>
      </c>
      <c r="D10" s="15"/>
      <c r="E10" s="16"/>
      <c r="G10" s="2" t="s">
        <v>249</v>
      </c>
      <c r="H10" s="2">
        <v>1.27</v>
      </c>
    </row>
    <row r="11" spans="1:9" x14ac:dyDescent="0.2">
      <c r="B11" s="17" t="s">
        <v>189</v>
      </c>
      <c r="C11" s="18">
        <v>7.0000000000000007E-2</v>
      </c>
      <c r="D11" s="2" t="s">
        <v>322</v>
      </c>
      <c r="E11" s="19"/>
      <c r="G11" s="2" t="s">
        <v>248</v>
      </c>
      <c r="H11" s="2">
        <v>1.1599999999999999</v>
      </c>
    </row>
    <row r="12" spans="1:9" x14ac:dyDescent="0.2">
      <c r="B12" s="17" t="s">
        <v>190</v>
      </c>
      <c r="C12" s="18">
        <v>0.04</v>
      </c>
      <c r="D12" s="2" t="s">
        <v>206</v>
      </c>
      <c r="E12" s="19"/>
    </row>
    <row r="13" spans="1:9" x14ac:dyDescent="0.2">
      <c r="B13" s="17" t="s">
        <v>194</v>
      </c>
      <c r="C13" s="18">
        <v>0.02</v>
      </c>
      <c r="D13" s="2" t="s">
        <v>323</v>
      </c>
      <c r="E13" s="19"/>
    </row>
    <row r="14" spans="1:9" x14ac:dyDescent="0.2">
      <c r="B14" s="17" t="s">
        <v>195</v>
      </c>
      <c r="C14" s="18">
        <v>0.04</v>
      </c>
      <c r="D14" s="2" t="s">
        <v>207</v>
      </c>
      <c r="E14" s="19"/>
    </row>
    <row r="15" spans="1:9" x14ac:dyDescent="0.2">
      <c r="B15" s="20" t="s">
        <v>191</v>
      </c>
      <c r="C15" s="21">
        <f>C16+C17</f>
        <v>0.83000000000000007</v>
      </c>
      <c r="E15" s="19"/>
    </row>
    <row r="16" spans="1:9" x14ac:dyDescent="0.2">
      <c r="B16" s="17" t="s">
        <v>192</v>
      </c>
      <c r="C16" s="18">
        <v>0.81</v>
      </c>
      <c r="D16" s="2" t="s">
        <v>204</v>
      </c>
      <c r="E16" s="19" t="s">
        <v>319</v>
      </c>
    </row>
    <row r="17" spans="1:6" x14ac:dyDescent="0.2">
      <c r="B17" s="22" t="s">
        <v>68</v>
      </c>
      <c r="C17" s="23">
        <v>0.02</v>
      </c>
      <c r="D17" s="24" t="s">
        <v>205</v>
      </c>
      <c r="E17" s="25"/>
    </row>
    <row r="19" spans="1:6" x14ac:dyDescent="0.2">
      <c r="A19" s="8" t="s">
        <v>7</v>
      </c>
      <c r="B19" s="26" t="s">
        <v>245</v>
      </c>
      <c r="C19" s="27" t="s">
        <v>246</v>
      </c>
    </row>
    <row r="20" spans="1:6" x14ac:dyDescent="0.2">
      <c r="B20" s="28" t="s">
        <v>242</v>
      </c>
      <c r="C20" s="29">
        <f>1775/4258</f>
        <v>0.41686237670267734</v>
      </c>
      <c r="E20" s="9" t="s">
        <v>256</v>
      </c>
    </row>
    <row r="21" spans="1:6" x14ac:dyDescent="0.2">
      <c r="B21" s="17" t="s">
        <v>243</v>
      </c>
      <c r="C21" s="30">
        <f>1473/4258</f>
        <v>0.345937059652419</v>
      </c>
      <c r="E21" s="2" t="s">
        <v>257</v>
      </c>
      <c r="F21" s="2" t="s">
        <v>259</v>
      </c>
    </row>
    <row r="22" spans="1:6" x14ac:dyDescent="0.2">
      <c r="B22" s="22" t="s">
        <v>244</v>
      </c>
      <c r="C22" s="31">
        <f>1010/4258</f>
        <v>0.23720056364490372</v>
      </c>
      <c r="E22" s="2" t="s">
        <v>258</v>
      </c>
      <c r="F22" s="2" t="s">
        <v>260</v>
      </c>
    </row>
    <row r="23" spans="1:6" x14ac:dyDescent="0.2">
      <c r="B23" s="32" t="s">
        <v>234</v>
      </c>
      <c r="C23" s="33">
        <f>SUM(C20:C22)</f>
        <v>1</v>
      </c>
      <c r="E23" s="2" t="s">
        <v>261</v>
      </c>
      <c r="F23" s="2" t="s">
        <v>262</v>
      </c>
    </row>
    <row r="24" spans="1:6" x14ac:dyDescent="0.2">
      <c r="E24" s="2" t="s">
        <v>284</v>
      </c>
      <c r="F24" s="2" t="s">
        <v>263</v>
      </c>
    </row>
    <row r="25" spans="1:6" x14ac:dyDescent="0.2">
      <c r="E25" s="2" t="s">
        <v>283</v>
      </c>
      <c r="F25" s="2" t="s">
        <v>264</v>
      </c>
    </row>
    <row r="26" spans="1:6" x14ac:dyDescent="0.2">
      <c r="E26" s="2" t="s">
        <v>265</v>
      </c>
      <c r="F26" s="2" t="s">
        <v>266</v>
      </c>
    </row>
    <row r="27" spans="1:6" x14ac:dyDescent="0.2">
      <c r="D27" s="2" t="s">
        <v>380</v>
      </c>
      <c r="E27" s="2" t="s">
        <v>282</v>
      </c>
      <c r="F27" s="2" t="s">
        <v>267</v>
      </c>
    </row>
    <row r="28" spans="1:6" x14ac:dyDescent="0.2">
      <c r="B28" s="2" t="s">
        <v>335</v>
      </c>
      <c r="D28" s="2" t="s">
        <v>381</v>
      </c>
      <c r="E28" s="2" t="s">
        <v>281</v>
      </c>
      <c r="F28" s="2" t="s">
        <v>268</v>
      </c>
    </row>
    <row r="29" spans="1:6" x14ac:dyDescent="0.2">
      <c r="D29" s="2" t="s">
        <v>382</v>
      </c>
      <c r="E29" s="2" t="s">
        <v>269</v>
      </c>
      <c r="F29" s="2" t="s">
        <v>270</v>
      </c>
    </row>
    <row r="30" spans="1:6" x14ac:dyDescent="0.2">
      <c r="A30" s="34" t="s">
        <v>7</v>
      </c>
      <c r="B30" s="9" t="s">
        <v>255</v>
      </c>
      <c r="E30" s="2" t="s">
        <v>280</v>
      </c>
      <c r="F30" s="2" t="s">
        <v>271</v>
      </c>
    </row>
    <row r="31" spans="1:6" x14ac:dyDescent="0.2">
      <c r="B31" s="2" t="s">
        <v>285</v>
      </c>
      <c r="D31" s="2" t="s">
        <v>290</v>
      </c>
      <c r="E31" s="2" t="s">
        <v>265</v>
      </c>
      <c r="F31" s="2" t="s">
        <v>272</v>
      </c>
    </row>
    <row r="32" spans="1:6" x14ac:dyDescent="0.2">
      <c r="B32" s="2" t="s">
        <v>286</v>
      </c>
      <c r="D32" s="2" t="s">
        <v>291</v>
      </c>
      <c r="E32" s="2" t="s">
        <v>273</v>
      </c>
      <c r="F32" s="2" t="s">
        <v>274</v>
      </c>
    </row>
    <row r="33" spans="1:7" x14ac:dyDescent="0.2">
      <c r="B33" s="2" t="s">
        <v>287</v>
      </c>
      <c r="D33" s="2" t="s">
        <v>317</v>
      </c>
      <c r="E33" s="2" t="s">
        <v>275</v>
      </c>
      <c r="F33" s="2" t="s">
        <v>276</v>
      </c>
    </row>
    <row r="34" spans="1:7" x14ac:dyDescent="0.2">
      <c r="B34" s="2" t="s">
        <v>288</v>
      </c>
      <c r="D34" s="2" t="s">
        <v>292</v>
      </c>
      <c r="E34" s="2" t="s">
        <v>277</v>
      </c>
      <c r="F34" s="2" t="s">
        <v>278</v>
      </c>
    </row>
    <row r="35" spans="1:7" x14ac:dyDescent="0.2">
      <c r="B35" s="2" t="s">
        <v>289</v>
      </c>
      <c r="D35" s="2" t="s">
        <v>293</v>
      </c>
      <c r="E35" s="2" t="s">
        <v>348</v>
      </c>
      <c r="F35" s="2" t="s">
        <v>279</v>
      </c>
    </row>
    <row r="37" spans="1:7" x14ac:dyDescent="0.2">
      <c r="E37" s="9" t="s">
        <v>250</v>
      </c>
    </row>
    <row r="38" spans="1:7" x14ac:dyDescent="0.2">
      <c r="A38" s="34" t="s">
        <v>7</v>
      </c>
      <c r="B38" s="9" t="s">
        <v>119</v>
      </c>
      <c r="F38" s="2" t="s">
        <v>253</v>
      </c>
      <c r="G38" s="2" t="s">
        <v>254</v>
      </c>
    </row>
    <row r="39" spans="1:7" x14ac:dyDescent="0.2">
      <c r="B39" s="2" t="s">
        <v>208</v>
      </c>
      <c r="E39" s="2" t="s">
        <v>251</v>
      </c>
    </row>
    <row r="40" spans="1:7" x14ac:dyDescent="0.2">
      <c r="B40" s="2" t="s">
        <v>209</v>
      </c>
      <c r="D40" s="2" t="s">
        <v>210</v>
      </c>
      <c r="E40" s="2" t="s">
        <v>252</v>
      </c>
    </row>
    <row r="41" spans="1:7" x14ac:dyDescent="0.2">
      <c r="B41" s="2" t="s">
        <v>214</v>
      </c>
    </row>
    <row r="42" spans="1:7" x14ac:dyDescent="0.2">
      <c r="B42" s="2" t="s">
        <v>215</v>
      </c>
    </row>
    <row r="43" spans="1:7" x14ac:dyDescent="0.2">
      <c r="B43" s="35" t="s">
        <v>217</v>
      </c>
    </row>
    <row r="44" spans="1:7" x14ac:dyDescent="0.2">
      <c r="B44" s="2" t="s">
        <v>218</v>
      </c>
    </row>
    <row r="45" spans="1:7" x14ac:dyDescent="0.2">
      <c r="B45" s="2" t="s">
        <v>219</v>
      </c>
      <c r="E45" s="9" t="s">
        <v>211</v>
      </c>
    </row>
    <row r="46" spans="1:7" x14ac:dyDescent="0.2">
      <c r="B46" s="2" t="s">
        <v>220</v>
      </c>
      <c r="E46" s="2" t="s">
        <v>212</v>
      </c>
    </row>
    <row r="47" spans="1:7" x14ac:dyDescent="0.2">
      <c r="B47" s="2" t="s">
        <v>221</v>
      </c>
      <c r="E47" s="2" t="s">
        <v>351</v>
      </c>
    </row>
    <row r="48" spans="1:7" x14ac:dyDescent="0.2">
      <c r="B48" s="2" t="s">
        <v>222</v>
      </c>
    </row>
    <row r="49" spans="2:4" x14ac:dyDescent="0.2">
      <c r="B49" s="35" t="s">
        <v>325</v>
      </c>
      <c r="D49" s="2" t="s">
        <v>324</v>
      </c>
    </row>
    <row r="50" spans="2:4" x14ac:dyDescent="0.2">
      <c r="B50" s="2" t="s">
        <v>326</v>
      </c>
    </row>
    <row r="51" spans="2:4" x14ac:dyDescent="0.2">
      <c r="B51" s="2" t="s">
        <v>349</v>
      </c>
    </row>
    <row r="52" spans="2:4" x14ac:dyDescent="0.2">
      <c r="B52" s="2" t="s">
        <v>350</v>
      </c>
    </row>
    <row r="53" spans="2:4" x14ac:dyDescent="0.2">
      <c r="B53" s="2" t="s">
        <v>357</v>
      </c>
    </row>
    <row r="54" spans="2:4" x14ac:dyDescent="0.2">
      <c r="B54" s="35" t="s">
        <v>356</v>
      </c>
    </row>
    <row r="55" spans="2:4" x14ac:dyDescent="0.2">
      <c r="B55" s="2" t="s">
        <v>380</v>
      </c>
    </row>
    <row r="56" spans="2:4" x14ac:dyDescent="0.2">
      <c r="B56" s="2" t="s">
        <v>385</v>
      </c>
    </row>
    <row r="57" spans="2:4" x14ac:dyDescent="0.2">
      <c r="B57" s="2" t="s">
        <v>387</v>
      </c>
    </row>
  </sheetData>
  <hyperlinks>
    <hyperlink ref="C5" r:id="rId1" xr:uid="{1B762B31-49E4-4922-A78D-3106EC8A2893}"/>
    <hyperlink ref="C6" r:id="rId2" xr:uid="{DC97FCA0-7EA2-476B-BCAE-963E0620CF8F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A508-F79D-4970-890E-B3B52C31CD39}">
  <dimension ref="A1:C47"/>
  <sheetViews>
    <sheetView showGridLines="0" zoomScale="95" zoomScaleNormal="95" workbookViewId="0">
      <selection activeCell="C8" sqref="C8"/>
    </sheetView>
  </sheetViews>
  <sheetFormatPr defaultRowHeight="12.75" x14ac:dyDescent="0.2"/>
  <cols>
    <col min="1" max="1" width="4.7109375" style="2" bestFit="1" customWidth="1"/>
    <col min="2" max="2" width="8.7109375" style="2" customWidth="1"/>
    <col min="3" max="16384" width="9.140625" style="2"/>
  </cols>
  <sheetData>
    <row r="1" spans="1:3" x14ac:dyDescent="0.2">
      <c r="A1" s="7" t="s">
        <v>6</v>
      </c>
    </row>
    <row r="3" spans="1:3" x14ac:dyDescent="0.2">
      <c r="A3" s="34" t="s">
        <v>7</v>
      </c>
      <c r="B3" s="9" t="s">
        <v>310</v>
      </c>
    </row>
    <row r="4" spans="1:3" x14ac:dyDescent="0.2">
      <c r="B4" s="2" t="s">
        <v>312</v>
      </c>
    </row>
    <row r="5" spans="1:3" x14ac:dyDescent="0.2">
      <c r="B5" s="2" t="s">
        <v>313</v>
      </c>
    </row>
    <row r="6" spans="1:3" x14ac:dyDescent="0.2">
      <c r="B6" s="2" t="s">
        <v>314</v>
      </c>
    </row>
    <row r="7" spans="1:3" x14ac:dyDescent="0.2">
      <c r="B7" s="2" t="s">
        <v>311</v>
      </c>
    </row>
    <row r="9" spans="1:3" x14ac:dyDescent="0.2">
      <c r="B9" s="9" t="s">
        <v>294</v>
      </c>
    </row>
    <row r="11" spans="1:3" x14ac:dyDescent="0.2">
      <c r="C11" s="9" t="s">
        <v>193</v>
      </c>
    </row>
    <row r="12" spans="1:3" x14ac:dyDescent="0.2">
      <c r="C12" s="36" t="s">
        <v>305</v>
      </c>
    </row>
    <row r="13" spans="1:3" x14ac:dyDescent="0.2">
      <c r="C13" s="2" t="s">
        <v>295</v>
      </c>
    </row>
    <row r="14" spans="1:3" x14ac:dyDescent="0.2">
      <c r="C14" s="2" t="s">
        <v>296</v>
      </c>
    </row>
    <row r="15" spans="1:3" x14ac:dyDescent="0.2">
      <c r="C15" s="2" t="s">
        <v>297</v>
      </c>
    </row>
    <row r="16" spans="1:3" x14ac:dyDescent="0.2">
      <c r="C16" s="2" t="s">
        <v>298</v>
      </c>
    </row>
    <row r="17" spans="2:3" x14ac:dyDescent="0.2">
      <c r="C17" s="2" t="s">
        <v>299</v>
      </c>
    </row>
    <row r="18" spans="2:3" x14ac:dyDescent="0.2">
      <c r="C18" s="2" t="s">
        <v>300</v>
      </c>
    </row>
    <row r="19" spans="2:3" x14ac:dyDescent="0.2">
      <c r="C19" s="2" t="s">
        <v>301</v>
      </c>
    </row>
    <row r="20" spans="2:3" x14ac:dyDescent="0.2">
      <c r="C20" s="2" t="s">
        <v>302</v>
      </c>
    </row>
    <row r="21" spans="2:3" x14ac:dyDescent="0.2">
      <c r="C21" s="2" t="s">
        <v>303</v>
      </c>
    </row>
    <row r="22" spans="2:3" x14ac:dyDescent="0.2">
      <c r="C22" s="36" t="s">
        <v>304</v>
      </c>
    </row>
    <row r="23" spans="2:3" x14ac:dyDescent="0.2">
      <c r="C23" s="2" t="s">
        <v>306</v>
      </c>
    </row>
    <row r="24" spans="2:3" x14ac:dyDescent="0.2">
      <c r="C24" s="2" t="s">
        <v>307</v>
      </c>
    </row>
    <row r="25" spans="2:3" x14ac:dyDescent="0.2">
      <c r="C25" s="2" t="s">
        <v>308</v>
      </c>
    </row>
    <row r="26" spans="2:3" x14ac:dyDescent="0.2">
      <c r="C26" s="2" t="s">
        <v>309</v>
      </c>
    </row>
    <row r="28" spans="2:3" x14ac:dyDescent="0.2">
      <c r="B28" s="1" t="s">
        <v>320</v>
      </c>
    </row>
    <row r="30" spans="2:3" x14ac:dyDescent="0.2">
      <c r="B30" s="1" t="s">
        <v>321</v>
      </c>
    </row>
    <row r="35" spans="2:3" x14ac:dyDescent="0.2">
      <c r="B35" s="9" t="s">
        <v>192</v>
      </c>
    </row>
    <row r="37" spans="2:3" x14ac:dyDescent="0.2">
      <c r="B37" s="2" t="s">
        <v>327</v>
      </c>
      <c r="C37" s="2" t="s">
        <v>328</v>
      </c>
    </row>
    <row r="38" spans="2:3" x14ac:dyDescent="0.2">
      <c r="B38" s="2" t="s">
        <v>329</v>
      </c>
      <c r="C38" s="2" t="s">
        <v>330</v>
      </c>
    </row>
    <row r="39" spans="2:3" x14ac:dyDescent="0.2">
      <c r="B39" s="2" t="s">
        <v>331</v>
      </c>
    </row>
    <row r="40" spans="2:3" x14ac:dyDescent="0.2">
      <c r="B40" s="2" t="s">
        <v>332</v>
      </c>
    </row>
    <row r="42" spans="2:3" x14ac:dyDescent="0.2">
      <c r="B42" s="2" t="s">
        <v>333</v>
      </c>
    </row>
    <row r="43" spans="2:3" x14ac:dyDescent="0.2">
      <c r="B43" s="2" t="s">
        <v>334</v>
      </c>
    </row>
    <row r="45" spans="2:3" x14ac:dyDescent="0.2">
      <c r="B45" s="2" t="s">
        <v>352</v>
      </c>
    </row>
    <row r="46" spans="2:3" x14ac:dyDescent="0.2">
      <c r="B46" s="2" t="s">
        <v>353</v>
      </c>
    </row>
    <row r="47" spans="2:3" x14ac:dyDescent="0.2">
      <c r="B47" s="35" t="s">
        <v>354</v>
      </c>
    </row>
  </sheetData>
  <hyperlinks>
    <hyperlink ref="A1" location="Main!A1" display="Main" xr:uid="{6AEE5AEE-171B-4B4A-B8BA-5350BA185C3C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70F6-5B7C-4679-A452-2E0FF744AECA}">
  <dimension ref="A1:AR209"/>
  <sheetViews>
    <sheetView zoomScale="200" zoomScaleNormal="20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W11" sqref="W11"/>
    </sheetView>
  </sheetViews>
  <sheetFormatPr defaultRowHeight="12.75" x14ac:dyDescent="0.2"/>
  <cols>
    <col min="1" max="1" width="4.7109375" style="2" bestFit="1" customWidth="1"/>
    <col min="2" max="2" width="38.7109375" style="2" customWidth="1"/>
    <col min="3" max="3" width="8.85546875" style="2" bestFit="1" customWidth="1"/>
    <col min="4" max="4" width="9.140625" style="2" bestFit="1" customWidth="1"/>
    <col min="5" max="14" width="9.140625" style="2"/>
    <col min="15" max="15" width="9.140625" style="2" bestFit="1" customWidth="1"/>
    <col min="16" max="17" width="8.85546875" style="2" bestFit="1" customWidth="1"/>
    <col min="18" max="18" width="9.140625" style="2" bestFit="1" customWidth="1"/>
    <col min="19" max="20" width="8.85546875" style="2" bestFit="1" customWidth="1"/>
    <col min="21" max="22" width="9.140625" style="2" bestFit="1" customWidth="1"/>
    <col min="23" max="16384" width="9.140625" style="2"/>
  </cols>
  <sheetData>
    <row r="1" spans="1:44" x14ac:dyDescent="0.2">
      <c r="A1" s="7" t="s">
        <v>6</v>
      </c>
    </row>
    <row r="2" spans="1:44" x14ac:dyDescent="0.2">
      <c r="C2" s="6" t="s">
        <v>16</v>
      </c>
      <c r="D2" s="6" t="s">
        <v>17</v>
      </c>
      <c r="E2" s="6" t="s">
        <v>18</v>
      </c>
      <c r="F2" s="6" t="s">
        <v>19</v>
      </c>
      <c r="G2" s="6" t="s">
        <v>362</v>
      </c>
      <c r="H2" s="6" t="s">
        <v>363</v>
      </c>
      <c r="I2" s="109" t="s">
        <v>389</v>
      </c>
      <c r="J2" s="109" t="s">
        <v>390</v>
      </c>
      <c r="L2" s="6" t="s">
        <v>339</v>
      </c>
      <c r="M2" s="6" t="s">
        <v>338</v>
      </c>
      <c r="N2" s="6" t="s">
        <v>337</v>
      </c>
      <c r="O2" s="6" t="s">
        <v>336</v>
      </c>
      <c r="P2" s="6" t="s">
        <v>8</v>
      </c>
      <c r="Q2" s="6" t="s">
        <v>9</v>
      </c>
      <c r="R2" s="6" t="s">
        <v>10</v>
      </c>
      <c r="S2" s="6" t="s">
        <v>11</v>
      </c>
      <c r="T2" s="6" t="s">
        <v>12</v>
      </c>
      <c r="U2" s="6" t="s">
        <v>13</v>
      </c>
      <c r="V2" s="6" t="s">
        <v>14</v>
      </c>
      <c r="W2" s="6" t="s">
        <v>225</v>
      </c>
      <c r="X2" s="6" t="s">
        <v>226</v>
      </c>
      <c r="Y2" s="6" t="s">
        <v>227</v>
      </c>
      <c r="Z2" s="6" t="s">
        <v>229</v>
      </c>
      <c r="AA2" s="6" t="s">
        <v>228</v>
      </c>
      <c r="AB2" s="6" t="s">
        <v>230</v>
      </c>
      <c r="AC2" s="6" t="s">
        <v>231</v>
      </c>
      <c r="AD2" s="6" t="s">
        <v>232</v>
      </c>
      <c r="AE2" s="6" t="s">
        <v>233</v>
      </c>
      <c r="AF2" s="6" t="s">
        <v>379</v>
      </c>
    </row>
    <row r="3" spans="1:44" x14ac:dyDescent="0.2">
      <c r="A3" s="34"/>
      <c r="B3" s="2" t="s">
        <v>235</v>
      </c>
      <c r="C3" s="5"/>
      <c r="D3" s="5"/>
      <c r="E3" s="5"/>
      <c r="F3" s="37"/>
      <c r="G3" s="37"/>
      <c r="H3" s="37"/>
      <c r="I3" s="5"/>
      <c r="J3" s="5"/>
      <c r="K3" s="5"/>
      <c r="L3" s="5"/>
      <c r="M3" s="5"/>
      <c r="N3" s="5"/>
      <c r="O3" s="5"/>
      <c r="P3" s="5">
        <v>7732.9890000000005</v>
      </c>
      <c r="Q3" s="5">
        <v>7811.1</v>
      </c>
      <c r="R3" s="5">
        <v>7890</v>
      </c>
      <c r="S3" s="5">
        <v>7968.9</v>
      </c>
      <c r="T3" s="5">
        <v>8020</v>
      </c>
      <c r="U3" s="5">
        <v>8090</v>
      </c>
      <c r="V3" s="5">
        <v>8160</v>
      </c>
      <c r="W3" s="5">
        <f>V3*(1+0.8%)</f>
        <v>8225.2800000000007</v>
      </c>
      <c r="X3" s="5">
        <f t="shared" ref="X3:AF3" si="0">W3*(1+0.8%)</f>
        <v>8291.0822400000015</v>
      </c>
      <c r="Y3" s="5">
        <f t="shared" si="0"/>
        <v>8357.4108979200009</v>
      </c>
      <c r="Z3" s="5">
        <f t="shared" si="0"/>
        <v>8424.2701851033617</v>
      </c>
      <c r="AA3" s="5">
        <f t="shared" si="0"/>
        <v>8491.664346584188</v>
      </c>
      <c r="AB3" s="5">
        <f t="shared" si="0"/>
        <v>8559.5976613568619</v>
      </c>
      <c r="AC3" s="5">
        <f t="shared" si="0"/>
        <v>8628.0744426477177</v>
      </c>
      <c r="AD3" s="5">
        <f t="shared" si="0"/>
        <v>8697.0990381888987</v>
      </c>
      <c r="AE3" s="5">
        <f t="shared" si="0"/>
        <v>8766.6758304944105</v>
      </c>
      <c r="AF3" s="5">
        <f t="shared" si="0"/>
        <v>8836.8092371383664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 spans="1:44" x14ac:dyDescent="0.2">
      <c r="B4" s="2" t="s">
        <v>223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>
        <v>1254</v>
      </c>
      <c r="U4" s="5">
        <f>T4*0.98</f>
        <v>1228.92</v>
      </c>
      <c r="V4" s="5">
        <f>U4*0.98</f>
        <v>1204.3416</v>
      </c>
      <c r="W4" s="5">
        <v>1197</v>
      </c>
      <c r="X4" s="5">
        <f>W4*1.002</f>
        <v>1199.394</v>
      </c>
      <c r="Y4" s="5">
        <f t="shared" ref="Y4:AA4" si="1">X4*1.002</f>
        <v>1201.792788</v>
      </c>
      <c r="Z4" s="5">
        <f t="shared" si="1"/>
        <v>1204.196373576</v>
      </c>
      <c r="AA4" s="5">
        <f t="shared" si="1"/>
        <v>1206.604766323152</v>
      </c>
      <c r="AB4" s="5">
        <v>1227</v>
      </c>
      <c r="AC4" s="5">
        <f>AB4*1.002</f>
        <v>1229.454</v>
      </c>
      <c r="AD4" s="5">
        <f t="shared" ref="AD4:AF4" si="2">AC4*1.002</f>
        <v>1231.912908</v>
      </c>
      <c r="AE4" s="5">
        <f t="shared" si="2"/>
        <v>1234.3767338160001</v>
      </c>
      <c r="AF4" s="5">
        <f t="shared" si="2"/>
        <v>1236.8454872836321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x14ac:dyDescent="0.2">
      <c r="B5" s="2" t="s">
        <v>224</v>
      </c>
      <c r="C5" s="5"/>
      <c r="D5" s="5"/>
      <c r="E5" s="5"/>
      <c r="F5" s="37"/>
      <c r="G5" s="37"/>
      <c r="H5" s="3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v>259</v>
      </c>
      <c r="U5" s="5">
        <f>T5*1.03</f>
        <v>266.77</v>
      </c>
      <c r="V5" s="5">
        <f t="shared" ref="V5:AF5" si="3">U5*1.03</f>
        <v>274.7731</v>
      </c>
      <c r="W5" s="5">
        <f t="shared" si="3"/>
        <v>283.01629300000002</v>
      </c>
      <c r="X5" s="5">
        <f t="shared" si="3"/>
        <v>291.50678179000005</v>
      </c>
      <c r="Y5" s="5">
        <f t="shared" si="3"/>
        <v>300.25198524370006</v>
      </c>
      <c r="Z5" s="5">
        <f t="shared" si="3"/>
        <v>309.25954480101109</v>
      </c>
      <c r="AA5" s="5">
        <f t="shared" si="3"/>
        <v>318.53733114504143</v>
      </c>
      <c r="AB5" s="5">
        <f t="shared" si="3"/>
        <v>328.09345107939271</v>
      </c>
      <c r="AC5" s="5">
        <f t="shared" si="3"/>
        <v>337.93625461177447</v>
      </c>
      <c r="AD5" s="5">
        <f t="shared" si="3"/>
        <v>348.0743422501277</v>
      </c>
      <c r="AE5" s="5">
        <f t="shared" si="3"/>
        <v>358.51657251763152</v>
      </c>
      <c r="AF5" s="5">
        <f t="shared" si="3"/>
        <v>369.27206969316046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spans="1:44" x14ac:dyDescent="0.2">
      <c r="B6" s="2" t="s">
        <v>236</v>
      </c>
      <c r="C6" s="5"/>
      <c r="D6" s="5"/>
      <c r="E6" s="5">
        <v>26.4</v>
      </c>
      <c r="F6" s="37"/>
      <c r="G6" s="37">
        <v>30.5</v>
      </c>
      <c r="H6" s="37"/>
      <c r="I6" s="5"/>
      <c r="J6" s="5"/>
      <c r="K6" s="5"/>
      <c r="L6" s="5"/>
      <c r="M6" s="5"/>
      <c r="N6" s="5"/>
      <c r="O6" s="5"/>
      <c r="P6" s="5" t="s">
        <v>216</v>
      </c>
      <c r="Q6" s="5" t="s">
        <v>216</v>
      </c>
      <c r="R6" s="5">
        <v>13.5</v>
      </c>
      <c r="S6" s="5">
        <v>18.3</v>
      </c>
      <c r="T6" s="5">
        <v>22.5</v>
      </c>
      <c r="U6" s="5">
        <v>23.9</v>
      </c>
      <c r="V6" s="5">
        <f>V5*9%</f>
        <v>24.729578999999998</v>
      </c>
      <c r="W6" s="5">
        <v>35</v>
      </c>
      <c r="X6" s="5">
        <f t="shared" ref="X6:AF6" si="4">X5*9%</f>
        <v>26.235610361100004</v>
      </c>
      <c r="Y6" s="5">
        <f t="shared" si="4"/>
        <v>27.022678671933004</v>
      </c>
      <c r="Z6" s="5">
        <f t="shared" si="4"/>
        <v>27.833359032090996</v>
      </c>
      <c r="AA6" s="5">
        <f t="shared" si="4"/>
        <v>28.668359803053729</v>
      </c>
      <c r="AB6" s="5">
        <f t="shared" si="4"/>
        <v>29.528410597145342</v>
      </c>
      <c r="AC6" s="5">
        <f t="shared" si="4"/>
        <v>30.414262915059702</v>
      </c>
      <c r="AD6" s="5">
        <f t="shared" si="4"/>
        <v>31.326690802511493</v>
      </c>
      <c r="AE6" s="5">
        <f t="shared" si="4"/>
        <v>32.266491526586833</v>
      </c>
      <c r="AF6" s="5">
        <f t="shared" si="4"/>
        <v>33.234486272384437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44" x14ac:dyDescent="0.2">
      <c r="B7" s="2" t="s">
        <v>237</v>
      </c>
      <c r="C7" s="5"/>
      <c r="D7" s="5"/>
      <c r="E7" s="5"/>
      <c r="F7" s="37"/>
      <c r="G7" s="37"/>
      <c r="H7" s="37"/>
      <c r="I7" s="5"/>
      <c r="J7" s="5"/>
      <c r="K7" s="5"/>
      <c r="L7" s="5"/>
      <c r="M7" s="5"/>
      <c r="N7" s="5"/>
      <c r="O7" s="5"/>
      <c r="P7" s="5"/>
      <c r="Q7" s="5"/>
      <c r="R7" s="5">
        <f t="shared" ref="R7:W7" si="5">SUM(R22:R25)/R6</f>
        <v>192.81481481481481</v>
      </c>
      <c r="S7" s="5">
        <f t="shared" si="5"/>
        <v>173.33333333333331</v>
      </c>
      <c r="T7" s="5">
        <f t="shared" si="5"/>
        <v>182.35555555555555</v>
      </c>
      <c r="U7" s="5">
        <f t="shared" si="5"/>
        <v>188.70292887029291</v>
      </c>
      <c r="V7" s="5">
        <f t="shared" si="5"/>
        <v>182.93881994513535</v>
      </c>
      <c r="W7" s="5">
        <f t="shared" si="5"/>
        <v>133.25714285714287</v>
      </c>
      <c r="X7" s="5">
        <f t="shared" ref="X7:AC7" si="6">W7*(1+1.5%)</f>
        <v>135.256</v>
      </c>
      <c r="Y7" s="5">
        <f t="shared" si="6"/>
        <v>137.28483999999997</v>
      </c>
      <c r="Z7" s="5">
        <f t="shared" si="6"/>
        <v>139.34411259999996</v>
      </c>
      <c r="AA7" s="5">
        <f t="shared" si="6"/>
        <v>141.43427428899994</v>
      </c>
      <c r="AB7" s="5">
        <f t="shared" si="6"/>
        <v>143.55578840333493</v>
      </c>
      <c r="AC7" s="5">
        <f t="shared" si="6"/>
        <v>145.70912522938494</v>
      </c>
      <c r="AD7" s="5">
        <f>200</f>
        <v>200</v>
      </c>
      <c r="AE7" s="5">
        <v>200</v>
      </c>
      <c r="AF7" s="5">
        <v>200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spans="1:44" x14ac:dyDescent="0.2">
      <c r="C8" s="5"/>
      <c r="D8" s="5"/>
      <c r="E8" s="5"/>
      <c r="F8" s="37"/>
      <c r="G8" s="37"/>
      <c r="H8" s="3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38"/>
      <c r="U8" s="38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 spans="1:44" x14ac:dyDescent="0.2">
      <c r="B9" s="36" t="s">
        <v>213</v>
      </c>
      <c r="C9" s="3"/>
      <c r="D9" s="3"/>
      <c r="E9" s="3"/>
      <c r="F9" s="39"/>
      <c r="G9" s="39"/>
      <c r="H9" s="3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5"/>
      <c r="AN9" s="5"/>
      <c r="AO9" s="5"/>
      <c r="AP9" s="5"/>
      <c r="AQ9" s="5"/>
      <c r="AR9" s="5"/>
    </row>
    <row r="10" spans="1:44" x14ac:dyDescent="0.2">
      <c r="B10" s="2" t="s">
        <v>193</v>
      </c>
      <c r="C10" s="3">
        <v>0.31900000000000001</v>
      </c>
      <c r="D10" s="3">
        <f>U10-C10</f>
        <v>0.33500000000000002</v>
      </c>
      <c r="E10" s="3">
        <v>0.28999999999999998</v>
      </c>
      <c r="F10" s="39">
        <f>+V10-E10</f>
        <v>0.3261</v>
      </c>
      <c r="G10" s="39">
        <v>0.253</v>
      </c>
      <c r="H10" s="39">
        <f t="shared" ref="H10:H15" si="7">+W10-G10</f>
        <v>0.28500000000000003</v>
      </c>
      <c r="I10" s="3"/>
      <c r="J10" s="3"/>
      <c r="K10" s="3"/>
      <c r="L10" s="3"/>
      <c r="M10" s="3"/>
      <c r="N10" s="3"/>
      <c r="O10" s="3"/>
      <c r="P10" s="3">
        <v>0.189</v>
      </c>
      <c r="Q10" s="3">
        <v>0.22600000000000001</v>
      </c>
      <c r="R10" s="3">
        <v>0.34399999999999997</v>
      </c>
      <c r="S10" s="3">
        <v>0.53500000000000003</v>
      </c>
      <c r="T10" s="3">
        <v>0.61199999999999999</v>
      </c>
      <c r="U10" s="3">
        <v>0.65400000000000003</v>
      </c>
      <c r="V10" s="3">
        <v>0.61609999999999998</v>
      </c>
      <c r="W10" s="3">
        <v>0.53800000000000003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5"/>
      <c r="AN10" s="5"/>
      <c r="AO10" s="5"/>
      <c r="AP10" s="5"/>
      <c r="AQ10" s="5"/>
      <c r="AR10" s="5"/>
    </row>
    <row r="11" spans="1:44" x14ac:dyDescent="0.2">
      <c r="B11" s="2" t="s">
        <v>197</v>
      </c>
      <c r="C11" s="3">
        <v>12.1</v>
      </c>
      <c r="D11" s="3">
        <f>U11-C11</f>
        <v>11.6</v>
      </c>
      <c r="E11" s="3">
        <v>9.9</v>
      </c>
      <c r="F11" s="39">
        <f>+V11-E11</f>
        <v>10.999999999999998</v>
      </c>
      <c r="G11" s="39">
        <v>10.1</v>
      </c>
      <c r="H11" s="39">
        <f t="shared" si="7"/>
        <v>9.9</v>
      </c>
      <c r="I11" s="3"/>
      <c r="J11" s="3"/>
      <c r="K11" s="3"/>
      <c r="L11" s="3"/>
      <c r="M11" s="3"/>
      <c r="N11" s="3"/>
      <c r="O11" s="3"/>
      <c r="P11" s="3">
        <v>7</v>
      </c>
      <c r="Q11" s="3">
        <v>9</v>
      </c>
      <c r="R11" s="3">
        <v>11</v>
      </c>
      <c r="S11" s="3">
        <v>19.100000000000001</v>
      </c>
      <c r="T11" s="3">
        <v>24</v>
      </c>
      <c r="U11" s="3">
        <v>23.7</v>
      </c>
      <c r="V11" s="3">
        <v>20.9</v>
      </c>
      <c r="W11" s="3">
        <v>20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5"/>
      <c r="AN11" s="5"/>
      <c r="AO11" s="5"/>
      <c r="AP11" s="5"/>
      <c r="AQ11" s="5"/>
      <c r="AR11" s="5"/>
    </row>
    <row r="12" spans="1:44" x14ac:dyDescent="0.2">
      <c r="B12" s="2" t="s">
        <v>194</v>
      </c>
      <c r="C12" s="3">
        <v>2.3479999999999999</v>
      </c>
      <c r="D12" s="3">
        <f>U12-C12</f>
        <v>3.0120000000000005</v>
      </c>
      <c r="E12" s="3">
        <v>3.5219999999999998</v>
      </c>
      <c r="F12" s="39">
        <f>+V12-E12</f>
        <v>4.7780000000000005</v>
      </c>
      <c r="G12" s="39">
        <v>5</v>
      </c>
      <c r="H12" s="39">
        <f t="shared" si="7"/>
        <v>7.1999999999999993</v>
      </c>
      <c r="I12" s="3"/>
      <c r="J12" s="3"/>
      <c r="K12" s="3"/>
      <c r="L12" s="3"/>
      <c r="M12" s="3"/>
      <c r="N12" s="3"/>
      <c r="O12" s="3"/>
      <c r="P12" s="39" t="s">
        <v>216</v>
      </c>
      <c r="Q12" s="3">
        <v>1.194</v>
      </c>
      <c r="R12" s="3">
        <v>1.9339999999999999</v>
      </c>
      <c r="S12" s="3">
        <v>3.2959999999999998</v>
      </c>
      <c r="T12" s="3">
        <v>4.01</v>
      </c>
      <c r="U12" s="3">
        <v>5.36</v>
      </c>
      <c r="V12" s="3">
        <v>8.3000000000000007</v>
      </c>
      <c r="W12" s="3">
        <v>12.2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5"/>
      <c r="AN12" s="5"/>
      <c r="AO12" s="5"/>
      <c r="AP12" s="5"/>
      <c r="AQ12" s="5"/>
      <c r="AR12" s="5"/>
    </row>
    <row r="13" spans="1:44" x14ac:dyDescent="0.2">
      <c r="B13" s="2" t="s">
        <v>195</v>
      </c>
      <c r="C13" s="3">
        <v>3</v>
      </c>
      <c r="D13" s="3">
        <f>U13-C13</f>
        <v>3.5999999999999996</v>
      </c>
      <c r="E13" s="3">
        <v>3.1</v>
      </c>
      <c r="F13" s="39">
        <f>+V13-E13</f>
        <v>2.9999999999999996</v>
      </c>
      <c r="G13" s="39">
        <v>2.9</v>
      </c>
      <c r="H13" s="39">
        <f t="shared" si="7"/>
        <v>2.6</v>
      </c>
      <c r="I13" s="3"/>
      <c r="J13" s="3"/>
      <c r="K13" s="3"/>
      <c r="L13" s="3"/>
      <c r="M13" s="3"/>
      <c r="N13" s="3"/>
      <c r="O13" s="3"/>
      <c r="P13" s="3">
        <v>3.9</v>
      </c>
      <c r="Q13" s="3">
        <v>8</v>
      </c>
      <c r="R13" s="3">
        <v>8</v>
      </c>
      <c r="S13" s="3">
        <v>8</v>
      </c>
      <c r="T13" s="3">
        <v>7.4</v>
      </c>
      <c r="U13" s="3">
        <v>6.6</v>
      </c>
      <c r="V13" s="3">
        <v>6.1</v>
      </c>
      <c r="W13" s="3">
        <v>5.5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5"/>
      <c r="AN13" s="5"/>
      <c r="AO13" s="5"/>
      <c r="AP13" s="5"/>
      <c r="AQ13" s="5"/>
      <c r="AR13" s="5"/>
    </row>
    <row r="14" spans="1:44" x14ac:dyDescent="0.2">
      <c r="B14" s="2" t="s">
        <v>191</v>
      </c>
      <c r="C14" s="3">
        <v>298.2</v>
      </c>
      <c r="D14" s="3">
        <f>U14-C14</f>
        <v>271.8</v>
      </c>
      <c r="E14" s="3">
        <v>256</v>
      </c>
      <c r="F14" s="39">
        <f>+V14-E14</f>
        <v>262</v>
      </c>
      <c r="G14" s="39">
        <v>234.1</v>
      </c>
      <c r="H14" s="39">
        <f t="shared" si="7"/>
        <v>242.9</v>
      </c>
      <c r="I14" s="3"/>
      <c r="J14" s="3"/>
      <c r="K14" s="3"/>
      <c r="L14" s="3"/>
      <c r="M14" s="3"/>
      <c r="N14" s="3"/>
      <c r="O14" s="3"/>
      <c r="P14" s="3">
        <v>701</v>
      </c>
      <c r="Q14" s="3">
        <v>668</v>
      </c>
      <c r="R14" s="3">
        <v>658</v>
      </c>
      <c r="S14" s="3">
        <v>655</v>
      </c>
      <c r="T14" s="3">
        <v>629</v>
      </c>
      <c r="U14" s="3">
        <v>570</v>
      </c>
      <c r="V14" s="3">
        <v>518</v>
      </c>
      <c r="W14" s="3">
        <v>477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5"/>
      <c r="AN14" s="5"/>
      <c r="AO14" s="5"/>
      <c r="AP14" s="5"/>
      <c r="AQ14" s="5"/>
      <c r="AR14" s="5"/>
    </row>
    <row r="15" spans="1:44" x14ac:dyDescent="0.2">
      <c r="B15" s="1" t="s">
        <v>234</v>
      </c>
      <c r="C15" s="40">
        <f>SUM(C10:C14)</f>
        <v>315.96699999999998</v>
      </c>
      <c r="D15" s="40">
        <f t="shared" ref="D15:G15" si="8">SUM(D10:D14)</f>
        <v>290.34700000000004</v>
      </c>
      <c r="E15" s="40">
        <f t="shared" si="8"/>
        <v>272.81200000000001</v>
      </c>
      <c r="F15" s="40">
        <f t="shared" si="8"/>
        <v>281.10410000000002</v>
      </c>
      <c r="G15" s="40">
        <f t="shared" si="8"/>
        <v>252.35300000000001</v>
      </c>
      <c r="H15" s="40">
        <f t="shared" si="7"/>
        <v>262.88500000000005</v>
      </c>
      <c r="I15" s="3"/>
      <c r="J15" s="3"/>
      <c r="K15" s="3"/>
      <c r="L15" s="40">
        <v>694</v>
      </c>
      <c r="M15" s="40">
        <v>689</v>
      </c>
      <c r="N15" s="40">
        <v>689</v>
      </c>
      <c r="O15" s="40">
        <v>714</v>
      </c>
      <c r="P15" s="40">
        <f t="shared" ref="P15" si="9">SUM(P10:P14)</f>
        <v>712.08900000000006</v>
      </c>
      <c r="Q15" s="40">
        <f t="shared" ref="Q15" si="10">SUM(Q10:Q14)</f>
        <v>686.42</v>
      </c>
      <c r="R15" s="40">
        <f t="shared" ref="R15" si="11">SUM(R10:R14)</f>
        <v>679.27800000000002</v>
      </c>
      <c r="S15" s="40">
        <f t="shared" ref="S15" si="12">SUM(S10:S14)</f>
        <v>685.93100000000004</v>
      </c>
      <c r="T15" s="40">
        <f t="shared" ref="T15" si="13">SUM(T10:T14)</f>
        <v>665.02200000000005</v>
      </c>
      <c r="U15" s="40">
        <f t="shared" ref="U15" si="14">SUM(U10:U14)</f>
        <v>606.31399999999996</v>
      </c>
      <c r="V15" s="40">
        <f t="shared" ref="V15" si="15">SUM(V10:V14)</f>
        <v>553.91610000000003</v>
      </c>
      <c r="W15" s="40">
        <f t="shared" ref="W15" si="16">SUM(W10:W14)</f>
        <v>515.23800000000006</v>
      </c>
      <c r="X15" s="40">
        <f t="shared" ref="X15" si="17">SUM(X10:X14)</f>
        <v>0</v>
      </c>
      <c r="Y15" s="40">
        <f t="shared" ref="Y15" si="18">SUM(Y10:Y14)</f>
        <v>0</v>
      </c>
      <c r="Z15" s="40">
        <f t="shared" ref="Z15" si="19">SUM(Z10:Z14)</f>
        <v>0</v>
      </c>
      <c r="AA15" s="40">
        <f t="shared" ref="AA15" si="20">SUM(AA10:AA14)</f>
        <v>0</v>
      </c>
      <c r="AB15" s="40">
        <f t="shared" ref="AB15" si="21">SUM(AB10:AB14)</f>
        <v>0</v>
      </c>
      <c r="AC15" s="40">
        <f t="shared" ref="AC15" si="22">SUM(AC10:AC14)</f>
        <v>0</v>
      </c>
      <c r="AD15" s="40">
        <f t="shared" ref="AD15" si="23">SUM(AD10:AD14)</f>
        <v>0</v>
      </c>
      <c r="AE15" s="40">
        <f t="shared" ref="AE15" si="24">SUM(AE10:AE14)</f>
        <v>0</v>
      </c>
      <c r="AF15" s="3"/>
      <c r="AG15" s="3"/>
      <c r="AH15" s="3"/>
      <c r="AI15" s="3"/>
      <c r="AJ15" s="3"/>
      <c r="AK15" s="3"/>
      <c r="AL15" s="3"/>
      <c r="AM15" s="5"/>
      <c r="AN15" s="5"/>
      <c r="AO15" s="5"/>
      <c r="AP15" s="5"/>
      <c r="AQ15" s="5"/>
      <c r="AR15" s="5"/>
    </row>
    <row r="16" spans="1:44" x14ac:dyDescent="0.2">
      <c r="C16" s="5"/>
      <c r="D16" s="5"/>
      <c r="E16" s="5"/>
      <c r="F16" s="37"/>
      <c r="G16" s="37"/>
      <c r="H16" s="3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x14ac:dyDescent="0.2">
      <c r="B17" s="1" t="s">
        <v>355</v>
      </c>
      <c r="C17" s="37"/>
      <c r="D17" s="37"/>
      <c r="E17" s="37"/>
      <c r="F17" s="37"/>
      <c r="G17" s="37"/>
      <c r="H17" s="37"/>
      <c r="I17" s="5"/>
      <c r="J17" s="5"/>
      <c r="K17" s="5"/>
      <c r="L17" s="5"/>
      <c r="M17" s="5"/>
      <c r="N17" s="5"/>
      <c r="O17" s="5"/>
      <c r="P17" s="41"/>
      <c r="Q17" s="41"/>
      <c r="R17" s="41"/>
      <c r="S17" s="41"/>
      <c r="T17" s="41"/>
      <c r="U17" s="41">
        <v>8600</v>
      </c>
      <c r="V17" s="41">
        <f>U17*(1+1.3%)</f>
        <v>8711.7999999999993</v>
      </c>
      <c r="W17" s="41">
        <f t="shared" ref="W17:AF17" si="25">V17*(1+1.3%)</f>
        <v>8825.0533999999989</v>
      </c>
      <c r="X17" s="41">
        <f t="shared" si="25"/>
        <v>8939.7790941999974</v>
      </c>
      <c r="Y17" s="41">
        <f t="shared" si="25"/>
        <v>9055.9962224245974</v>
      </c>
      <c r="Z17" s="41">
        <f t="shared" si="25"/>
        <v>9173.7241733161154</v>
      </c>
      <c r="AA17" s="41">
        <f t="shared" si="25"/>
        <v>9292.9825875692241</v>
      </c>
      <c r="AB17" s="41">
        <f t="shared" si="25"/>
        <v>9413.7913612076227</v>
      </c>
      <c r="AC17" s="41">
        <f t="shared" si="25"/>
        <v>9536.1706489033204</v>
      </c>
      <c r="AD17" s="41">
        <f t="shared" si="25"/>
        <v>9660.1408673390633</v>
      </c>
      <c r="AE17" s="41">
        <f t="shared" si="25"/>
        <v>9785.7226986144706</v>
      </c>
      <c r="AF17" s="41">
        <f t="shared" si="25"/>
        <v>9912.9370936964569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x14ac:dyDescent="0.2">
      <c r="C18" s="5"/>
      <c r="D18" s="5"/>
      <c r="E18" s="5"/>
      <c r="F18" s="3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38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x14ac:dyDescent="0.2">
      <c r="A19" s="34" t="s">
        <v>7</v>
      </c>
      <c r="B19" s="2" t="s">
        <v>358</v>
      </c>
      <c r="C19" s="5"/>
      <c r="D19" s="5"/>
      <c r="E19" s="5">
        <v>5378</v>
      </c>
      <c r="F19" s="37">
        <f>+V19-E19</f>
        <v>5900</v>
      </c>
      <c r="G19" s="5">
        <v>5432</v>
      </c>
      <c r="H19" s="5">
        <f>+W19-G19</f>
        <v>6102</v>
      </c>
      <c r="I19" s="5"/>
      <c r="J19" s="5"/>
      <c r="K19" s="5"/>
      <c r="L19" s="5">
        <v>0</v>
      </c>
      <c r="M19" s="5">
        <v>0</v>
      </c>
      <c r="N19" s="5">
        <v>0</v>
      </c>
      <c r="O19" s="5">
        <v>4221</v>
      </c>
      <c r="P19" s="5">
        <v>9495</v>
      </c>
      <c r="Q19" s="5">
        <v>10373</v>
      </c>
      <c r="R19" s="5">
        <v>11473</v>
      </c>
      <c r="S19" s="5">
        <v>11691</v>
      </c>
      <c r="T19" s="5">
        <v>12639</v>
      </c>
      <c r="U19" s="38">
        <v>11592</v>
      </c>
      <c r="V19" s="5">
        <v>11278</v>
      </c>
      <c r="W19" s="5">
        <v>11534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44" x14ac:dyDescent="0.2">
      <c r="B20" s="2" t="s">
        <v>359</v>
      </c>
      <c r="C20" s="5"/>
      <c r="D20" s="5"/>
      <c r="E20" s="5">
        <v>4376</v>
      </c>
      <c r="F20" s="37">
        <f>+V20-E20</f>
        <v>4865</v>
      </c>
      <c r="G20" s="5">
        <v>4281</v>
      </c>
      <c r="H20" s="5">
        <f t="shared" ref="H20:H44" si="26">+W20-G20</f>
        <v>5028</v>
      </c>
      <c r="I20" s="5"/>
      <c r="J20" s="5"/>
      <c r="K20" s="5"/>
      <c r="L20" s="5">
        <f>2720+3203+3408</f>
        <v>9331</v>
      </c>
      <c r="M20" s="5">
        <f>3340+3476+4030</f>
        <v>10846</v>
      </c>
      <c r="N20" s="5">
        <f>2868+3867+3750</f>
        <v>10485</v>
      </c>
      <c r="O20" s="5">
        <f>3125+4532+3915</f>
        <v>11572</v>
      </c>
      <c r="P20" s="5">
        <f>4111+6004</f>
        <v>10115</v>
      </c>
      <c r="Q20" s="5">
        <f>4261+6090</f>
        <v>10351</v>
      </c>
      <c r="R20" s="5">
        <f>3772+5994</f>
        <v>9766</v>
      </c>
      <c r="S20" s="5">
        <f>3801+6001</f>
        <v>9802</v>
      </c>
      <c r="T20" s="5">
        <f>4203+6346</f>
        <v>10549</v>
      </c>
      <c r="U20" s="38">
        <v>9764</v>
      </c>
      <c r="V20" s="5">
        <v>9241</v>
      </c>
      <c r="W20" s="5">
        <v>9309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1:44" x14ac:dyDescent="0.2">
      <c r="B21" s="2" t="s">
        <v>366</v>
      </c>
      <c r="C21" s="5"/>
      <c r="D21" s="5"/>
      <c r="E21" s="5">
        <v>2586</v>
      </c>
      <c r="F21" s="37">
        <f>+V21-E21</f>
        <v>2762</v>
      </c>
      <c r="G21" s="5">
        <v>2356</v>
      </c>
      <c r="H21" s="5">
        <f t="shared" si="26"/>
        <v>2411</v>
      </c>
      <c r="I21" s="5"/>
      <c r="J21" s="5"/>
      <c r="K21" s="5"/>
      <c r="L21" s="5">
        <v>3873</v>
      </c>
      <c r="M21" s="5">
        <v>3773</v>
      </c>
      <c r="N21" s="5">
        <v>4266</v>
      </c>
      <c r="O21" s="5">
        <v>4509</v>
      </c>
      <c r="P21" s="5">
        <v>4882</v>
      </c>
      <c r="Q21" s="5">
        <v>5153</v>
      </c>
      <c r="R21" s="5">
        <v>4537</v>
      </c>
      <c r="S21" s="5">
        <v>4191</v>
      </c>
      <c r="T21" s="5">
        <v>4467</v>
      </c>
      <c r="U21" s="38">
        <v>5795</v>
      </c>
      <c r="V21" s="5">
        <v>5348</v>
      </c>
      <c r="W21" s="5">
        <v>4767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1:44" x14ac:dyDescent="0.2">
      <c r="B22" s="2" t="s">
        <v>193</v>
      </c>
      <c r="C22" s="5">
        <v>866</v>
      </c>
      <c r="D22" s="5">
        <f>U22-C22</f>
        <v>946</v>
      </c>
      <c r="E22" s="5">
        <v>869</v>
      </c>
      <c r="F22" s="37">
        <f>+V22-E22</f>
        <v>852</v>
      </c>
      <c r="G22" s="5">
        <v>737</v>
      </c>
      <c r="H22" s="5">
        <f t="shared" si="26"/>
        <v>805</v>
      </c>
      <c r="I22" s="5"/>
      <c r="J22" s="5"/>
      <c r="K22" s="5"/>
      <c r="L22" s="5"/>
      <c r="M22" s="5"/>
      <c r="N22" s="5"/>
      <c r="O22" s="5"/>
      <c r="P22" s="5">
        <v>318</v>
      </c>
      <c r="Q22" s="5">
        <v>401</v>
      </c>
      <c r="R22" s="5">
        <v>611</v>
      </c>
      <c r="S22" s="5">
        <v>927</v>
      </c>
      <c r="T22" s="5">
        <v>1436</v>
      </c>
      <c r="U22" s="5">
        <v>1812</v>
      </c>
      <c r="V22" s="5">
        <v>1721</v>
      </c>
      <c r="W22" s="5">
        <v>1542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1:44" x14ac:dyDescent="0.2">
      <c r="B23" s="2" t="s">
        <v>197</v>
      </c>
      <c r="C23" s="5">
        <v>550</v>
      </c>
      <c r="D23" s="5">
        <f>U23-C23</f>
        <v>446</v>
      </c>
      <c r="E23" s="5">
        <v>441</v>
      </c>
      <c r="F23" s="37">
        <f>+V23-E23</f>
        <v>480</v>
      </c>
      <c r="G23" s="5">
        <v>444</v>
      </c>
      <c r="H23" s="5">
        <f t="shared" si="26"/>
        <v>470</v>
      </c>
      <c r="I23" s="5"/>
      <c r="J23" s="5"/>
      <c r="K23" s="5"/>
      <c r="L23" s="5"/>
      <c r="M23" s="5"/>
      <c r="N23" s="5"/>
      <c r="O23" s="5"/>
      <c r="P23" s="5">
        <v>565</v>
      </c>
      <c r="Q23" s="5">
        <v>728</v>
      </c>
      <c r="R23" s="5">
        <v>634</v>
      </c>
      <c r="S23" s="5">
        <v>853</v>
      </c>
      <c r="T23" s="5">
        <v>1060</v>
      </c>
      <c r="U23" s="5">
        <v>996</v>
      </c>
      <c r="V23" s="5">
        <v>921</v>
      </c>
      <c r="W23" s="5">
        <v>914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44" x14ac:dyDescent="0.2">
      <c r="B24" s="2" t="s">
        <v>194</v>
      </c>
      <c r="C24" s="5">
        <v>240</v>
      </c>
      <c r="D24" s="5">
        <f>U24-C24</f>
        <v>299</v>
      </c>
      <c r="E24" s="5">
        <v>341</v>
      </c>
      <c r="F24" s="37">
        <f>+V24-E24</f>
        <v>449</v>
      </c>
      <c r="G24" s="5">
        <v>470</v>
      </c>
      <c r="H24" s="5">
        <f t="shared" si="26"/>
        <v>695</v>
      </c>
      <c r="I24" s="5"/>
      <c r="J24" s="5"/>
      <c r="K24" s="5"/>
      <c r="L24" s="5"/>
      <c r="M24" s="5"/>
      <c r="N24" s="5"/>
      <c r="O24" s="5"/>
      <c r="P24" s="5">
        <v>34</v>
      </c>
      <c r="Q24" s="5">
        <v>126</v>
      </c>
      <c r="R24" s="5">
        <v>198</v>
      </c>
      <c r="S24" s="5">
        <v>274</v>
      </c>
      <c r="T24" s="5">
        <v>398</v>
      </c>
      <c r="U24" s="5">
        <v>539</v>
      </c>
      <c r="V24" s="5">
        <v>790</v>
      </c>
      <c r="W24" s="5">
        <v>1165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x14ac:dyDescent="0.2">
      <c r="B25" s="2" t="s">
        <v>195</v>
      </c>
      <c r="C25" s="5">
        <v>571</v>
      </c>
      <c r="D25" s="5">
        <f>U25-C25</f>
        <v>592</v>
      </c>
      <c r="E25" s="5">
        <v>555</v>
      </c>
      <c r="F25" s="37">
        <f>+V25-E25</f>
        <v>537</v>
      </c>
      <c r="G25" s="5">
        <v>542</v>
      </c>
      <c r="H25" s="5">
        <f t="shared" si="26"/>
        <v>501</v>
      </c>
      <c r="I25" s="5"/>
      <c r="J25" s="5"/>
      <c r="K25" s="5"/>
      <c r="L25" s="5"/>
      <c r="M25" s="5"/>
      <c r="N25" s="5"/>
      <c r="O25" s="5"/>
      <c r="P25" s="5">
        <v>883</v>
      </c>
      <c r="Q25" s="5">
        <v>1081</v>
      </c>
      <c r="R25" s="5">
        <v>1160</v>
      </c>
      <c r="S25" s="5">
        <v>1118</v>
      </c>
      <c r="T25" s="5">
        <v>1209</v>
      </c>
      <c r="U25" s="5">
        <v>1163</v>
      </c>
      <c r="V25" s="5">
        <v>1092</v>
      </c>
      <c r="W25" s="5">
        <v>1043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1:44" x14ac:dyDescent="0.2">
      <c r="B26" s="2" t="s">
        <v>238</v>
      </c>
      <c r="C26" s="5">
        <f>SUM(C22:C25)</f>
        <v>2227</v>
      </c>
      <c r="D26" s="5">
        <f t="shared" ref="D26:E26" si="27">SUM(D22:D25)</f>
        <v>2283</v>
      </c>
      <c r="E26" s="5">
        <f t="shared" si="27"/>
        <v>2206</v>
      </c>
      <c r="F26" s="37">
        <f>+V26-E26</f>
        <v>2318</v>
      </c>
      <c r="G26" s="5">
        <v>2193</v>
      </c>
      <c r="H26" s="5">
        <f t="shared" si="26"/>
        <v>2471</v>
      </c>
      <c r="I26" s="5"/>
      <c r="J26" s="5"/>
      <c r="K26" s="5"/>
      <c r="L26" s="5"/>
      <c r="M26" s="5"/>
      <c r="N26" s="5"/>
      <c r="O26" s="5"/>
      <c r="P26" s="5">
        <f t="shared" ref="P26:V26" si="28">SUM(P22:P25)</f>
        <v>1800</v>
      </c>
      <c r="Q26" s="5">
        <f t="shared" si="28"/>
        <v>2336</v>
      </c>
      <c r="R26" s="5">
        <f t="shared" si="28"/>
        <v>2603</v>
      </c>
      <c r="S26" s="5">
        <f t="shared" si="28"/>
        <v>3172</v>
      </c>
      <c r="T26" s="5">
        <f t="shared" si="28"/>
        <v>4103</v>
      </c>
      <c r="U26" s="5">
        <f t="shared" si="28"/>
        <v>4510</v>
      </c>
      <c r="V26" s="5">
        <f t="shared" si="28"/>
        <v>4524</v>
      </c>
      <c r="W26" s="5">
        <f>3621+1043</f>
        <v>4664</v>
      </c>
      <c r="X26" s="5">
        <f t="shared" ref="X26:AE26" si="29">X7*X6</f>
        <v>3548.523715000942</v>
      </c>
      <c r="Y26" s="5">
        <f t="shared" si="29"/>
        <v>3709.8041178477342</v>
      </c>
      <c r="Z26" s="5">
        <f t="shared" si="29"/>
        <v>3878.4147150039139</v>
      </c>
      <c r="AA26" s="5">
        <f t="shared" si="29"/>
        <v>4054.6886638008414</v>
      </c>
      <c r="AB26" s="5">
        <f t="shared" si="29"/>
        <v>4238.9742635705898</v>
      </c>
      <c r="AC26" s="5">
        <f t="shared" si="29"/>
        <v>4431.6356438498724</v>
      </c>
      <c r="AD26" s="5">
        <f t="shared" si="29"/>
        <v>6265.3381605022987</v>
      </c>
      <c r="AE26" s="5">
        <f t="shared" si="29"/>
        <v>6453.2983053173666</v>
      </c>
      <c r="AF26" s="5">
        <f t="shared" ref="AF26" si="30">AF7*AF6</f>
        <v>6646.8972544768876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x14ac:dyDescent="0.2">
      <c r="B27" s="2" t="s">
        <v>196</v>
      </c>
      <c r="C27" s="5">
        <v>10967</v>
      </c>
      <c r="D27" s="5">
        <f>U27-C27</f>
        <v>11141</v>
      </c>
      <c r="E27" s="5">
        <v>9856</v>
      </c>
      <c r="F27" s="37">
        <f>+V27-E27</f>
        <v>10829</v>
      </c>
      <c r="G27" s="5">
        <v>9515</v>
      </c>
      <c r="H27" s="5">
        <f t="shared" si="26"/>
        <v>10686</v>
      </c>
      <c r="I27" s="5"/>
      <c r="J27" s="5"/>
      <c r="K27" s="5"/>
      <c r="L27" s="5"/>
      <c r="M27" s="5"/>
      <c r="N27" s="5"/>
      <c r="O27" s="5"/>
      <c r="P27" s="5">
        <v>15457</v>
      </c>
      <c r="Q27" s="5">
        <v>23001</v>
      </c>
      <c r="R27" s="5">
        <v>22752</v>
      </c>
      <c r="S27" s="5">
        <v>22029</v>
      </c>
      <c r="T27" s="5">
        <v>23030</v>
      </c>
      <c r="U27" s="5">
        <v>22108</v>
      </c>
      <c r="V27" s="5">
        <v>20685</v>
      </c>
      <c r="W27" s="5">
        <v>20201</v>
      </c>
      <c r="X27" s="5">
        <f t="shared" ref="X27:AC27" si="31">W27*(1-1%)</f>
        <v>19998.990000000002</v>
      </c>
      <c r="Y27" s="5">
        <f t="shared" si="31"/>
        <v>19799.000100000001</v>
      </c>
      <c r="Z27" s="5">
        <f t="shared" si="31"/>
        <v>19601.010098999999</v>
      </c>
      <c r="AA27" s="5">
        <f t="shared" si="31"/>
        <v>19404.99999801</v>
      </c>
      <c r="AB27" s="5">
        <f t="shared" si="31"/>
        <v>19210.949998029901</v>
      </c>
      <c r="AC27" s="5">
        <f t="shared" si="31"/>
        <v>19018.840498049602</v>
      </c>
      <c r="AD27" s="5">
        <f>AC27*(1-2%)</f>
        <v>18638.46368808861</v>
      </c>
      <c r="AE27" s="5">
        <f>AD27*(1-2%)</f>
        <v>18265.694414326837</v>
      </c>
      <c r="AF27" s="5">
        <f>AE27*(1-2%)</f>
        <v>17900.380526040299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x14ac:dyDescent="0.2">
      <c r="B28" s="2" t="s">
        <v>68</v>
      </c>
      <c r="C28" s="5">
        <v>247</v>
      </c>
      <c r="D28" s="5">
        <f>U28-C28</f>
        <v>418</v>
      </c>
      <c r="E28" s="5">
        <v>278</v>
      </c>
      <c r="F28" s="37">
        <f>+V28-E28</f>
        <v>380</v>
      </c>
      <c r="G28" s="5">
        <v>361</v>
      </c>
      <c r="H28" s="5">
        <f t="shared" si="26"/>
        <v>395</v>
      </c>
      <c r="I28" s="5"/>
      <c r="J28" s="5"/>
      <c r="K28" s="5"/>
      <c r="L28" s="5"/>
      <c r="M28" s="5"/>
      <c r="N28" s="5"/>
      <c r="O28" s="5"/>
      <c r="P28" s="5">
        <v>7235</v>
      </c>
      <c r="Q28" s="5">
        <v>540</v>
      </c>
      <c r="R28" s="5">
        <v>421</v>
      </c>
      <c r="S28" s="5">
        <v>483</v>
      </c>
      <c r="T28" s="5">
        <v>522</v>
      </c>
      <c r="U28" s="5">
        <v>665</v>
      </c>
      <c r="V28" s="5">
        <v>658</v>
      </c>
      <c r="W28" s="5">
        <v>756</v>
      </c>
      <c r="X28" s="5">
        <f t="shared" ref="X28:AF28" si="32">W28*(1+1%)</f>
        <v>763.56000000000006</v>
      </c>
      <c r="Y28" s="5">
        <f t="shared" si="32"/>
        <v>771.19560000000001</v>
      </c>
      <c r="Z28" s="5">
        <f t="shared" si="32"/>
        <v>778.907556</v>
      </c>
      <c r="AA28" s="5">
        <f t="shared" si="32"/>
        <v>786.69663156000001</v>
      </c>
      <c r="AB28" s="5">
        <f t="shared" si="32"/>
        <v>794.56359787560007</v>
      </c>
      <c r="AC28" s="5">
        <f t="shared" si="32"/>
        <v>802.50923385435613</v>
      </c>
      <c r="AD28" s="5">
        <f t="shared" si="32"/>
        <v>810.5343261928997</v>
      </c>
      <c r="AE28" s="5">
        <f t="shared" si="32"/>
        <v>818.63966945482866</v>
      </c>
      <c r="AF28" s="5">
        <f t="shared" si="32"/>
        <v>826.82606614937697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x14ac:dyDescent="0.2">
      <c r="B29" s="1" t="s">
        <v>26</v>
      </c>
      <c r="C29" s="41">
        <v>13441</v>
      </c>
      <c r="D29" s="41">
        <f>U29-C29</f>
        <v>13842</v>
      </c>
      <c r="E29" s="41">
        <v>12340</v>
      </c>
      <c r="F29" s="42">
        <f>+V29-E29</f>
        <v>13527</v>
      </c>
      <c r="G29" s="41">
        <v>12069</v>
      </c>
      <c r="H29" s="41">
        <f t="shared" si="26"/>
        <v>13541</v>
      </c>
      <c r="I29" s="41"/>
      <c r="J29" s="41"/>
      <c r="K29" s="41"/>
      <c r="L29" s="41">
        <v>13971</v>
      </c>
      <c r="M29" s="41">
        <v>13104</v>
      </c>
      <c r="N29" s="41">
        <v>14751</v>
      </c>
      <c r="O29" s="41">
        <v>20292</v>
      </c>
      <c r="P29" s="41">
        <v>24492</v>
      </c>
      <c r="Q29" s="41">
        <v>25877</v>
      </c>
      <c r="R29" s="41">
        <v>25776</v>
      </c>
      <c r="S29" s="41">
        <v>25684</v>
      </c>
      <c r="T29" s="41">
        <v>27655</v>
      </c>
      <c r="U29" s="41">
        <v>27283</v>
      </c>
      <c r="V29" s="41">
        <f>SUM(V26:V28)</f>
        <v>25867</v>
      </c>
      <c r="W29" s="41">
        <v>25610</v>
      </c>
      <c r="X29" s="41">
        <f t="shared" ref="X29:AE29" si="33">SUM(X22:X28)</f>
        <v>24311.073715000945</v>
      </c>
      <c r="Y29" s="41">
        <f t="shared" si="33"/>
        <v>24279.999817847733</v>
      </c>
      <c r="Z29" s="41">
        <f t="shared" si="33"/>
        <v>24258.332370003911</v>
      </c>
      <c r="AA29" s="41">
        <f t="shared" si="33"/>
        <v>24246.38529337084</v>
      </c>
      <c r="AB29" s="41">
        <f t="shared" si="33"/>
        <v>24244.487859476092</v>
      </c>
      <c r="AC29" s="41">
        <f t="shared" si="33"/>
        <v>24252.985375753829</v>
      </c>
      <c r="AD29" s="41">
        <f t="shared" si="33"/>
        <v>25714.33617478381</v>
      </c>
      <c r="AE29" s="41">
        <f t="shared" si="33"/>
        <v>25537.632389099032</v>
      </c>
      <c r="AF29" s="41">
        <f t="shared" ref="AF29" si="34">SUM(AF22:AF28)</f>
        <v>25374.103846666563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x14ac:dyDescent="0.2">
      <c r="B30" s="2" t="s">
        <v>27</v>
      </c>
      <c r="C30" s="5">
        <v>2251</v>
      </c>
      <c r="D30" s="5">
        <f>U30-C30</f>
        <v>2294</v>
      </c>
      <c r="E30" s="5">
        <v>2304</v>
      </c>
      <c r="F30" s="37">
        <f>+V30-E30</f>
        <v>2261</v>
      </c>
      <c r="G30" s="5">
        <v>2166</v>
      </c>
      <c r="H30" s="5">
        <f t="shared" si="26"/>
        <v>2299</v>
      </c>
      <c r="I30" s="5"/>
      <c r="J30" s="5"/>
      <c r="K30" s="5"/>
      <c r="L30" s="5">
        <v>3088</v>
      </c>
      <c r="M30" s="5">
        <v>3217</v>
      </c>
      <c r="N30" s="5">
        <v>3777</v>
      </c>
      <c r="O30" s="5">
        <v>4520</v>
      </c>
      <c r="P30" s="5">
        <v>4664</v>
      </c>
      <c r="Q30" s="5">
        <v>4599</v>
      </c>
      <c r="R30" s="5">
        <v>4583</v>
      </c>
      <c r="S30" s="5">
        <v>4542</v>
      </c>
      <c r="T30" s="5">
        <v>4781</v>
      </c>
      <c r="U30" s="5">
        <v>4545</v>
      </c>
      <c r="V30" s="5">
        <v>4565</v>
      </c>
      <c r="W30" s="5">
        <v>4465</v>
      </c>
      <c r="X30" s="5">
        <f t="shared" ref="X30:AF30" si="35">W30*(1-0.1%)</f>
        <v>4460.5349999999999</v>
      </c>
      <c r="Y30" s="5">
        <f t="shared" si="35"/>
        <v>4456.0744649999997</v>
      </c>
      <c r="Z30" s="5">
        <f t="shared" si="35"/>
        <v>4451.6183905349999</v>
      </c>
      <c r="AA30" s="5">
        <f t="shared" si="35"/>
        <v>4447.1667721444646</v>
      </c>
      <c r="AB30" s="5">
        <f t="shared" si="35"/>
        <v>4442.7196053723201</v>
      </c>
      <c r="AC30" s="5">
        <f t="shared" si="35"/>
        <v>4438.276885766948</v>
      </c>
      <c r="AD30" s="5">
        <f t="shared" si="35"/>
        <v>4433.8386088811812</v>
      </c>
      <c r="AE30" s="5">
        <f t="shared" si="35"/>
        <v>4429.4047702723001</v>
      </c>
      <c r="AF30" s="5">
        <f t="shared" si="35"/>
        <v>4424.9753655020277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x14ac:dyDescent="0.2">
      <c r="B31" s="2" t="s">
        <v>28</v>
      </c>
      <c r="C31" s="5">
        <v>7</v>
      </c>
      <c r="D31" s="5">
        <f>U31-C31</f>
        <v>-103</v>
      </c>
      <c r="E31" s="5">
        <v>140</v>
      </c>
      <c r="F31" s="37">
        <f>+V31-E31</f>
        <v>-11</v>
      </c>
      <c r="G31" s="5">
        <v>185</v>
      </c>
      <c r="H31" s="5">
        <f t="shared" si="26"/>
        <v>54</v>
      </c>
      <c r="I31" s="5"/>
      <c r="J31" s="5"/>
      <c r="K31" s="5"/>
      <c r="L31" s="5">
        <v>58</v>
      </c>
      <c r="M31" s="5">
        <v>184</v>
      </c>
      <c r="N31" s="5">
        <v>44</v>
      </c>
      <c r="O31" s="5">
        <v>-513</v>
      </c>
      <c r="P31" s="5">
        <v>114</v>
      </c>
      <c r="Q31" s="5">
        <v>162</v>
      </c>
      <c r="R31" s="5">
        <v>445</v>
      </c>
      <c r="S31" s="5">
        <v>160</v>
      </c>
      <c r="T31" s="5">
        <v>227</v>
      </c>
      <c r="U31" s="5">
        <v>-96</v>
      </c>
      <c r="V31" s="5">
        <v>129</v>
      </c>
      <c r="W31" s="5">
        <v>239</v>
      </c>
      <c r="X31" s="5">
        <f t="shared" ref="X31:AF34" si="36">W31*(1-0.1%)</f>
        <v>238.761</v>
      </c>
      <c r="Y31" s="5">
        <f t="shared" si="36"/>
        <v>238.52223899999998</v>
      </c>
      <c r="Z31" s="5">
        <f t="shared" si="36"/>
        <v>238.28371676099999</v>
      </c>
      <c r="AA31" s="5">
        <f t="shared" si="36"/>
        <v>238.04543304423899</v>
      </c>
      <c r="AB31" s="5">
        <f t="shared" si="36"/>
        <v>237.80738761119474</v>
      </c>
      <c r="AC31" s="5">
        <f t="shared" si="36"/>
        <v>237.56958022358356</v>
      </c>
      <c r="AD31" s="5">
        <f t="shared" si="36"/>
        <v>237.33201064335998</v>
      </c>
      <c r="AE31" s="5">
        <f t="shared" si="36"/>
        <v>237.09467863271661</v>
      </c>
      <c r="AF31" s="5">
        <f t="shared" si="36"/>
        <v>236.85758395408388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x14ac:dyDescent="0.2">
      <c r="B32" s="2" t="s">
        <v>29</v>
      </c>
      <c r="C32" s="5">
        <v>1389</v>
      </c>
      <c r="D32" s="5">
        <f>U32-C32</f>
        <v>1275</v>
      </c>
      <c r="E32" s="5">
        <v>1375</v>
      </c>
      <c r="F32" s="37">
        <f>+V32-E32</f>
        <v>1456</v>
      </c>
      <c r="G32" s="5">
        <v>1463</v>
      </c>
      <c r="H32" s="5">
        <f t="shared" si="26"/>
        <v>1662</v>
      </c>
      <c r="I32" s="5"/>
      <c r="J32" s="5"/>
      <c r="K32" s="5"/>
      <c r="L32" s="5">
        <v>2194</v>
      </c>
      <c r="M32" s="5">
        <v>2039</v>
      </c>
      <c r="N32" s="5">
        <v>2274</v>
      </c>
      <c r="O32" s="5">
        <v>2679</v>
      </c>
      <c r="P32" s="5">
        <v>3005</v>
      </c>
      <c r="Q32" s="5">
        <v>3221</v>
      </c>
      <c r="R32" s="5">
        <v>2744</v>
      </c>
      <c r="S32" s="5">
        <v>2717</v>
      </c>
      <c r="T32" s="5">
        <v>2972</v>
      </c>
      <c r="U32" s="5">
        <v>2664</v>
      </c>
      <c r="V32" s="5">
        <v>2831</v>
      </c>
      <c r="W32" s="5">
        <v>3125</v>
      </c>
      <c r="X32" s="5">
        <f t="shared" si="36"/>
        <v>3121.875</v>
      </c>
      <c r="Y32" s="5">
        <f t="shared" si="36"/>
        <v>3118.7531250000002</v>
      </c>
      <c r="Z32" s="5">
        <f t="shared" si="36"/>
        <v>3115.6343718750004</v>
      </c>
      <c r="AA32" s="5">
        <f t="shared" si="36"/>
        <v>3112.5187375031255</v>
      </c>
      <c r="AB32" s="5">
        <f t="shared" si="36"/>
        <v>3109.4062187656223</v>
      </c>
      <c r="AC32" s="5">
        <f t="shared" si="36"/>
        <v>3106.2968125468565</v>
      </c>
      <c r="AD32" s="5">
        <f t="shared" si="36"/>
        <v>3103.1905157343094</v>
      </c>
      <c r="AE32" s="5">
        <f t="shared" si="36"/>
        <v>3100.0873252185752</v>
      </c>
      <c r="AF32" s="5">
        <f t="shared" si="36"/>
        <v>3096.9872378933565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1:44" x14ac:dyDescent="0.2">
      <c r="A33" s="1"/>
      <c r="B33" s="2" t="s">
        <v>31</v>
      </c>
      <c r="C33" s="5">
        <f t="shared" ref="C33:D33" si="37">C29-C30+C31-C32</f>
        <v>9808</v>
      </c>
      <c r="D33" s="5">
        <f t="shared" si="37"/>
        <v>10170</v>
      </c>
      <c r="E33" s="5">
        <f>E29-E30+E31-E32</f>
        <v>8801</v>
      </c>
      <c r="F33" s="5">
        <f>F29-F30+F31-F32</f>
        <v>9799</v>
      </c>
      <c r="G33" s="5">
        <f>G29-G30+G31-G32</f>
        <v>8625</v>
      </c>
      <c r="H33" s="5">
        <f>H29-H30+H31-H32</f>
        <v>9634</v>
      </c>
      <c r="I33" s="5"/>
      <c r="J33" s="5"/>
      <c r="K33" s="5"/>
      <c r="L33" s="5">
        <f t="shared" ref="L33:AE33" si="38">L29-L30+L31-L32</f>
        <v>8747</v>
      </c>
      <c r="M33" s="5">
        <f t="shared" si="38"/>
        <v>8032</v>
      </c>
      <c r="N33" s="5">
        <f t="shared" si="38"/>
        <v>8744</v>
      </c>
      <c r="O33" s="5">
        <f t="shared" si="38"/>
        <v>12580</v>
      </c>
      <c r="P33" s="5">
        <f t="shared" si="38"/>
        <v>16937</v>
      </c>
      <c r="Q33" s="5">
        <f t="shared" si="38"/>
        <v>18219</v>
      </c>
      <c r="R33" s="5">
        <f t="shared" si="38"/>
        <v>18894</v>
      </c>
      <c r="S33" s="5">
        <f t="shared" si="38"/>
        <v>18585</v>
      </c>
      <c r="T33" s="5">
        <f t="shared" si="38"/>
        <v>20129</v>
      </c>
      <c r="U33" s="5">
        <f t="shared" si="38"/>
        <v>19978</v>
      </c>
      <c r="V33" s="5">
        <f t="shared" si="38"/>
        <v>18600</v>
      </c>
      <c r="W33" s="5">
        <f t="shared" si="38"/>
        <v>18259</v>
      </c>
      <c r="X33" s="5">
        <f t="shared" si="38"/>
        <v>16967.424715000943</v>
      </c>
      <c r="Y33" s="5">
        <f t="shared" si="38"/>
        <v>16943.694466847737</v>
      </c>
      <c r="Z33" s="5">
        <f t="shared" si="38"/>
        <v>16929.363324354912</v>
      </c>
      <c r="AA33" s="5">
        <f t="shared" si="38"/>
        <v>16924.745216767493</v>
      </c>
      <c r="AB33" s="5">
        <f t="shared" si="38"/>
        <v>16930.169422949344</v>
      </c>
      <c r="AC33" s="5">
        <f t="shared" si="38"/>
        <v>16945.981257663607</v>
      </c>
      <c r="AD33" s="5">
        <f t="shared" si="38"/>
        <v>18414.639060811678</v>
      </c>
      <c r="AE33" s="5">
        <f t="shared" si="38"/>
        <v>18245.234972240873</v>
      </c>
      <c r="AF33" s="5">
        <f t="shared" ref="AF33" si="39">AF29-AF30+AF31-AF32</f>
        <v>18088.998827225259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x14ac:dyDescent="0.2">
      <c r="B34" s="2" t="s">
        <v>30</v>
      </c>
      <c r="C34" s="5">
        <v>480</v>
      </c>
      <c r="D34" s="5">
        <f>U34-C34</f>
        <v>28134</v>
      </c>
      <c r="E34" s="5">
        <v>1620</v>
      </c>
      <c r="F34" s="37">
        <f>+V34-E34</f>
        <v>1481</v>
      </c>
      <c r="G34" s="5">
        <v>1192</v>
      </c>
      <c r="H34" s="5">
        <f t="shared" si="26"/>
        <v>1355</v>
      </c>
      <c r="I34" s="5"/>
      <c r="J34" s="5"/>
      <c r="K34" s="5"/>
      <c r="L34" s="5">
        <v>523</v>
      </c>
      <c r="M34" s="5">
        <v>428</v>
      </c>
      <c r="N34" s="5">
        <v>607</v>
      </c>
      <c r="O34" s="5">
        <v>902</v>
      </c>
      <c r="P34" s="5">
        <v>1038</v>
      </c>
      <c r="Q34" s="5">
        <v>1512</v>
      </c>
      <c r="R34" s="5">
        <v>1450</v>
      </c>
      <c r="S34" s="5">
        <v>1076</v>
      </c>
      <c r="T34" s="5">
        <v>1305</v>
      </c>
      <c r="U34" s="5">
        <v>28614</v>
      </c>
      <c r="V34" s="5">
        <v>3101</v>
      </c>
      <c r="W34" s="5">
        <v>2547</v>
      </c>
      <c r="X34" s="5">
        <f t="shared" si="36"/>
        <v>2544.453</v>
      </c>
      <c r="Y34" s="5">
        <f t="shared" si="36"/>
        <v>2541.908547</v>
      </c>
      <c r="Z34" s="5">
        <f t="shared" si="36"/>
        <v>2539.3666384530002</v>
      </c>
      <c r="AA34" s="5">
        <f t="shared" si="36"/>
        <v>2536.8272718145472</v>
      </c>
      <c r="AB34" s="5">
        <f t="shared" si="36"/>
        <v>2534.2904445427325</v>
      </c>
      <c r="AC34" s="5">
        <f t="shared" si="36"/>
        <v>2531.7561540981897</v>
      </c>
      <c r="AD34" s="5">
        <f t="shared" si="36"/>
        <v>2529.2243979440914</v>
      </c>
      <c r="AE34" s="5">
        <f t="shared" si="36"/>
        <v>2526.6951735461471</v>
      </c>
      <c r="AF34" s="5">
        <f t="shared" si="36"/>
        <v>2524.1684783726009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x14ac:dyDescent="0.2">
      <c r="B35" s="2" t="s">
        <v>32</v>
      </c>
      <c r="C35" s="5">
        <v>239</v>
      </c>
      <c r="D35" s="5">
        <f>U35-C35</f>
        <v>193</v>
      </c>
      <c r="E35" s="5">
        <v>223</v>
      </c>
      <c r="F35" s="37">
        <f>+V35-E35</f>
        <v>117</v>
      </c>
      <c r="G35" s="5">
        <v>54</v>
      </c>
      <c r="H35" s="5">
        <f t="shared" si="26"/>
        <v>138</v>
      </c>
      <c r="I35" s="5"/>
      <c r="J35" s="5"/>
      <c r="K35" s="5"/>
      <c r="L35" s="5">
        <v>178</v>
      </c>
      <c r="M35" s="5">
        <v>225</v>
      </c>
      <c r="N35" s="5">
        <v>176</v>
      </c>
      <c r="O35" s="5">
        <v>144</v>
      </c>
      <c r="P35" s="5">
        <v>85</v>
      </c>
      <c r="Q35" s="5">
        <v>163</v>
      </c>
      <c r="R35" s="5">
        <v>188</v>
      </c>
      <c r="S35" s="5">
        <v>196</v>
      </c>
      <c r="T35" s="5">
        <v>722</v>
      </c>
      <c r="U35" s="5">
        <v>432</v>
      </c>
      <c r="V35" s="5">
        <v>340</v>
      </c>
      <c r="W35" s="5">
        <v>192</v>
      </c>
      <c r="X35" s="5">
        <f t="shared" ref="X35:AF35" si="40">W35*(1-0.1%)</f>
        <v>191.80799999999999</v>
      </c>
      <c r="Y35" s="5">
        <f t="shared" si="40"/>
        <v>191.61619199999998</v>
      </c>
      <c r="Z35" s="5">
        <f t="shared" si="40"/>
        <v>191.42457580799999</v>
      </c>
      <c r="AA35" s="5">
        <f t="shared" si="40"/>
        <v>191.23315123219197</v>
      </c>
      <c r="AB35" s="5">
        <f t="shared" si="40"/>
        <v>191.04191808095979</v>
      </c>
      <c r="AC35" s="5">
        <f t="shared" si="40"/>
        <v>190.85087616287882</v>
      </c>
      <c r="AD35" s="5">
        <f t="shared" si="40"/>
        <v>190.66002528671595</v>
      </c>
      <c r="AE35" s="5">
        <f t="shared" si="40"/>
        <v>190.46936526142923</v>
      </c>
      <c r="AF35" s="5">
        <f t="shared" si="40"/>
        <v>190.2788958961678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1:44" x14ac:dyDescent="0.2">
      <c r="B36" s="2" t="s">
        <v>33</v>
      </c>
      <c r="C36" s="5">
        <v>3</v>
      </c>
      <c r="D36" s="5">
        <f>U36-C36</f>
        <v>6</v>
      </c>
      <c r="E36" s="5">
        <v>4</v>
      </c>
      <c r="F36" s="37">
        <f>+V36-E36</f>
        <v>6</v>
      </c>
      <c r="G36" s="5">
        <v>5</v>
      </c>
      <c r="H36" s="5">
        <f t="shared" si="26"/>
        <v>7</v>
      </c>
      <c r="I36" s="5"/>
      <c r="J36" s="5"/>
      <c r="K36" s="5"/>
      <c r="L36" s="5">
        <v>0</v>
      </c>
      <c r="M36" s="5">
        <v>0</v>
      </c>
      <c r="N36" s="5">
        <v>0</v>
      </c>
      <c r="O36" s="5">
        <v>0</v>
      </c>
      <c r="P36" s="5">
        <v>3</v>
      </c>
      <c r="Q36" s="5">
        <v>3</v>
      </c>
      <c r="R36" s="5">
        <v>3</v>
      </c>
      <c r="S36" s="5">
        <v>3</v>
      </c>
      <c r="T36" s="5">
        <v>5</v>
      </c>
      <c r="U36" s="5">
        <v>9</v>
      </c>
      <c r="V36" s="5">
        <v>10</v>
      </c>
      <c r="W36" s="5">
        <v>12</v>
      </c>
      <c r="X36" s="5">
        <f t="shared" ref="X36:AF36" si="41">W36*(1-0.1%)</f>
        <v>11.988</v>
      </c>
      <c r="Y36" s="5">
        <f t="shared" si="41"/>
        <v>11.976011999999999</v>
      </c>
      <c r="Z36" s="5">
        <f t="shared" si="41"/>
        <v>11.964035987999999</v>
      </c>
      <c r="AA36" s="5">
        <f t="shared" si="41"/>
        <v>11.952071952011998</v>
      </c>
      <c r="AB36" s="5">
        <f t="shared" si="41"/>
        <v>11.940119880059987</v>
      </c>
      <c r="AC36" s="5">
        <f t="shared" si="41"/>
        <v>11.928179760179926</v>
      </c>
      <c r="AD36" s="5">
        <f t="shared" si="41"/>
        <v>11.916251580419747</v>
      </c>
      <c r="AE36" s="5">
        <f t="shared" si="41"/>
        <v>11.904335328839327</v>
      </c>
      <c r="AF36" s="5">
        <f t="shared" si="41"/>
        <v>11.892430993510487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spans="1:44" x14ac:dyDescent="0.2">
      <c r="B37" s="2" t="s">
        <v>34</v>
      </c>
      <c r="C37" s="5">
        <v>3629</v>
      </c>
      <c r="D37" s="5">
        <f>U37-C37</f>
        <v>3909</v>
      </c>
      <c r="E37" s="5">
        <v>3142</v>
      </c>
      <c r="F37" s="37">
        <f>+V37-E37</f>
        <v>9951</v>
      </c>
      <c r="G37" s="5">
        <v>2413</v>
      </c>
      <c r="H37" s="5">
        <f t="shared" si="26"/>
        <v>3482</v>
      </c>
      <c r="I37" s="5"/>
      <c r="J37" s="5"/>
      <c r="K37" s="5"/>
      <c r="L37" s="5">
        <v>3856</v>
      </c>
      <c r="M37" s="5">
        <v>3272</v>
      </c>
      <c r="N37" s="5">
        <v>3658</v>
      </c>
      <c r="O37" s="5">
        <v>5346</v>
      </c>
      <c r="P37" s="5">
        <v>6668</v>
      </c>
      <c r="Q37" s="5">
        <v>7851</v>
      </c>
      <c r="R37" s="5">
        <v>7667</v>
      </c>
      <c r="S37" s="5">
        <v>7468</v>
      </c>
      <c r="T37" s="5">
        <v>9018</v>
      </c>
      <c r="U37" s="5">
        <v>7538</v>
      </c>
      <c r="V37" s="5">
        <v>13093</v>
      </c>
      <c r="W37" s="5">
        <v>5895</v>
      </c>
      <c r="X37" s="5">
        <f t="shared" ref="X37:AF37" si="42">W37*(1-0.1%)</f>
        <v>5889.1049999999996</v>
      </c>
      <c r="Y37" s="5">
        <f t="shared" si="42"/>
        <v>5883.2158949999994</v>
      </c>
      <c r="Z37" s="5">
        <f t="shared" si="42"/>
        <v>5877.3326791049994</v>
      </c>
      <c r="AA37" s="5">
        <f t="shared" si="42"/>
        <v>5871.4553464258943</v>
      </c>
      <c r="AB37" s="5">
        <f t="shared" si="42"/>
        <v>5865.5838910794682</v>
      </c>
      <c r="AC37" s="5">
        <f t="shared" si="42"/>
        <v>5859.7183071883892</v>
      </c>
      <c r="AD37" s="5">
        <f t="shared" si="42"/>
        <v>5853.8585888812004</v>
      </c>
      <c r="AE37" s="5">
        <f t="shared" si="42"/>
        <v>5848.0047302923194</v>
      </c>
      <c r="AF37" s="5">
        <f t="shared" si="42"/>
        <v>5842.1567255620275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1:44" x14ac:dyDescent="0.2">
      <c r="B38" s="2" t="s">
        <v>35</v>
      </c>
      <c r="C38" s="5">
        <f t="shared" ref="C38:D38" si="43">C33-C34+C35-C36-C37</f>
        <v>5935</v>
      </c>
      <c r="D38" s="5">
        <f t="shared" si="43"/>
        <v>-21686</v>
      </c>
      <c r="E38" s="5">
        <f>E33-E34+E35-E36-E37</f>
        <v>4258</v>
      </c>
      <c r="F38" s="5">
        <f>F33-F34+F35-F36-F37</f>
        <v>-1522</v>
      </c>
      <c r="G38" s="5">
        <f>G33-G34+G35-G36-G37</f>
        <v>5069</v>
      </c>
      <c r="H38" s="5">
        <f>H33-H34+H35-H36-H37</f>
        <v>4928</v>
      </c>
      <c r="I38" s="5"/>
      <c r="J38" s="5"/>
      <c r="K38" s="5"/>
      <c r="L38" s="5">
        <f t="shared" ref="L38:O38" si="44">L33-L34+L35-L36-L37</f>
        <v>4546</v>
      </c>
      <c r="M38" s="5">
        <f t="shared" si="44"/>
        <v>4557</v>
      </c>
      <c r="N38" s="5">
        <f t="shared" si="44"/>
        <v>4655</v>
      </c>
      <c r="O38" s="5">
        <f t="shared" si="44"/>
        <v>6476</v>
      </c>
      <c r="P38" s="5">
        <f t="shared" ref="P38:U38" si="45">P33-P34+P35-P36-P37</f>
        <v>9313</v>
      </c>
      <c r="Q38" s="5">
        <f t="shared" si="45"/>
        <v>9016</v>
      </c>
      <c r="R38" s="5">
        <f t="shared" si="45"/>
        <v>9962</v>
      </c>
      <c r="S38" s="5">
        <f t="shared" si="45"/>
        <v>10234</v>
      </c>
      <c r="T38" s="5">
        <f t="shared" si="45"/>
        <v>10523</v>
      </c>
      <c r="U38" s="5">
        <f t="shared" si="45"/>
        <v>-15751</v>
      </c>
      <c r="V38" s="5">
        <f>V33-V34+V35-V36-V37</f>
        <v>2736</v>
      </c>
      <c r="W38" s="5">
        <f>W33-W34+W35-W36-W37</f>
        <v>9997</v>
      </c>
      <c r="X38" s="5">
        <f t="shared" ref="X38:AF38" si="46">39%*X29</f>
        <v>9481.3187488503681</v>
      </c>
      <c r="Y38" s="5">
        <f t="shared" si="46"/>
        <v>9469.1999289606156</v>
      </c>
      <c r="Z38" s="5">
        <f t="shared" si="46"/>
        <v>9460.7496243015248</v>
      </c>
      <c r="AA38" s="5">
        <f t="shared" si="46"/>
        <v>9456.0902644146281</v>
      </c>
      <c r="AB38" s="5">
        <f t="shared" si="46"/>
        <v>9455.3502651956769</v>
      </c>
      <c r="AC38" s="5">
        <f t="shared" si="46"/>
        <v>9458.6642965439933</v>
      </c>
      <c r="AD38" s="5">
        <f t="shared" si="46"/>
        <v>10028.591108165687</v>
      </c>
      <c r="AE38" s="5">
        <f t="shared" si="46"/>
        <v>9959.6766317486235</v>
      </c>
      <c r="AF38" s="5">
        <f t="shared" si="46"/>
        <v>9895.9005001999594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4" x14ac:dyDescent="0.2">
      <c r="B39" s="2" t="s">
        <v>36</v>
      </c>
      <c r="C39" s="5">
        <v>-921</v>
      </c>
      <c r="D39" s="5">
        <f>U39-C39</f>
        <v>-974</v>
      </c>
      <c r="E39" s="5">
        <v>-305</v>
      </c>
      <c r="F39" s="37">
        <f>+V39-E39</f>
        <v>-793</v>
      </c>
      <c r="G39" s="5">
        <v>-969</v>
      </c>
      <c r="H39" s="5">
        <f t="shared" si="26"/>
        <v>-850</v>
      </c>
      <c r="I39" s="5"/>
      <c r="J39" s="5"/>
      <c r="K39" s="5"/>
      <c r="L39" s="5">
        <v>-417</v>
      </c>
      <c r="M39" s="5">
        <v>62</v>
      </c>
      <c r="N39" s="5">
        <v>-637</v>
      </c>
      <c r="O39" s="5">
        <v>-1094</v>
      </c>
      <c r="P39" s="5">
        <v>-1381</v>
      </c>
      <c r="Q39" s="5">
        <v>-1602</v>
      </c>
      <c r="R39" s="5">
        <v>-1745</v>
      </c>
      <c r="S39" s="5">
        <v>-1486</v>
      </c>
      <c r="T39" s="5">
        <v>-1641</v>
      </c>
      <c r="U39" s="5">
        <v>-1895</v>
      </c>
      <c r="V39" s="5">
        <v>-1098</v>
      </c>
      <c r="W39" s="5">
        <v>-1819</v>
      </c>
      <c r="X39" s="5">
        <f t="shared" ref="X39:AF39" si="47">W39*(1-0.1%)</f>
        <v>-1817.181</v>
      </c>
      <c r="Y39" s="5">
        <f t="shared" si="47"/>
        <v>-1815.3638190000001</v>
      </c>
      <c r="Z39" s="5">
        <f t="shared" si="47"/>
        <v>-1813.5484551810002</v>
      </c>
      <c r="AA39" s="5">
        <f t="shared" si="47"/>
        <v>-1811.7349067258192</v>
      </c>
      <c r="AB39" s="5">
        <f t="shared" si="47"/>
        <v>-1809.9231718190933</v>
      </c>
      <c r="AC39" s="5">
        <f t="shared" si="47"/>
        <v>-1808.1132486472743</v>
      </c>
      <c r="AD39" s="5">
        <f t="shared" si="47"/>
        <v>-1806.305135398627</v>
      </c>
      <c r="AE39" s="5">
        <f t="shared" si="47"/>
        <v>-1804.4988302632285</v>
      </c>
      <c r="AF39" s="5">
        <f t="shared" si="47"/>
        <v>-1802.6943314329653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1:44" x14ac:dyDescent="0.2">
      <c r="B40" s="2" t="s">
        <v>37</v>
      </c>
      <c r="C40" s="5">
        <v>289</v>
      </c>
      <c r="D40" s="5">
        <f>U40-C40</f>
        <v>296</v>
      </c>
      <c r="E40" s="5">
        <v>1647</v>
      </c>
      <c r="F40" s="37">
        <f>+V40-E40</f>
        <v>253</v>
      </c>
      <c r="G40" s="5">
        <v>1474</v>
      </c>
      <c r="H40" s="5">
        <f t="shared" si="26"/>
        <v>207</v>
      </c>
      <c r="I40" s="5"/>
      <c r="J40" s="5"/>
      <c r="K40" s="5"/>
      <c r="L40" s="5">
        <v>719</v>
      </c>
      <c r="M40" s="5">
        <v>1236</v>
      </c>
      <c r="N40" s="5">
        <v>2227</v>
      </c>
      <c r="O40" s="5">
        <v>24209</v>
      </c>
      <c r="P40" s="5">
        <v>419</v>
      </c>
      <c r="Q40" s="5">
        <v>498</v>
      </c>
      <c r="R40" s="5">
        <v>455</v>
      </c>
      <c r="S40" s="5">
        <v>415</v>
      </c>
      <c r="T40" s="5">
        <v>442</v>
      </c>
      <c r="U40" s="5">
        <v>585</v>
      </c>
      <c r="V40" s="5">
        <v>1900</v>
      </c>
      <c r="W40" s="5">
        <v>1681</v>
      </c>
      <c r="X40" s="5">
        <f t="shared" ref="X40:AF40" si="48">W40*(1-0.1%)</f>
        <v>1679.319</v>
      </c>
      <c r="Y40" s="5">
        <f t="shared" si="48"/>
        <v>1677.6396809999999</v>
      </c>
      <c r="Z40" s="5">
        <f t="shared" si="48"/>
        <v>1675.9620413189998</v>
      </c>
      <c r="AA40" s="5">
        <f t="shared" si="48"/>
        <v>1674.2860792776808</v>
      </c>
      <c r="AB40" s="5">
        <f t="shared" si="48"/>
        <v>1672.6117931984031</v>
      </c>
      <c r="AC40" s="5">
        <f t="shared" si="48"/>
        <v>1670.9391814052046</v>
      </c>
      <c r="AD40" s="5">
        <f t="shared" si="48"/>
        <v>1669.2682422237995</v>
      </c>
      <c r="AE40" s="5">
        <f t="shared" si="48"/>
        <v>1667.5989739815757</v>
      </c>
      <c r="AF40" s="5">
        <f t="shared" si="48"/>
        <v>1665.9313750075942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1:44" x14ac:dyDescent="0.2">
      <c r="B41" s="2" t="s">
        <v>38</v>
      </c>
      <c r="C41" s="5">
        <f t="shared" ref="C41:D41" si="49">C38+SUM(C39:C40)</f>
        <v>5303</v>
      </c>
      <c r="D41" s="5">
        <f t="shared" si="49"/>
        <v>-22364</v>
      </c>
      <c r="E41" s="5">
        <f>E38+SUM(E39:E40)</f>
        <v>5600</v>
      </c>
      <c r="F41" s="5">
        <f t="shared" ref="F41:H41" si="50">F38+SUM(F39:F40)</f>
        <v>-2062</v>
      </c>
      <c r="G41" s="5">
        <f t="shared" si="50"/>
        <v>5574</v>
      </c>
      <c r="H41" s="5">
        <f t="shared" si="50"/>
        <v>4285</v>
      </c>
      <c r="I41" s="5"/>
      <c r="J41" s="5"/>
      <c r="K41" s="5"/>
      <c r="L41" s="5">
        <f t="shared" ref="L41:P41" si="51">L38+SUM(L39:L40)</f>
        <v>4848</v>
      </c>
      <c r="M41" s="5">
        <f t="shared" si="51"/>
        <v>5855</v>
      </c>
      <c r="N41" s="5">
        <f t="shared" si="51"/>
        <v>6245</v>
      </c>
      <c r="O41" s="5">
        <f t="shared" si="51"/>
        <v>29591</v>
      </c>
      <c r="P41" s="5">
        <f t="shared" si="51"/>
        <v>8351</v>
      </c>
      <c r="Q41" s="5">
        <f t="shared" ref="Q41" si="52">Q38+SUM(Q39:Q40)</f>
        <v>7912</v>
      </c>
      <c r="R41" s="5">
        <f t="shared" ref="R41" si="53">R38+SUM(R39:R40)</f>
        <v>8672</v>
      </c>
      <c r="S41" s="5">
        <f t="shared" ref="S41" si="54">S38+SUM(S39:S40)</f>
        <v>9163</v>
      </c>
      <c r="T41" s="5">
        <f t="shared" ref="T41" si="55">T38+SUM(T39:T40)</f>
        <v>9324</v>
      </c>
      <c r="U41" s="5">
        <f>U38+SUM(U39:U40)</f>
        <v>-17061</v>
      </c>
      <c r="V41" s="5">
        <f>V38+SUM(V39:V40)</f>
        <v>3538</v>
      </c>
      <c r="W41" s="5">
        <f>W38+SUM(W39:W40)</f>
        <v>9859</v>
      </c>
      <c r="X41" s="5">
        <f t="shared" ref="X41:AE41" si="56">X38+SUM(X39:X40)</f>
        <v>9343.4567488503671</v>
      </c>
      <c r="Y41" s="5">
        <f t="shared" si="56"/>
        <v>9331.475790960616</v>
      </c>
      <c r="Z41" s="5">
        <f t="shared" si="56"/>
        <v>9323.1632104395248</v>
      </c>
      <c r="AA41" s="5">
        <f t="shared" si="56"/>
        <v>9318.641436966489</v>
      </c>
      <c r="AB41" s="5">
        <f t="shared" si="56"/>
        <v>9318.0388865749865</v>
      </c>
      <c r="AC41" s="5">
        <f t="shared" si="56"/>
        <v>9321.490229301924</v>
      </c>
      <c r="AD41" s="5">
        <f t="shared" si="56"/>
        <v>9891.5542149908597</v>
      </c>
      <c r="AE41" s="5">
        <f t="shared" si="56"/>
        <v>9822.7767754669712</v>
      </c>
      <c r="AF41" s="5">
        <f t="shared" ref="AF41" si="57">AF38+SUM(AF39:AF40)</f>
        <v>9759.1375437745883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x14ac:dyDescent="0.2">
      <c r="B42" s="2" t="s">
        <v>39</v>
      </c>
      <c r="C42" s="5">
        <v>1268</v>
      </c>
      <c r="D42" s="5">
        <f>U42-C42</f>
        <v>-4140</v>
      </c>
      <c r="E42" s="5">
        <v>1041</v>
      </c>
      <c r="F42" s="37">
        <f>+V42-E42</f>
        <v>-684</v>
      </c>
      <c r="G42" s="5">
        <v>1009</v>
      </c>
      <c r="H42" s="5">
        <f t="shared" si="26"/>
        <v>1085</v>
      </c>
      <c r="I42" s="5"/>
      <c r="J42" s="5"/>
      <c r="K42" s="5"/>
      <c r="L42" s="5">
        <v>1455</v>
      </c>
      <c r="M42" s="5">
        <v>1333</v>
      </c>
      <c r="N42" s="5">
        <v>1406</v>
      </c>
      <c r="O42" s="5">
        <v>8113</v>
      </c>
      <c r="P42" s="5">
        <v>2141</v>
      </c>
      <c r="Q42" s="5">
        <v>2063</v>
      </c>
      <c r="R42" s="5">
        <v>2108</v>
      </c>
      <c r="S42" s="5">
        <v>2189</v>
      </c>
      <c r="T42" s="5">
        <v>2478</v>
      </c>
      <c r="U42" s="5">
        <v>-2872</v>
      </c>
      <c r="V42" s="5">
        <v>357</v>
      </c>
      <c r="W42" s="5">
        <v>2094</v>
      </c>
      <c r="X42" s="5">
        <f t="shared" ref="X42:AF42" si="58">X41*X64</f>
        <v>2024.1913379383836</v>
      </c>
      <c r="Y42" s="5">
        <f t="shared" si="58"/>
        <v>2062.0276663601685</v>
      </c>
      <c r="Z42" s="5">
        <f t="shared" si="58"/>
        <v>2101.3946053925633</v>
      </c>
      <c r="AA42" s="5">
        <f t="shared" si="58"/>
        <v>2142.3829285502702</v>
      </c>
      <c r="AB42" s="5">
        <f t="shared" si="58"/>
        <v>2185.0892884615191</v>
      </c>
      <c r="AC42" s="5">
        <f t="shared" si="58"/>
        <v>2229.61660436188</v>
      </c>
      <c r="AD42" s="5">
        <f t="shared" si="58"/>
        <v>2413.29019692464</v>
      </c>
      <c r="AE42" s="5">
        <f t="shared" si="58"/>
        <v>2444.4404378985737</v>
      </c>
      <c r="AF42" s="5">
        <f t="shared" si="58"/>
        <v>2477.1756109545036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4" x14ac:dyDescent="0.2">
      <c r="B43" s="2" t="s">
        <v>40</v>
      </c>
      <c r="C43" s="5">
        <f t="shared" ref="C43:D43" si="59">C41-C42</f>
        <v>4035</v>
      </c>
      <c r="D43" s="5">
        <f t="shared" si="59"/>
        <v>-18224</v>
      </c>
      <c r="E43" s="5">
        <f>E41-E42</f>
        <v>4559</v>
      </c>
      <c r="F43" s="5">
        <f>F41-F42</f>
        <v>-1378</v>
      </c>
      <c r="G43" s="5">
        <f>G41-G42</f>
        <v>4565</v>
      </c>
      <c r="H43" s="5">
        <f>H41-H42</f>
        <v>3200</v>
      </c>
      <c r="I43" s="5"/>
      <c r="J43" s="5"/>
      <c r="K43" s="5"/>
      <c r="L43" s="5">
        <f t="shared" ref="L43:O43" si="60">L41-L42</f>
        <v>3393</v>
      </c>
      <c r="M43" s="5">
        <f t="shared" si="60"/>
        <v>4522</v>
      </c>
      <c r="N43" s="5">
        <f t="shared" si="60"/>
        <v>4839</v>
      </c>
      <c r="O43" s="5">
        <f t="shared" si="60"/>
        <v>21478</v>
      </c>
      <c r="P43" s="5">
        <f t="shared" ref="P43:AE43" si="61">P41-P42</f>
        <v>6210</v>
      </c>
      <c r="Q43" s="5">
        <f t="shared" si="61"/>
        <v>5849</v>
      </c>
      <c r="R43" s="5">
        <f t="shared" si="61"/>
        <v>6564</v>
      </c>
      <c r="S43" s="5">
        <f t="shared" si="61"/>
        <v>6974</v>
      </c>
      <c r="T43" s="5">
        <f t="shared" si="61"/>
        <v>6846</v>
      </c>
      <c r="U43" s="5">
        <f t="shared" si="61"/>
        <v>-14189</v>
      </c>
      <c r="V43" s="5">
        <f t="shared" si="61"/>
        <v>3181</v>
      </c>
      <c r="W43" s="5">
        <f t="shared" si="61"/>
        <v>7765</v>
      </c>
      <c r="X43" s="5">
        <f t="shared" si="61"/>
        <v>7319.2654109119831</v>
      </c>
      <c r="Y43" s="5">
        <f t="shared" si="61"/>
        <v>7269.448124600447</v>
      </c>
      <c r="Z43" s="5">
        <f t="shared" si="61"/>
        <v>7221.768605046962</v>
      </c>
      <c r="AA43" s="5">
        <f t="shared" si="61"/>
        <v>7176.2585084162183</v>
      </c>
      <c r="AB43" s="5">
        <f t="shared" si="61"/>
        <v>7132.9495981134678</v>
      </c>
      <c r="AC43" s="5">
        <f t="shared" si="61"/>
        <v>7091.8736249400445</v>
      </c>
      <c r="AD43" s="5">
        <f t="shared" si="61"/>
        <v>7478.2640180662202</v>
      </c>
      <c r="AE43" s="5">
        <f t="shared" si="61"/>
        <v>7378.3363375683975</v>
      </c>
      <c r="AF43" s="5">
        <f t="shared" ref="AF43" si="62">AF41-AF42</f>
        <v>7281.9619328200843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4" x14ac:dyDescent="0.2">
      <c r="B44" s="2" t="s">
        <v>41</v>
      </c>
      <c r="C44" s="5">
        <v>76</v>
      </c>
      <c r="D44" s="5">
        <f>U44-C44</f>
        <v>102</v>
      </c>
      <c r="E44" s="5">
        <v>67</v>
      </c>
      <c r="F44" s="37">
        <f>+V44-E44</f>
        <v>46</v>
      </c>
      <c r="G44" s="5">
        <v>53</v>
      </c>
      <c r="H44" s="5">
        <f t="shared" si="26"/>
        <v>-52</v>
      </c>
      <c r="I44" s="5"/>
      <c r="J44" s="5"/>
      <c r="K44" s="5"/>
      <c r="L44" s="5">
        <v>278</v>
      </c>
      <c r="M44" s="5">
        <v>232</v>
      </c>
      <c r="N44" s="5">
        <v>191</v>
      </c>
      <c r="O44" s="5">
        <v>171</v>
      </c>
      <c r="P44" s="5">
        <v>178</v>
      </c>
      <c r="Q44" s="5">
        <v>145</v>
      </c>
      <c r="R44" s="5">
        <v>164</v>
      </c>
      <c r="S44" s="5">
        <v>173</v>
      </c>
      <c r="T44" s="5">
        <v>180</v>
      </c>
      <c r="U44" s="5">
        <v>178</v>
      </c>
      <c r="V44" s="5">
        <v>113</v>
      </c>
      <c r="W44" s="5">
        <v>1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4" x14ac:dyDescent="0.2">
      <c r="B45" s="2" t="s">
        <v>42</v>
      </c>
      <c r="C45" s="5">
        <f>C43-C44</f>
        <v>3959</v>
      </c>
      <c r="D45" s="5">
        <f>D43-D44</f>
        <v>-18326</v>
      </c>
      <c r="E45" s="5">
        <f>E43-E44</f>
        <v>4492</v>
      </c>
      <c r="F45" s="5">
        <f>F43-F44</f>
        <v>-1424</v>
      </c>
      <c r="G45" s="5">
        <f>G43-G44</f>
        <v>4512</v>
      </c>
      <c r="H45" s="5">
        <f>H43-H44</f>
        <v>3252</v>
      </c>
      <c r="I45" s="5"/>
      <c r="J45" s="5"/>
      <c r="K45" s="5"/>
      <c r="L45" s="5">
        <f t="shared" ref="L45:O45" si="63">L43-L44</f>
        <v>3115</v>
      </c>
      <c r="M45" s="5">
        <f t="shared" si="63"/>
        <v>4290</v>
      </c>
      <c r="N45" s="5">
        <f t="shared" si="63"/>
        <v>4648</v>
      </c>
      <c r="O45" s="5">
        <f t="shared" si="63"/>
        <v>21307</v>
      </c>
      <c r="P45" s="5">
        <f t="shared" ref="P45:T45" si="64">P43-P44</f>
        <v>6032</v>
      </c>
      <c r="Q45" s="5">
        <f t="shared" si="64"/>
        <v>5704</v>
      </c>
      <c r="R45" s="5">
        <f t="shared" si="64"/>
        <v>6400</v>
      </c>
      <c r="S45" s="5">
        <f t="shared" si="64"/>
        <v>6801</v>
      </c>
      <c r="T45" s="5">
        <f t="shared" si="64"/>
        <v>6666</v>
      </c>
      <c r="U45" s="5">
        <f>U43-U44</f>
        <v>-14367</v>
      </c>
      <c r="V45" s="5">
        <f>V43-V44</f>
        <v>3068</v>
      </c>
      <c r="W45" s="5">
        <f>W43-W44</f>
        <v>7764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4" x14ac:dyDescent="0.2">
      <c r="C46" s="3"/>
      <c r="D46" s="3"/>
      <c r="E46" s="3"/>
      <c r="F46" s="3"/>
      <c r="G46" s="3"/>
      <c r="H46" s="3"/>
      <c r="I46" s="3"/>
      <c r="J46" s="3"/>
      <c r="K46" s="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4" x14ac:dyDescent="0.2">
      <c r="B47" s="2" t="s">
        <v>43</v>
      </c>
      <c r="C47" s="43">
        <v>1.766</v>
      </c>
      <c r="D47" s="43">
        <f>U47-C47</f>
        <v>-8.2114912516823679</v>
      </c>
      <c r="E47" s="43">
        <v>2.0110000000000001</v>
      </c>
      <c r="F47" s="43">
        <f>+F45/F48</f>
        <v>-0.64317976513098463</v>
      </c>
      <c r="G47" s="43">
        <f>+G45/G48</f>
        <v>2.056517775752051</v>
      </c>
      <c r="H47" s="43">
        <f>+H45/H48</f>
        <v>1.4869684499314129</v>
      </c>
      <c r="I47" s="3"/>
      <c r="J47" s="3"/>
      <c r="K47" s="3"/>
      <c r="L47" s="43">
        <v>1.671</v>
      </c>
      <c r="M47" s="43">
        <f t="shared" ref="M47:W47" si="65">+M45/M48</f>
        <v>2.3027375201288245</v>
      </c>
      <c r="N47" s="43">
        <f t="shared" si="65"/>
        <v>2.4922252010723862</v>
      </c>
      <c r="O47" s="43">
        <f t="shared" si="65"/>
        <v>10.424168297455969</v>
      </c>
      <c r="P47" s="43">
        <f t="shared" si="65"/>
        <v>2.639824945295405</v>
      </c>
      <c r="Q47" s="43">
        <f t="shared" si="65"/>
        <v>2.4897424705368834</v>
      </c>
      <c r="R47" s="43">
        <f t="shared" si="65"/>
        <v>2.7886710239651418</v>
      </c>
      <c r="S47" s="43">
        <f t="shared" si="65"/>
        <v>2.9737647573240054</v>
      </c>
      <c r="T47" s="43">
        <f t="shared" si="65"/>
        <v>2.9547872340425534</v>
      </c>
      <c r="U47" s="43">
        <f t="shared" si="65"/>
        <v>-6.4454912516823688</v>
      </c>
      <c r="V47" s="43">
        <f t="shared" si="65"/>
        <v>1.3857271906052393</v>
      </c>
      <c r="W47" s="43">
        <f t="shared" si="65"/>
        <v>3.5500685871056241</v>
      </c>
      <c r="X47" s="43"/>
      <c r="Y47" s="43"/>
      <c r="Z47" s="43"/>
      <c r="AA47" s="43"/>
      <c r="AB47" s="43"/>
      <c r="AC47" s="43"/>
      <c r="AD47" s="43"/>
      <c r="AE47" s="43"/>
      <c r="AF47" s="43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4" x14ac:dyDescent="0.2">
      <c r="B48" s="2" t="s">
        <v>1</v>
      </c>
      <c r="C48" s="5">
        <f>C43/C47</f>
        <v>2284.8244620611549</v>
      </c>
      <c r="D48" s="5">
        <f>D43/D47</f>
        <v>2219.328918637802</v>
      </c>
      <c r="E48" s="5">
        <f>E43/E47</f>
        <v>2267.0313276976626</v>
      </c>
      <c r="F48" s="5">
        <f>+V48</f>
        <v>2214</v>
      </c>
      <c r="G48" s="5">
        <v>2194</v>
      </c>
      <c r="H48" s="5">
        <v>2187</v>
      </c>
      <c r="I48" s="3"/>
      <c r="J48" s="3"/>
      <c r="K48" s="3"/>
      <c r="L48" s="5">
        <f t="shared" ref="L48" si="66">L43/L47</f>
        <v>2030.5206463195691</v>
      </c>
      <c r="M48" s="5">
        <v>1863</v>
      </c>
      <c r="N48" s="5">
        <v>1865</v>
      </c>
      <c r="O48" s="5">
        <v>2044</v>
      </c>
      <c r="P48" s="5">
        <v>2285</v>
      </c>
      <c r="Q48" s="5">
        <v>2291</v>
      </c>
      <c r="R48" s="5">
        <v>2295</v>
      </c>
      <c r="S48" s="5">
        <v>2287</v>
      </c>
      <c r="T48" s="5">
        <v>2256</v>
      </c>
      <c r="U48" s="5">
        <v>2229</v>
      </c>
      <c r="V48" s="5">
        <v>2214</v>
      </c>
      <c r="W48" s="5">
        <v>2187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1:44" x14ac:dyDescent="0.2">
      <c r="C49" s="3"/>
      <c r="D49" s="3"/>
      <c r="E49" s="3"/>
      <c r="F49" s="3"/>
      <c r="G49" s="3"/>
      <c r="H49" s="3"/>
      <c r="I49" s="3"/>
      <c r="J49" s="3"/>
      <c r="K49" s="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1:44" x14ac:dyDescent="0.2">
      <c r="A50" s="34" t="s">
        <v>7</v>
      </c>
      <c r="B50" s="2" t="s">
        <v>247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4"/>
      <c r="R50" s="44"/>
      <c r="S50" s="44"/>
      <c r="T50" s="44"/>
      <c r="U50" s="44">
        <f>U15/U17</f>
        <v>7.0501627906976741E-2</v>
      </c>
      <c r="V50" s="44">
        <f>V15/V17</f>
        <v>6.3582279207511666E-2</v>
      </c>
      <c r="W50" s="44">
        <f>W15/W17</f>
        <v>5.8383556070040338E-2</v>
      </c>
      <c r="X50" s="3"/>
      <c r="Y50" s="3"/>
      <c r="Z50" s="3"/>
      <c r="AA50" s="3"/>
      <c r="AB50" s="3"/>
      <c r="AC50" s="3"/>
      <c r="AD50" s="3"/>
      <c r="AE50" s="3"/>
      <c r="AF50" s="3"/>
    </row>
    <row r="51" spans="1:44" x14ac:dyDescent="0.2">
      <c r="A51" s="34"/>
      <c r="B51" s="2" t="s">
        <v>364</v>
      </c>
      <c r="C51" s="3"/>
      <c r="D51" s="44"/>
      <c r="E51" s="44" t="e">
        <f t="shared" ref="E51:E60" si="67">+E19/C19-1</f>
        <v>#DIV/0!</v>
      </c>
      <c r="F51" s="44" t="e">
        <f>+F19/D19-1</f>
        <v>#DIV/0!</v>
      </c>
      <c r="G51" s="44">
        <f>+G19/E19-1</f>
        <v>1.0040907400520549E-2</v>
      </c>
      <c r="H51" s="3"/>
      <c r="I51" s="3"/>
      <c r="J51" s="3"/>
      <c r="K51" s="3"/>
      <c r="L51" s="45" t="s">
        <v>216</v>
      </c>
      <c r="M51" s="45" t="s">
        <v>216</v>
      </c>
      <c r="N51" s="45" t="s">
        <v>216</v>
      </c>
      <c r="O51" s="45" t="s">
        <v>216</v>
      </c>
      <c r="P51" s="44">
        <f t="shared" ref="P51" si="68">P19/O19-1</f>
        <v>1.2494669509594885</v>
      </c>
      <c r="Q51" s="44">
        <f t="shared" ref="Q51:W53" si="69">Q19/P19-1</f>
        <v>9.2469720905739905E-2</v>
      </c>
      <c r="R51" s="44">
        <f t="shared" si="69"/>
        <v>0.10604453870625652</v>
      </c>
      <c r="S51" s="44">
        <f t="shared" si="69"/>
        <v>1.900113309509277E-2</v>
      </c>
      <c r="T51" s="44">
        <f t="shared" si="69"/>
        <v>8.108801642288932E-2</v>
      </c>
      <c r="U51" s="44">
        <f t="shared" si="69"/>
        <v>-8.2838832186090672E-2</v>
      </c>
      <c r="V51" s="44">
        <f t="shared" si="69"/>
        <v>-2.7087646652864006E-2</v>
      </c>
      <c r="W51" s="44">
        <f t="shared" si="69"/>
        <v>2.2699060117042036E-2</v>
      </c>
      <c r="X51" s="3"/>
      <c r="Y51" s="3"/>
      <c r="Z51" s="3"/>
      <c r="AA51" s="3"/>
      <c r="AB51" s="3"/>
      <c r="AC51" s="3"/>
      <c r="AD51" s="3"/>
      <c r="AE51" s="3"/>
      <c r="AF51" s="3"/>
    </row>
    <row r="52" spans="1:44" x14ac:dyDescent="0.2">
      <c r="A52" s="34"/>
      <c r="B52" s="2" t="s">
        <v>365</v>
      </c>
      <c r="C52" s="3"/>
      <c r="D52" s="44"/>
      <c r="E52" s="44" t="e">
        <f t="shared" si="67"/>
        <v>#DIV/0!</v>
      </c>
      <c r="F52" s="44" t="e">
        <f t="shared" ref="F52:G60" si="70">+F20/D20-1</f>
        <v>#DIV/0!</v>
      </c>
      <c r="G52" s="44">
        <f t="shared" si="70"/>
        <v>-2.1709323583181006E-2</v>
      </c>
      <c r="H52" s="3"/>
      <c r="I52" s="3"/>
      <c r="J52" s="3"/>
      <c r="K52" s="3"/>
      <c r="L52" s="45" t="s">
        <v>216</v>
      </c>
      <c r="M52" s="44">
        <f t="shared" ref="M52:P52" si="71">M20/L20-1</f>
        <v>0.16236201907619763</v>
      </c>
      <c r="N52" s="44">
        <f t="shared" si="71"/>
        <v>-3.3284160059007917E-2</v>
      </c>
      <c r="O52" s="44">
        <f t="shared" si="71"/>
        <v>0.10367191225560335</v>
      </c>
      <c r="P52" s="44">
        <f t="shared" si="71"/>
        <v>-0.12590736259937785</v>
      </c>
      <c r="Q52" s="44">
        <f t="shared" si="69"/>
        <v>2.3331685615422648E-2</v>
      </c>
      <c r="R52" s="44">
        <f t="shared" si="69"/>
        <v>-5.6516278620423188E-2</v>
      </c>
      <c r="S52" s="44">
        <f t="shared" si="69"/>
        <v>3.6862584476755611E-3</v>
      </c>
      <c r="T52" s="44">
        <f t="shared" si="69"/>
        <v>7.6208936951642547E-2</v>
      </c>
      <c r="U52" s="44">
        <f t="shared" si="69"/>
        <v>-7.4414636458432049E-2</v>
      </c>
      <c r="V52" s="44">
        <f t="shared" si="69"/>
        <v>-5.3564113068414576E-2</v>
      </c>
      <c r="W52" s="44">
        <f t="shared" si="69"/>
        <v>7.358510983659805E-3</v>
      </c>
      <c r="X52" s="3"/>
      <c r="Y52" s="3"/>
      <c r="Z52" s="3"/>
      <c r="AA52" s="3"/>
      <c r="AB52" s="3"/>
      <c r="AC52" s="3"/>
      <c r="AD52" s="3"/>
      <c r="AE52" s="3"/>
      <c r="AF52" s="3"/>
    </row>
    <row r="53" spans="1:44" x14ac:dyDescent="0.2">
      <c r="A53" s="34"/>
      <c r="B53" s="2" t="s">
        <v>367</v>
      </c>
      <c r="C53" s="3"/>
      <c r="D53" s="44"/>
      <c r="E53" s="44" t="e">
        <f t="shared" si="67"/>
        <v>#DIV/0!</v>
      </c>
      <c r="F53" s="44" t="e">
        <f t="shared" si="70"/>
        <v>#DIV/0!</v>
      </c>
      <c r="G53" s="44">
        <f t="shared" si="70"/>
        <v>-8.89404485692189E-2</v>
      </c>
      <c r="H53" s="3"/>
      <c r="I53" s="3"/>
      <c r="J53" s="3"/>
      <c r="K53" s="3"/>
      <c r="L53" s="45" t="s">
        <v>216</v>
      </c>
      <c r="M53" s="44">
        <f t="shared" ref="M53:P53" si="72">M21/L21-1</f>
        <v>-2.5819777949909639E-2</v>
      </c>
      <c r="N53" s="44">
        <f t="shared" si="72"/>
        <v>0.13066525311423272</v>
      </c>
      <c r="O53" s="44">
        <f t="shared" si="72"/>
        <v>5.6962025316455778E-2</v>
      </c>
      <c r="P53" s="44">
        <f t="shared" si="72"/>
        <v>8.2723442004879022E-2</v>
      </c>
      <c r="Q53" s="44">
        <f t="shared" si="69"/>
        <v>5.5510036870135115E-2</v>
      </c>
      <c r="R53" s="44">
        <f t="shared" si="69"/>
        <v>-0.11954201436056666</v>
      </c>
      <c r="S53" s="44">
        <f t="shared" si="69"/>
        <v>-7.6261847035485997E-2</v>
      </c>
      <c r="T53" s="44">
        <f t="shared" si="69"/>
        <v>6.5855404438081688E-2</v>
      </c>
      <c r="U53" s="44">
        <f t="shared" si="69"/>
        <v>0.29729124692187159</v>
      </c>
      <c r="V53" s="44">
        <f t="shared" si="69"/>
        <v>-7.7135461604831757E-2</v>
      </c>
      <c r="W53" s="44">
        <f t="shared" si="69"/>
        <v>-0.1086387434554974</v>
      </c>
      <c r="X53" s="3"/>
      <c r="Y53" s="3"/>
      <c r="Z53" s="3"/>
      <c r="AA53" s="3"/>
      <c r="AB53" s="3"/>
      <c r="AC53" s="3"/>
      <c r="AD53" s="3"/>
      <c r="AE53" s="3"/>
      <c r="AF53" s="3"/>
    </row>
    <row r="54" spans="1:44" x14ac:dyDescent="0.2">
      <c r="A54" s="34"/>
      <c r="B54" s="2" t="s">
        <v>198</v>
      </c>
      <c r="C54" s="3"/>
      <c r="D54" s="44"/>
      <c r="E54" s="44">
        <f t="shared" si="67"/>
        <v>3.4642032332563577E-3</v>
      </c>
      <c r="F54" s="44">
        <f t="shared" si="70"/>
        <v>-9.9365750528541241E-2</v>
      </c>
      <c r="G54" s="44">
        <f t="shared" si="70"/>
        <v>-0.15189873417721522</v>
      </c>
      <c r="H54" s="3"/>
      <c r="I54" s="3"/>
      <c r="J54" s="3"/>
      <c r="K54" s="3"/>
      <c r="L54" s="45" t="s">
        <v>216</v>
      </c>
      <c r="M54" s="45" t="s">
        <v>216</v>
      </c>
      <c r="N54" s="45" t="s">
        <v>216</v>
      </c>
      <c r="O54" s="45" t="s">
        <v>216</v>
      </c>
      <c r="P54" s="45" t="s">
        <v>216</v>
      </c>
      <c r="Q54" s="44">
        <f t="shared" ref="Q54:W57" si="73">Q22/P22-1</f>
        <v>0.26100628930817615</v>
      </c>
      <c r="R54" s="44">
        <f t="shared" si="73"/>
        <v>0.52369077306733169</v>
      </c>
      <c r="S54" s="44">
        <f t="shared" si="73"/>
        <v>0.51718494271685755</v>
      </c>
      <c r="T54" s="44">
        <f t="shared" si="73"/>
        <v>0.54908306364617054</v>
      </c>
      <c r="U54" s="44">
        <f t="shared" si="73"/>
        <v>0.26183844011142066</v>
      </c>
      <c r="V54" s="44">
        <f t="shared" si="73"/>
        <v>-5.0220750551876359E-2</v>
      </c>
      <c r="W54" s="44">
        <f t="shared" si="73"/>
        <v>-0.10400929692039507</v>
      </c>
      <c r="X54" s="3"/>
      <c r="Y54" s="3"/>
      <c r="Z54" s="3"/>
      <c r="AA54" s="3"/>
      <c r="AB54" s="3"/>
      <c r="AC54" s="3"/>
      <c r="AD54" s="3"/>
      <c r="AE54" s="3"/>
      <c r="AF54" s="3"/>
    </row>
    <row r="55" spans="1:44" x14ac:dyDescent="0.2">
      <c r="A55" s="34"/>
      <c r="B55" s="2" t="s">
        <v>199</v>
      </c>
      <c r="C55" s="3"/>
      <c r="D55" s="44"/>
      <c r="E55" s="44">
        <f t="shared" si="67"/>
        <v>-0.19818181818181824</v>
      </c>
      <c r="F55" s="44">
        <f t="shared" si="70"/>
        <v>7.623318385650224E-2</v>
      </c>
      <c r="G55" s="44">
        <f t="shared" si="70"/>
        <v>6.8027210884353817E-3</v>
      </c>
      <c r="H55" s="3"/>
      <c r="I55" s="3"/>
      <c r="J55" s="3"/>
      <c r="K55" s="3"/>
      <c r="L55" s="45" t="s">
        <v>216</v>
      </c>
      <c r="M55" s="45" t="s">
        <v>216</v>
      </c>
      <c r="N55" s="45" t="s">
        <v>216</v>
      </c>
      <c r="O55" s="45" t="s">
        <v>216</v>
      </c>
      <c r="P55" s="45" t="s">
        <v>216</v>
      </c>
      <c r="Q55" s="44">
        <f t="shared" si="73"/>
        <v>0.28849557522123903</v>
      </c>
      <c r="R55" s="44">
        <f t="shared" si="73"/>
        <v>-0.12912087912087911</v>
      </c>
      <c r="S55" s="44">
        <f t="shared" si="73"/>
        <v>0.34542586750788651</v>
      </c>
      <c r="T55" s="44">
        <f t="shared" si="73"/>
        <v>0.24267291910902689</v>
      </c>
      <c r="U55" s="44">
        <f t="shared" si="73"/>
        <v>-6.0377358490566024E-2</v>
      </c>
      <c r="V55" s="44">
        <f t="shared" si="73"/>
        <v>-7.5301204819277157E-2</v>
      </c>
      <c r="W55" s="44">
        <f t="shared" si="73"/>
        <v>-7.6004343105320338E-3</v>
      </c>
      <c r="X55" s="3"/>
      <c r="Y55" s="3"/>
      <c r="Z55" s="3"/>
      <c r="AA55" s="3"/>
      <c r="AB55" s="3"/>
      <c r="AC55" s="3"/>
      <c r="AD55" s="3"/>
      <c r="AE55" s="3"/>
      <c r="AF55" s="3"/>
    </row>
    <row r="56" spans="1:44" x14ac:dyDescent="0.2">
      <c r="A56" s="34"/>
      <c r="B56" s="2" t="s">
        <v>200</v>
      </c>
      <c r="C56" s="3"/>
      <c r="D56" s="44"/>
      <c r="E56" s="44">
        <f t="shared" si="67"/>
        <v>0.42083333333333339</v>
      </c>
      <c r="F56" s="44">
        <f t="shared" si="70"/>
        <v>0.5016722408026757</v>
      </c>
      <c r="G56" s="44">
        <f t="shared" si="70"/>
        <v>0.37829912023460421</v>
      </c>
      <c r="H56" s="3"/>
      <c r="I56" s="3"/>
      <c r="J56" s="3"/>
      <c r="K56" s="3"/>
      <c r="L56" s="45" t="s">
        <v>216</v>
      </c>
      <c r="M56" s="45" t="s">
        <v>216</v>
      </c>
      <c r="N56" s="45" t="s">
        <v>216</v>
      </c>
      <c r="O56" s="45" t="s">
        <v>216</v>
      </c>
      <c r="P56" s="45" t="s">
        <v>216</v>
      </c>
      <c r="Q56" s="44">
        <f t="shared" si="73"/>
        <v>2.7058823529411766</v>
      </c>
      <c r="R56" s="44">
        <f t="shared" si="73"/>
        <v>0.5714285714285714</v>
      </c>
      <c r="S56" s="44">
        <f t="shared" si="73"/>
        <v>0.38383838383838387</v>
      </c>
      <c r="T56" s="44">
        <f t="shared" si="73"/>
        <v>0.45255474452554734</v>
      </c>
      <c r="U56" s="44">
        <f t="shared" si="73"/>
        <v>0.35427135678391952</v>
      </c>
      <c r="V56" s="44">
        <f t="shared" si="73"/>
        <v>0.46567717996289426</v>
      </c>
      <c r="W56" s="44">
        <f t="shared" si="73"/>
        <v>0.47468354430379756</v>
      </c>
      <c r="X56" s="3"/>
      <c r="Y56" s="3"/>
      <c r="Z56" s="3"/>
      <c r="AA56" s="3"/>
      <c r="AB56" s="3"/>
      <c r="AC56" s="3"/>
      <c r="AD56" s="3"/>
      <c r="AE56" s="3"/>
      <c r="AF56" s="3"/>
    </row>
    <row r="57" spans="1:44" x14ac:dyDescent="0.2">
      <c r="A57" s="34"/>
      <c r="B57" s="2" t="s">
        <v>201</v>
      </c>
      <c r="C57" s="3"/>
      <c r="D57" s="44"/>
      <c r="E57" s="44">
        <f t="shared" si="67"/>
        <v>-2.8021015761821366E-2</v>
      </c>
      <c r="F57" s="44">
        <f t="shared" si="70"/>
        <v>-9.2905405405405372E-2</v>
      </c>
      <c r="G57" s="44">
        <f t="shared" si="70"/>
        <v>-2.3423423423423406E-2</v>
      </c>
      <c r="H57" s="3"/>
      <c r="I57" s="3"/>
      <c r="J57" s="3"/>
      <c r="K57" s="3"/>
      <c r="L57" s="45" t="s">
        <v>216</v>
      </c>
      <c r="M57" s="45" t="s">
        <v>216</v>
      </c>
      <c r="N57" s="45" t="s">
        <v>216</v>
      </c>
      <c r="O57" s="45" t="s">
        <v>216</v>
      </c>
      <c r="P57" s="45" t="s">
        <v>216</v>
      </c>
      <c r="Q57" s="44">
        <f t="shared" si="73"/>
        <v>0.22423556058890148</v>
      </c>
      <c r="R57" s="44">
        <f t="shared" si="73"/>
        <v>7.3080481036077671E-2</v>
      </c>
      <c r="S57" s="44">
        <f t="shared" si="73"/>
        <v>-3.6206896551724155E-2</v>
      </c>
      <c r="T57" s="44">
        <f t="shared" si="73"/>
        <v>8.1395348837209225E-2</v>
      </c>
      <c r="U57" s="44">
        <f t="shared" si="73"/>
        <v>-3.8047973531844526E-2</v>
      </c>
      <c r="V57" s="44">
        <f t="shared" si="73"/>
        <v>-6.1049011177988E-2</v>
      </c>
      <c r="W57" s="44">
        <f t="shared" si="73"/>
        <v>-4.4871794871794823E-2</v>
      </c>
      <c r="X57" s="3"/>
      <c r="Y57" s="3"/>
      <c r="Z57" s="3"/>
      <c r="AA57" s="3"/>
      <c r="AB57" s="3"/>
      <c r="AC57" s="3"/>
      <c r="AD57" s="3"/>
      <c r="AE57" s="3"/>
      <c r="AF57" s="3"/>
    </row>
    <row r="58" spans="1:44" x14ac:dyDescent="0.2">
      <c r="A58" s="34"/>
      <c r="B58" s="2" t="s">
        <v>202</v>
      </c>
      <c r="C58" s="3"/>
      <c r="D58" s="44"/>
      <c r="E58" s="44">
        <f t="shared" si="67"/>
        <v>-9.4297260889087964E-3</v>
      </c>
      <c r="F58" s="44">
        <f t="shared" si="70"/>
        <v>1.5330705212439844E-2</v>
      </c>
      <c r="G58" s="44">
        <f t="shared" si="70"/>
        <v>-5.8930190389845372E-3</v>
      </c>
      <c r="H58" s="3"/>
      <c r="I58" s="3"/>
      <c r="J58" s="3"/>
      <c r="K58" s="3"/>
      <c r="L58" s="45" t="s">
        <v>216</v>
      </c>
      <c r="M58" s="45" t="s">
        <v>216</v>
      </c>
      <c r="N58" s="45" t="s">
        <v>216</v>
      </c>
      <c r="O58" s="45" t="s">
        <v>216</v>
      </c>
      <c r="P58" s="45" t="s">
        <v>216</v>
      </c>
      <c r="Q58" s="44">
        <f t="shared" ref="Q58:W60" si="74">Q27/P27-1</f>
        <v>0.48806366047745353</v>
      </c>
      <c r="R58" s="44">
        <f t="shared" si="74"/>
        <v>-1.0825616277553185E-2</v>
      </c>
      <c r="S58" s="44">
        <f t="shared" si="74"/>
        <v>-3.1777426160337519E-2</v>
      </c>
      <c r="T58" s="44">
        <f t="shared" si="74"/>
        <v>4.5440101684143697E-2</v>
      </c>
      <c r="U58" s="44">
        <f t="shared" si="74"/>
        <v>-4.0034737299174949E-2</v>
      </c>
      <c r="V58" s="44">
        <f t="shared" si="74"/>
        <v>-6.436584041975757E-2</v>
      </c>
      <c r="W58" s="44">
        <f t="shared" si="74"/>
        <v>-2.3398598017887351E-2</v>
      </c>
      <c r="X58" s="3"/>
      <c r="Y58" s="3"/>
      <c r="Z58" s="3"/>
      <c r="AA58" s="3"/>
      <c r="AB58" s="3"/>
      <c r="AC58" s="3"/>
      <c r="AD58" s="3"/>
      <c r="AE58" s="3"/>
      <c r="AF58" s="3"/>
    </row>
    <row r="59" spans="1:44" x14ac:dyDescent="0.2">
      <c r="B59" s="2" t="s">
        <v>203</v>
      </c>
      <c r="C59" s="3"/>
      <c r="D59" s="44"/>
      <c r="E59" s="44">
        <f t="shared" si="67"/>
        <v>-0.10130391173520559</v>
      </c>
      <c r="F59" s="44">
        <f t="shared" si="70"/>
        <v>-2.8004667444574083E-2</v>
      </c>
      <c r="G59" s="44">
        <f t="shared" si="70"/>
        <v>-3.4598214285714302E-2</v>
      </c>
      <c r="H59" s="3"/>
      <c r="I59" s="3"/>
      <c r="J59" s="3"/>
      <c r="K59" s="3"/>
      <c r="L59" s="45" t="s">
        <v>216</v>
      </c>
      <c r="M59" s="45" t="s">
        <v>216</v>
      </c>
      <c r="N59" s="45" t="s">
        <v>216</v>
      </c>
      <c r="O59" s="45" t="s">
        <v>216</v>
      </c>
      <c r="P59" s="45" t="s">
        <v>216</v>
      </c>
      <c r="Q59" s="44">
        <f t="shared" si="74"/>
        <v>-0.9253628196268141</v>
      </c>
      <c r="R59" s="44">
        <f t="shared" si="74"/>
        <v>-0.22037037037037033</v>
      </c>
      <c r="S59" s="44">
        <f t="shared" si="74"/>
        <v>0.14726840855106893</v>
      </c>
      <c r="T59" s="44">
        <f t="shared" si="74"/>
        <v>8.0745341614906874E-2</v>
      </c>
      <c r="U59" s="44">
        <f t="shared" si="74"/>
        <v>0.2739463601532568</v>
      </c>
      <c r="V59" s="44">
        <f t="shared" si="74"/>
        <v>-1.0526315789473717E-2</v>
      </c>
      <c r="W59" s="44">
        <f t="shared" si="74"/>
        <v>0.14893617021276606</v>
      </c>
    </row>
    <row r="60" spans="1:44" x14ac:dyDescent="0.2">
      <c r="B60" s="1" t="s">
        <v>44</v>
      </c>
      <c r="C60" s="46"/>
      <c r="D60" s="46"/>
      <c r="E60" s="46">
        <f t="shared" si="67"/>
        <v>0.12550607287449389</v>
      </c>
      <c r="F60" s="46">
        <f t="shared" si="70"/>
        <v>-9.0909090909090939E-2</v>
      </c>
      <c r="G60" s="46">
        <f t="shared" si="70"/>
        <v>0.29856115107913661</v>
      </c>
      <c r="H60" s="46"/>
      <c r="I60" s="40"/>
      <c r="J60" s="40"/>
      <c r="K60" s="40"/>
      <c r="L60" s="46"/>
      <c r="M60" s="46">
        <f>M29/L29-1</f>
        <v>-6.2057118316512727E-2</v>
      </c>
      <c r="N60" s="46">
        <f>N29/M29-1</f>
        <v>0.12568681318681318</v>
      </c>
      <c r="O60" s="46">
        <f>O29/N29-1</f>
        <v>0.37563555013219441</v>
      </c>
      <c r="P60" s="46">
        <f>P29/O29-1</f>
        <v>0.20697811945594324</v>
      </c>
      <c r="Q60" s="46">
        <f t="shared" si="74"/>
        <v>5.6549077249714141E-2</v>
      </c>
      <c r="R60" s="46">
        <f t="shared" si="74"/>
        <v>-3.9030799551725837E-3</v>
      </c>
      <c r="S60" s="46">
        <f t="shared" si="74"/>
        <v>-3.5692116697703113E-3</v>
      </c>
      <c r="T60" s="46">
        <f t="shared" si="74"/>
        <v>7.6740383117894329E-2</v>
      </c>
      <c r="U60" s="46">
        <f t="shared" si="74"/>
        <v>-1.3451455433013959E-2</v>
      </c>
      <c r="V60" s="46">
        <f t="shared" si="74"/>
        <v>-5.190045083018735E-2</v>
      </c>
      <c r="W60" s="46">
        <f t="shared" si="74"/>
        <v>-9.9354389763018913E-3</v>
      </c>
      <c r="X60" s="46">
        <f t="shared" ref="X60:AE60" si="75">X29/W29-1</f>
        <v>-5.0719495704765971E-2</v>
      </c>
      <c r="Y60" s="46">
        <f t="shared" si="75"/>
        <v>-1.278178722893597E-3</v>
      </c>
      <c r="Z60" s="46">
        <f t="shared" si="75"/>
        <v>-8.9239901179460901E-4</v>
      </c>
      <c r="AA60" s="46">
        <f t="shared" si="75"/>
        <v>-4.9249373167314925E-4</v>
      </c>
      <c r="AB60" s="46">
        <f t="shared" si="75"/>
        <v>-7.8256361589201795E-5</v>
      </c>
      <c r="AC60" s="46">
        <f t="shared" si="75"/>
        <v>3.5049271104381496E-4</v>
      </c>
      <c r="AD60" s="46">
        <f t="shared" si="75"/>
        <v>6.0254470795620962E-2</v>
      </c>
      <c r="AE60" s="46">
        <f t="shared" si="75"/>
        <v>-6.8718004028452961E-3</v>
      </c>
      <c r="AF60" s="46">
        <f t="shared" ref="AF60" si="76">AF29/AE29-1</f>
        <v>-6.4034339574201571E-3</v>
      </c>
    </row>
    <row r="61" spans="1:44" x14ac:dyDescent="0.2">
      <c r="B61" s="2" t="s">
        <v>45</v>
      </c>
      <c r="C61" s="44">
        <f>C33/C29</f>
        <v>0.72970761104084514</v>
      </c>
      <c r="D61" s="44">
        <f>D33/D29</f>
        <v>0.73472041612483741</v>
      </c>
      <c r="E61" s="44">
        <f>E33/E29</f>
        <v>0.71320907617504048</v>
      </c>
      <c r="F61" s="44">
        <f>F33/F29</f>
        <v>0.72440304576033121</v>
      </c>
      <c r="G61" s="44">
        <f>G33/G29</f>
        <v>0.71464081531195622</v>
      </c>
      <c r="H61" s="44"/>
      <c r="I61" s="3"/>
      <c r="J61" s="3"/>
      <c r="K61" s="3"/>
      <c r="L61" s="44">
        <f t="shared" ref="L61:AE61" si="77">L33/L29</f>
        <v>0.62608259967074653</v>
      </c>
      <c r="M61" s="44">
        <f t="shared" si="77"/>
        <v>0.61294261294261299</v>
      </c>
      <c r="N61" s="44">
        <f t="shared" si="77"/>
        <v>0.59277337129686125</v>
      </c>
      <c r="O61" s="44">
        <f t="shared" si="77"/>
        <v>0.61994874827518232</v>
      </c>
      <c r="P61" s="44">
        <f t="shared" si="77"/>
        <v>0.69153192879307523</v>
      </c>
      <c r="Q61" s="44">
        <f t="shared" si="77"/>
        <v>0.70406152181473891</v>
      </c>
      <c r="R61" s="44">
        <f t="shared" si="77"/>
        <v>0.73300744878957169</v>
      </c>
      <c r="S61" s="44">
        <f t="shared" si="77"/>
        <v>0.7236022426413331</v>
      </c>
      <c r="T61" s="44">
        <f t="shared" si="77"/>
        <v>0.72786114626649789</v>
      </c>
      <c r="U61" s="44">
        <f t="shared" si="77"/>
        <v>0.73225085217901253</v>
      </c>
      <c r="V61" s="44">
        <f t="shared" si="77"/>
        <v>0.71906289867398621</v>
      </c>
      <c r="W61" s="44">
        <f t="shared" ref="W61" si="78">W33/W29</f>
        <v>0.71296368606013272</v>
      </c>
      <c r="X61" s="44">
        <f t="shared" si="77"/>
        <v>0.69792987812510054</v>
      </c>
      <c r="Y61" s="44">
        <f t="shared" si="77"/>
        <v>0.69784574110222086</v>
      </c>
      <c r="Z61" s="44">
        <f t="shared" si="77"/>
        <v>0.69787828223874659</v>
      </c>
      <c r="AA61" s="44">
        <f t="shared" si="77"/>
        <v>0.69803168645492308</v>
      </c>
      <c r="AB61" s="44">
        <f t="shared" si="77"/>
        <v>0.69831004561030952</v>
      </c>
      <c r="AC61" s="44">
        <f t="shared" si="77"/>
        <v>0.69871733294346627</v>
      </c>
      <c r="AD61" s="44">
        <f t="shared" si="77"/>
        <v>0.71612344707811604</v>
      </c>
      <c r="AE61" s="44">
        <f t="shared" si="77"/>
        <v>0.71444504698990874</v>
      </c>
      <c r="AF61" s="44">
        <f t="shared" ref="AF61" si="79">AF33/AF29</f>
        <v>0.71289212563073989</v>
      </c>
    </row>
    <row r="62" spans="1:44" x14ac:dyDescent="0.2">
      <c r="B62" s="2" t="s">
        <v>46</v>
      </c>
      <c r="C62" s="44">
        <f>C38/C29</f>
        <v>0.44155940778215907</v>
      </c>
      <c r="D62" s="44">
        <f>D38/D29</f>
        <v>-1.5666811154457447</v>
      </c>
      <c r="E62" s="44">
        <f>E38/E29</f>
        <v>0.34505672609400323</v>
      </c>
      <c r="F62" s="44">
        <f>F38/F29</f>
        <v>-0.11251570932209655</v>
      </c>
      <c r="G62" s="44">
        <f>G38/G29</f>
        <v>0.42000165713812249</v>
      </c>
      <c r="H62" s="44"/>
      <c r="I62" s="3"/>
      <c r="J62" s="3"/>
      <c r="K62" s="3"/>
      <c r="L62" s="44">
        <f t="shared" ref="L62:AE62" si="80">L38/L29</f>
        <v>0.32538830434471405</v>
      </c>
      <c r="M62" s="44">
        <f t="shared" si="80"/>
        <v>0.34775641025641024</v>
      </c>
      <c r="N62" s="44">
        <f t="shared" si="80"/>
        <v>0.31557182563893971</v>
      </c>
      <c r="O62" s="44">
        <f t="shared" si="80"/>
        <v>0.31914054799921149</v>
      </c>
      <c r="P62" s="44">
        <f t="shared" si="80"/>
        <v>0.38024661113833086</v>
      </c>
      <c r="Q62" s="44">
        <f t="shared" si="80"/>
        <v>0.34841751362213547</v>
      </c>
      <c r="R62" s="44">
        <f t="shared" si="80"/>
        <v>0.38648355058969586</v>
      </c>
      <c r="S62" s="44">
        <f t="shared" si="80"/>
        <v>0.39845818408347611</v>
      </c>
      <c r="T62" s="44">
        <f t="shared" si="80"/>
        <v>0.38050985355270295</v>
      </c>
      <c r="U62" s="44">
        <f t="shared" si="80"/>
        <v>-0.57731920976432205</v>
      </c>
      <c r="V62" s="44">
        <f t="shared" si="80"/>
        <v>0.1057718328372057</v>
      </c>
      <c r="W62" s="44">
        <f t="shared" ref="W62" si="81">W38/W29</f>
        <v>0.39035532994923861</v>
      </c>
      <c r="X62" s="44">
        <f t="shared" si="80"/>
        <v>0.39</v>
      </c>
      <c r="Y62" s="44">
        <f t="shared" si="80"/>
        <v>0.39</v>
      </c>
      <c r="Z62" s="44">
        <f t="shared" si="80"/>
        <v>0.38999999999999996</v>
      </c>
      <c r="AA62" s="44">
        <f t="shared" si="80"/>
        <v>0.39</v>
      </c>
      <c r="AB62" s="44">
        <f t="shared" si="80"/>
        <v>0.39</v>
      </c>
      <c r="AC62" s="44">
        <f t="shared" si="80"/>
        <v>0.39</v>
      </c>
      <c r="AD62" s="44">
        <f t="shared" si="80"/>
        <v>0.39</v>
      </c>
      <c r="AE62" s="44">
        <f t="shared" si="80"/>
        <v>0.39000000000000007</v>
      </c>
      <c r="AF62" s="44">
        <f t="shared" ref="AF62" si="82">AF38/AF29</f>
        <v>0.39</v>
      </c>
    </row>
    <row r="63" spans="1:44" x14ac:dyDescent="0.2">
      <c r="B63" s="2" t="s">
        <v>47</v>
      </c>
      <c r="C63" s="44">
        <f>C43/C29</f>
        <v>0.30020087791086975</v>
      </c>
      <c r="D63" s="44">
        <f>D43/D29</f>
        <v>-1.3165727496026585</v>
      </c>
      <c r="E63" s="44">
        <f>E43/E29</f>
        <v>0.36944894651539706</v>
      </c>
      <c r="F63" s="44">
        <f>F43/F29</f>
        <v>-0.10187033340725955</v>
      </c>
      <c r="G63" s="44">
        <f>G43/G29</f>
        <v>0.3782417764520673</v>
      </c>
      <c r="H63" s="44"/>
      <c r="I63" s="3"/>
      <c r="J63" s="3"/>
      <c r="K63" s="3"/>
      <c r="L63" s="44">
        <f t="shared" ref="L63:AE63" si="83">L43/L29</f>
        <v>0.24286021043590295</v>
      </c>
      <c r="M63" s="44">
        <f t="shared" si="83"/>
        <v>0.34508547008547008</v>
      </c>
      <c r="N63" s="44">
        <f t="shared" si="83"/>
        <v>0.3280455562334757</v>
      </c>
      <c r="O63" s="44">
        <f t="shared" si="83"/>
        <v>1.0584466784939879</v>
      </c>
      <c r="P63" s="44">
        <f t="shared" si="83"/>
        <v>0.25355218030377263</v>
      </c>
      <c r="Q63" s="44">
        <f t="shared" si="83"/>
        <v>0.22603083819608147</v>
      </c>
      <c r="R63" s="44">
        <f t="shared" si="83"/>
        <v>0.25465549348230915</v>
      </c>
      <c r="S63" s="44">
        <f t="shared" si="83"/>
        <v>0.27153091418782122</v>
      </c>
      <c r="T63" s="44">
        <f t="shared" si="83"/>
        <v>0.24755017175917557</v>
      </c>
      <c r="U63" s="44">
        <f t="shared" si="83"/>
        <v>-0.52006744126379068</v>
      </c>
      <c r="V63" s="44">
        <f t="shared" si="83"/>
        <v>0.12297521939150269</v>
      </c>
      <c r="W63" s="44">
        <f t="shared" ref="W63" si="84">W43/W29</f>
        <v>0.3032018742678641</v>
      </c>
      <c r="X63" s="44">
        <f t="shared" si="83"/>
        <v>0.30106713906246318</v>
      </c>
      <c r="Y63" s="44">
        <f t="shared" si="83"/>
        <v>0.29940066635654683</v>
      </c>
      <c r="Z63" s="44">
        <f t="shared" si="83"/>
        <v>0.2977025994572024</v>
      </c>
      <c r="AA63" s="44">
        <f t="shared" si="83"/>
        <v>0.29597230356552429</v>
      </c>
      <c r="AB63" s="44">
        <f t="shared" si="83"/>
        <v>0.2942091266046486</v>
      </c>
      <c r="AC63" s="44">
        <f t="shared" si="83"/>
        <v>0.29241239851774808</v>
      </c>
      <c r="AD63" s="44">
        <f t="shared" si="83"/>
        <v>0.29082080778735453</v>
      </c>
      <c r="AE63" s="44">
        <f t="shared" si="83"/>
        <v>0.28892014048717796</v>
      </c>
      <c r="AF63" s="44">
        <f t="shared" ref="AF63" si="85">AF43/AF29</f>
        <v>0.28698400451201461</v>
      </c>
    </row>
    <row r="64" spans="1:44" x14ac:dyDescent="0.2">
      <c r="B64" s="2" t="s">
        <v>48</v>
      </c>
      <c r="C64" s="44">
        <f>C42/C41</f>
        <v>0.23910993777107298</v>
      </c>
      <c r="D64" s="44">
        <f>D42/D41</f>
        <v>0.18511894115542837</v>
      </c>
      <c r="E64" s="44">
        <f>E42/E41</f>
        <v>0.18589285714285714</v>
      </c>
      <c r="F64" s="44">
        <f>F42/F41</f>
        <v>0.3317167798254122</v>
      </c>
      <c r="G64" s="44">
        <f>G42/G41</f>
        <v>0.18101901686401148</v>
      </c>
      <c r="H64" s="44"/>
      <c r="I64" s="3"/>
      <c r="J64" s="3"/>
      <c r="K64" s="3"/>
      <c r="L64" s="44">
        <f t="shared" ref="L64:V64" si="86">L42/L41</f>
        <v>0.30012376237623761</v>
      </c>
      <c r="M64" s="44">
        <f t="shared" si="86"/>
        <v>0.22766865926558497</v>
      </c>
      <c r="N64" s="44">
        <f t="shared" si="86"/>
        <v>0.22514011208967175</v>
      </c>
      <c r="O64" s="44">
        <f t="shared" si="86"/>
        <v>0.27417120070291645</v>
      </c>
      <c r="P64" s="44">
        <f t="shared" si="86"/>
        <v>0.25637648185846007</v>
      </c>
      <c r="Q64" s="44">
        <f t="shared" si="86"/>
        <v>0.26074317492416582</v>
      </c>
      <c r="R64" s="44">
        <f t="shared" si="86"/>
        <v>0.24308118081180813</v>
      </c>
      <c r="S64" s="44">
        <f t="shared" si="86"/>
        <v>0.23889555822328931</v>
      </c>
      <c r="T64" s="44">
        <f t="shared" si="86"/>
        <v>0.26576576576576577</v>
      </c>
      <c r="U64" s="44">
        <f t="shared" si="86"/>
        <v>0.16833714319207549</v>
      </c>
      <c r="V64" s="44">
        <f t="shared" si="86"/>
        <v>0.10090446579988695</v>
      </c>
      <c r="W64" s="44">
        <f t="shared" ref="W64" si="87">W42/W41</f>
        <v>0.21239476620346892</v>
      </c>
      <c r="X64" s="44">
        <f>W64*(1+2%)</f>
        <v>0.2166426615275383</v>
      </c>
      <c r="Y64" s="44">
        <f t="shared" ref="Y64:AF64" si="88">X64*(1+2%)</f>
        <v>0.22097551475808908</v>
      </c>
      <c r="Z64" s="44">
        <f t="shared" si="88"/>
        <v>0.22539502505325087</v>
      </c>
      <c r="AA64" s="44">
        <f t="shared" si="88"/>
        <v>0.22990292555431591</v>
      </c>
      <c r="AB64" s="44">
        <f t="shared" si="88"/>
        <v>0.23450098406540223</v>
      </c>
      <c r="AC64" s="44">
        <f t="shared" si="88"/>
        <v>0.23919100374671029</v>
      </c>
      <c r="AD64" s="44">
        <f t="shared" si="88"/>
        <v>0.24397482382164451</v>
      </c>
      <c r="AE64" s="44">
        <f t="shared" si="88"/>
        <v>0.24885432029807741</v>
      </c>
      <c r="AF64" s="44">
        <f t="shared" si="88"/>
        <v>0.25383140670403898</v>
      </c>
    </row>
    <row r="65" spans="1:37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37" x14ac:dyDescent="0.2">
      <c r="A66" s="34" t="s">
        <v>7</v>
      </c>
      <c r="B66" s="2" t="s">
        <v>49</v>
      </c>
      <c r="C66" s="5">
        <v>122126</v>
      </c>
      <c r="D66" s="5">
        <f>U66</f>
        <v>95562</v>
      </c>
      <c r="E66" s="5">
        <v>94700</v>
      </c>
      <c r="F66" s="5"/>
      <c r="G66" s="5">
        <v>86223</v>
      </c>
      <c r="H66" s="5"/>
      <c r="I66" s="5"/>
      <c r="J66" s="5"/>
      <c r="K66" s="5"/>
      <c r="L66" s="5">
        <v>10804</v>
      </c>
      <c r="M66" s="5">
        <v>10436</v>
      </c>
      <c r="N66" s="5">
        <v>12117</v>
      </c>
      <c r="O66" s="5">
        <v>117785</v>
      </c>
      <c r="P66" s="5">
        <v>124013</v>
      </c>
      <c r="Q66" s="5">
        <v>118787</v>
      </c>
      <c r="R66" s="5">
        <v>115343</v>
      </c>
      <c r="S66" s="5">
        <v>115625</v>
      </c>
      <c r="T66" s="5">
        <v>129075</v>
      </c>
      <c r="U66" s="5">
        <v>95562</v>
      </c>
      <c r="V66" s="5">
        <v>94276</v>
      </c>
      <c r="W66" s="5">
        <v>86934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2">
      <c r="B67" s="2" t="s">
        <v>50</v>
      </c>
      <c r="C67" s="5">
        <v>4521</v>
      </c>
      <c r="D67" s="5">
        <f t="shared" ref="D67:D73" si="89">U67</f>
        <v>4583</v>
      </c>
      <c r="E67" s="5">
        <v>4427</v>
      </c>
      <c r="F67" s="5"/>
      <c r="G67" s="5">
        <v>4159</v>
      </c>
      <c r="H67" s="5"/>
      <c r="I67" s="5"/>
      <c r="J67" s="5"/>
      <c r="K67" s="5"/>
      <c r="L67" s="5">
        <v>3004</v>
      </c>
      <c r="M67" s="5">
        <v>3021</v>
      </c>
      <c r="N67" s="5">
        <v>3661</v>
      </c>
      <c r="O67" s="5">
        <v>4882</v>
      </c>
      <c r="P67" s="5">
        <v>5166</v>
      </c>
      <c r="Q67" s="5">
        <v>5518</v>
      </c>
      <c r="R67" s="5">
        <v>5060</v>
      </c>
      <c r="S67" s="5">
        <v>4953</v>
      </c>
      <c r="T67" s="5">
        <v>4867</v>
      </c>
      <c r="U67" s="5">
        <v>4583</v>
      </c>
      <c r="V67" s="5">
        <v>4379</v>
      </c>
      <c r="W67" s="5">
        <v>4483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2">
      <c r="B68" s="2" t="s">
        <v>51</v>
      </c>
      <c r="C68" s="5">
        <v>2061</v>
      </c>
      <c r="D68" s="5">
        <f t="shared" si="89"/>
        <v>1970</v>
      </c>
      <c r="E68" s="5">
        <v>1937</v>
      </c>
      <c r="F68" s="5"/>
      <c r="G68" s="5">
        <v>1533</v>
      </c>
      <c r="H68" s="5"/>
      <c r="I68" s="5"/>
      <c r="J68" s="5"/>
      <c r="K68" s="5"/>
      <c r="L68" s="5">
        <v>2400</v>
      </c>
      <c r="M68" s="5">
        <v>6938</v>
      </c>
      <c r="N68" s="5">
        <v>9507</v>
      </c>
      <c r="O68" s="5">
        <v>1577</v>
      </c>
      <c r="P68" s="5">
        <v>1737</v>
      </c>
      <c r="Q68" s="5">
        <v>1860</v>
      </c>
      <c r="R68" s="5">
        <v>1796</v>
      </c>
      <c r="S68" s="5">
        <v>1948</v>
      </c>
      <c r="T68" s="5">
        <v>2020</v>
      </c>
      <c r="U68" s="5">
        <v>1970</v>
      </c>
      <c r="V68" s="5">
        <v>1902</v>
      </c>
      <c r="W68" s="5">
        <v>1521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2">
      <c r="B69" s="2" t="s">
        <v>52</v>
      </c>
      <c r="C69" s="5">
        <v>1027</v>
      </c>
      <c r="D69" s="5">
        <f t="shared" si="89"/>
        <v>956</v>
      </c>
      <c r="E69" s="5">
        <v>940</v>
      </c>
      <c r="F69" s="5"/>
      <c r="G69" s="5">
        <v>841</v>
      </c>
      <c r="H69" s="5"/>
      <c r="I69" s="5"/>
      <c r="J69" s="5"/>
      <c r="K69" s="5"/>
      <c r="L69" s="5">
        <v>40</v>
      </c>
      <c r="M69" s="5">
        <v>408</v>
      </c>
      <c r="N69" s="5">
        <v>455</v>
      </c>
      <c r="O69" s="5">
        <v>1123</v>
      </c>
      <c r="P69" s="5">
        <v>1147</v>
      </c>
      <c r="Q69" s="5">
        <v>430</v>
      </c>
      <c r="R69" s="5">
        <v>714</v>
      </c>
      <c r="S69" s="5">
        <v>918</v>
      </c>
      <c r="T69" s="5">
        <v>1000</v>
      </c>
      <c r="U69" s="5">
        <v>956</v>
      </c>
      <c r="V69" s="5">
        <v>937</v>
      </c>
      <c r="W69" s="5">
        <v>880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2">
      <c r="B70" s="2" t="s">
        <v>53</v>
      </c>
      <c r="C70" s="5">
        <v>720</v>
      </c>
      <c r="D70" s="5">
        <f t="shared" si="89"/>
        <v>911</v>
      </c>
      <c r="E70" s="5">
        <v>953</v>
      </c>
      <c r="F70" s="5"/>
      <c r="G70" s="5">
        <v>2434</v>
      </c>
      <c r="H70" s="5"/>
      <c r="I70" s="5"/>
      <c r="J70" s="5"/>
      <c r="K70" s="5"/>
      <c r="L70" s="5">
        <v>311</v>
      </c>
      <c r="M70" s="5">
        <v>326</v>
      </c>
      <c r="N70" s="5">
        <v>436</v>
      </c>
      <c r="O70" s="5">
        <v>317</v>
      </c>
      <c r="P70" s="5">
        <v>344</v>
      </c>
      <c r="Q70" s="5">
        <v>424</v>
      </c>
      <c r="R70" s="5">
        <v>534</v>
      </c>
      <c r="S70" s="5">
        <v>611</v>
      </c>
      <c r="T70" s="5">
        <v>682</v>
      </c>
      <c r="U70" s="5">
        <v>911</v>
      </c>
      <c r="V70" s="5">
        <v>2573</v>
      </c>
      <c r="W70" s="5">
        <v>2032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2">
      <c r="B71" s="2" t="s">
        <v>54</v>
      </c>
      <c r="C71" s="5">
        <v>284</v>
      </c>
      <c r="D71" s="5">
        <f t="shared" si="89"/>
        <v>321</v>
      </c>
      <c r="E71" s="5">
        <v>318</v>
      </c>
      <c r="F71" s="5"/>
      <c r="G71" s="5">
        <v>283</v>
      </c>
      <c r="H71" s="5"/>
      <c r="I71" s="5"/>
      <c r="J71" s="5"/>
      <c r="K71" s="5"/>
      <c r="L71" s="5">
        <v>153</v>
      </c>
      <c r="M71" s="5">
        <v>248</v>
      </c>
      <c r="N71" s="5">
        <v>599</v>
      </c>
      <c r="O71" s="5">
        <v>756</v>
      </c>
      <c r="P71" s="5">
        <v>685</v>
      </c>
      <c r="Q71" s="5">
        <v>248</v>
      </c>
      <c r="R71" s="5">
        <v>242</v>
      </c>
      <c r="S71" s="5">
        <v>210</v>
      </c>
      <c r="T71" s="5">
        <v>241</v>
      </c>
      <c r="U71" s="5">
        <v>321</v>
      </c>
      <c r="V71" s="5">
        <v>282</v>
      </c>
      <c r="W71" s="5">
        <v>288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2">
      <c r="B72" s="2" t="s">
        <v>55</v>
      </c>
      <c r="C72" s="5">
        <v>111</v>
      </c>
      <c r="D72" s="5">
        <f t="shared" si="89"/>
        <v>118</v>
      </c>
      <c r="E72" s="5">
        <v>122</v>
      </c>
      <c r="F72" s="5"/>
      <c r="G72" s="5">
        <v>737</v>
      </c>
      <c r="H72" s="5"/>
      <c r="I72" s="5"/>
      <c r="J72" s="5"/>
      <c r="K72" s="5"/>
      <c r="L72" s="5">
        <v>36</v>
      </c>
      <c r="M72" s="5">
        <v>37</v>
      </c>
      <c r="N72" s="5">
        <v>43</v>
      </c>
      <c r="O72" s="5">
        <v>42</v>
      </c>
      <c r="P72" s="5">
        <v>39</v>
      </c>
      <c r="Q72" s="5">
        <v>12</v>
      </c>
      <c r="R72" s="5">
        <v>22</v>
      </c>
      <c r="S72" s="5">
        <v>50</v>
      </c>
      <c r="T72" s="5">
        <v>121</v>
      </c>
      <c r="U72" s="5">
        <v>118</v>
      </c>
      <c r="V72" s="5">
        <v>146</v>
      </c>
      <c r="W72" s="5">
        <v>333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2">
      <c r="B73" s="2" t="s">
        <v>56</v>
      </c>
      <c r="C73" s="5">
        <v>130</v>
      </c>
      <c r="D73" s="5">
        <f t="shared" si="89"/>
        <v>109</v>
      </c>
      <c r="E73" s="5">
        <v>100</v>
      </c>
      <c r="F73" s="5"/>
      <c r="G73" s="5">
        <v>141</v>
      </c>
      <c r="H73" s="5"/>
      <c r="I73" s="5"/>
      <c r="J73" s="5"/>
      <c r="K73" s="5"/>
      <c r="L73" s="5">
        <v>287</v>
      </c>
      <c r="M73" s="5">
        <v>287</v>
      </c>
      <c r="N73" s="5">
        <v>596</v>
      </c>
      <c r="O73" s="5">
        <v>590</v>
      </c>
      <c r="P73" s="5">
        <v>556</v>
      </c>
      <c r="Q73" s="5">
        <v>452</v>
      </c>
      <c r="R73" s="5">
        <v>367</v>
      </c>
      <c r="S73" s="5">
        <v>243</v>
      </c>
      <c r="T73" s="5">
        <v>131</v>
      </c>
      <c r="U73" s="5">
        <v>109</v>
      </c>
      <c r="V73" s="5">
        <v>110</v>
      </c>
      <c r="W73" s="5">
        <v>135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 x14ac:dyDescent="0.2">
      <c r="B74" s="2" t="s">
        <v>63</v>
      </c>
      <c r="C74" s="5">
        <f t="shared" ref="C74:G74" si="90">SUM(C66:C73)</f>
        <v>130980</v>
      </c>
      <c r="D74" s="5">
        <f t="shared" si="90"/>
        <v>104530</v>
      </c>
      <c r="E74" s="5">
        <f t="shared" si="90"/>
        <v>103497</v>
      </c>
      <c r="F74" s="5">
        <f t="shared" si="90"/>
        <v>0</v>
      </c>
      <c r="G74" s="5">
        <f t="shared" si="90"/>
        <v>96351</v>
      </c>
      <c r="H74" s="5"/>
      <c r="I74" s="5"/>
      <c r="J74" s="5"/>
      <c r="K74" s="5"/>
      <c r="L74" s="5">
        <f t="shared" ref="L74:N74" si="91">SUM(L66:L73)</f>
        <v>17035</v>
      </c>
      <c r="M74" s="5">
        <f t="shared" si="91"/>
        <v>21701</v>
      </c>
      <c r="N74" s="5">
        <f t="shared" si="91"/>
        <v>27414</v>
      </c>
      <c r="O74" s="5">
        <f t="shared" ref="O74:T74" si="92">SUM(O66:O73)</f>
        <v>127072</v>
      </c>
      <c r="P74" s="5">
        <f t="shared" si="92"/>
        <v>133687</v>
      </c>
      <c r="Q74" s="5">
        <f t="shared" si="92"/>
        <v>127731</v>
      </c>
      <c r="R74" s="5">
        <f t="shared" si="92"/>
        <v>124078</v>
      </c>
      <c r="S74" s="5">
        <f t="shared" si="92"/>
        <v>124558</v>
      </c>
      <c r="T74" s="5">
        <f t="shared" si="92"/>
        <v>138137</v>
      </c>
      <c r="U74" s="5">
        <f>SUM(U66:U73)</f>
        <v>104530</v>
      </c>
      <c r="V74" s="5">
        <f>SUM(V66:V73)</f>
        <v>104605</v>
      </c>
      <c r="W74" s="5">
        <f>SUM(W66:W73)</f>
        <v>96606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 x14ac:dyDescent="0.2">
      <c r="B75" s="2" t="s">
        <v>57</v>
      </c>
      <c r="C75" s="5">
        <v>5634</v>
      </c>
      <c r="D75" s="5">
        <f t="shared" ref="D75:D81" si="93">U75</f>
        <v>4938</v>
      </c>
      <c r="E75" s="5">
        <v>5334</v>
      </c>
      <c r="F75" s="5"/>
      <c r="G75" s="5">
        <v>5088</v>
      </c>
      <c r="H75" s="5"/>
      <c r="I75" s="5"/>
      <c r="J75" s="5"/>
      <c r="K75" s="5"/>
      <c r="L75" s="5">
        <v>4133</v>
      </c>
      <c r="M75" s="5">
        <v>4247</v>
      </c>
      <c r="N75" s="5">
        <v>5793</v>
      </c>
      <c r="O75" s="5">
        <v>5864</v>
      </c>
      <c r="P75" s="5">
        <v>6029</v>
      </c>
      <c r="Q75" s="5">
        <v>6094</v>
      </c>
      <c r="R75" s="5">
        <v>5998</v>
      </c>
      <c r="S75" s="5">
        <v>5279</v>
      </c>
      <c r="T75" s="5">
        <v>5671</v>
      </c>
      <c r="U75" s="5">
        <v>4938</v>
      </c>
      <c r="V75" s="5">
        <v>4616</v>
      </c>
      <c r="W75" s="5">
        <v>4382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 x14ac:dyDescent="0.2">
      <c r="B76" s="2" t="s">
        <v>58</v>
      </c>
      <c r="C76" s="5">
        <v>160</v>
      </c>
      <c r="D76" s="5">
        <f t="shared" si="93"/>
        <v>172</v>
      </c>
      <c r="E76" s="5">
        <v>100</v>
      </c>
      <c r="F76" s="5"/>
      <c r="G76" s="5">
        <v>108</v>
      </c>
      <c r="H76" s="5"/>
      <c r="I76" s="5"/>
      <c r="J76" s="5"/>
      <c r="K76" s="5"/>
      <c r="L76" s="5">
        <v>57</v>
      </c>
      <c r="M76" s="5">
        <v>74</v>
      </c>
      <c r="N76" s="5">
        <v>69</v>
      </c>
      <c r="O76" s="5">
        <v>460</v>
      </c>
      <c r="P76" s="5">
        <v>74</v>
      </c>
      <c r="Q76" s="5">
        <v>122</v>
      </c>
      <c r="R76" s="5">
        <v>79</v>
      </c>
      <c r="S76" s="5">
        <v>117</v>
      </c>
      <c r="T76" s="5">
        <v>149</v>
      </c>
      <c r="U76" s="5">
        <v>172</v>
      </c>
      <c r="V76" s="5">
        <v>67</v>
      </c>
      <c r="W76" s="5">
        <v>470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 x14ac:dyDescent="0.2">
      <c r="B77" s="2" t="s">
        <v>54</v>
      </c>
      <c r="C77" s="5">
        <v>4219</v>
      </c>
      <c r="D77" s="5">
        <f t="shared" si="93"/>
        <v>3621</v>
      </c>
      <c r="E77" s="5">
        <v>3637</v>
      </c>
      <c r="F77" s="5"/>
      <c r="G77" s="5">
        <v>3475</v>
      </c>
      <c r="H77" s="5"/>
      <c r="I77" s="5"/>
      <c r="J77" s="5"/>
      <c r="K77" s="5"/>
      <c r="L77" s="5">
        <v>2768</v>
      </c>
      <c r="M77" s="5">
        <v>3266</v>
      </c>
      <c r="N77" s="5">
        <v>3884</v>
      </c>
      <c r="O77" s="5">
        <v>4053</v>
      </c>
      <c r="P77" s="5">
        <v>3588</v>
      </c>
      <c r="Q77" s="5">
        <v>4093</v>
      </c>
      <c r="R77" s="5">
        <v>3721</v>
      </c>
      <c r="S77" s="5">
        <v>3951</v>
      </c>
      <c r="T77" s="5">
        <v>4367</v>
      </c>
      <c r="U77" s="5">
        <v>3621</v>
      </c>
      <c r="V77" s="5">
        <v>3604</v>
      </c>
      <c r="W77" s="5">
        <v>3802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 x14ac:dyDescent="0.2">
      <c r="B78" s="2" t="s">
        <v>55</v>
      </c>
      <c r="C78" s="5">
        <v>451</v>
      </c>
      <c r="D78" s="5">
        <f t="shared" si="93"/>
        <v>601</v>
      </c>
      <c r="E78" s="5">
        <v>696</v>
      </c>
      <c r="F78" s="5"/>
      <c r="G78" s="5">
        <v>489</v>
      </c>
      <c r="H78" s="5"/>
      <c r="I78" s="5"/>
      <c r="J78" s="5"/>
      <c r="K78" s="5"/>
      <c r="L78" s="5">
        <v>50</v>
      </c>
      <c r="M78" s="5">
        <v>35</v>
      </c>
      <c r="N78" s="5">
        <v>15</v>
      </c>
      <c r="O78" s="5">
        <v>65</v>
      </c>
      <c r="P78" s="5">
        <v>178</v>
      </c>
      <c r="Q78" s="5">
        <v>123</v>
      </c>
      <c r="R78" s="5">
        <v>242</v>
      </c>
      <c r="S78" s="5">
        <v>456</v>
      </c>
      <c r="T78" s="5">
        <v>579</v>
      </c>
      <c r="U78" s="5">
        <v>601</v>
      </c>
      <c r="V78" s="5">
        <v>513</v>
      </c>
      <c r="W78" s="5">
        <v>16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 x14ac:dyDescent="0.2">
      <c r="B79" s="2" t="s">
        <v>56</v>
      </c>
      <c r="C79" s="5">
        <v>413</v>
      </c>
      <c r="D79" s="5">
        <f t="shared" si="93"/>
        <v>181</v>
      </c>
      <c r="E79" s="5">
        <v>159</v>
      </c>
      <c r="F79" s="5"/>
      <c r="G79" s="5">
        <v>302</v>
      </c>
      <c r="H79" s="5"/>
      <c r="I79" s="5"/>
      <c r="J79" s="5"/>
      <c r="K79" s="5"/>
      <c r="L79" s="5">
        <v>274</v>
      </c>
      <c r="M79" s="5">
        <v>209</v>
      </c>
      <c r="N79" s="5">
        <v>375</v>
      </c>
      <c r="O79" s="5">
        <v>228</v>
      </c>
      <c r="P79" s="5">
        <v>179</v>
      </c>
      <c r="Q79" s="5">
        <v>313</v>
      </c>
      <c r="R79" s="5">
        <v>430</v>
      </c>
      <c r="S79" s="5">
        <v>182</v>
      </c>
      <c r="T79" s="5">
        <v>430</v>
      </c>
      <c r="U79" s="5">
        <v>181</v>
      </c>
      <c r="V79" s="5">
        <v>186</v>
      </c>
      <c r="W79" s="5">
        <v>162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 x14ac:dyDescent="0.2">
      <c r="B80" s="2" t="s">
        <v>59</v>
      </c>
      <c r="C80" s="5">
        <v>3681</v>
      </c>
      <c r="D80" s="5">
        <f t="shared" si="93"/>
        <v>4659</v>
      </c>
      <c r="E80" s="5">
        <v>5934</v>
      </c>
      <c r="F80" s="5"/>
      <c r="G80" s="5">
        <v>4404</v>
      </c>
      <c r="H80" s="5"/>
      <c r="I80" s="5"/>
      <c r="J80" s="5"/>
      <c r="K80" s="5"/>
      <c r="L80" s="5">
        <v>1818</v>
      </c>
      <c r="M80" s="5">
        <v>1963</v>
      </c>
      <c r="N80" s="5">
        <v>2204</v>
      </c>
      <c r="O80" s="5">
        <v>3291</v>
      </c>
      <c r="P80" s="5">
        <v>2602</v>
      </c>
      <c r="Q80" s="5">
        <v>2526</v>
      </c>
      <c r="R80" s="5">
        <v>3139</v>
      </c>
      <c r="S80" s="5">
        <v>2809</v>
      </c>
      <c r="T80" s="5">
        <v>3446</v>
      </c>
      <c r="U80" s="5">
        <v>4659</v>
      </c>
      <c r="V80" s="5">
        <v>5297</v>
      </c>
      <c r="W80" s="5">
        <v>3827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2:37" x14ac:dyDescent="0.2">
      <c r="B81" s="2" t="s">
        <v>60</v>
      </c>
      <c r="C81" s="5">
        <v>534</v>
      </c>
      <c r="D81" s="5">
        <f t="shared" si="93"/>
        <v>14</v>
      </c>
      <c r="E81" s="5">
        <v>12</v>
      </c>
      <c r="F81" s="5"/>
      <c r="G81" s="5">
        <v>9</v>
      </c>
      <c r="H81" s="5"/>
      <c r="I81" s="5"/>
      <c r="J81" s="5"/>
      <c r="K81" s="5"/>
      <c r="L81" s="5">
        <v>32</v>
      </c>
      <c r="M81" s="5">
        <v>20</v>
      </c>
      <c r="N81" s="5">
        <v>19</v>
      </c>
      <c r="O81" s="5">
        <v>5</v>
      </c>
      <c r="P81" s="5">
        <v>5</v>
      </c>
      <c r="Q81" s="5">
        <v>3</v>
      </c>
      <c r="R81" s="5">
        <v>3</v>
      </c>
      <c r="S81" s="5">
        <v>13</v>
      </c>
      <c r="T81" s="5">
        <v>767</v>
      </c>
      <c r="U81" s="5">
        <v>14</v>
      </c>
      <c r="V81" s="5">
        <v>11</v>
      </c>
      <c r="W81" s="5">
        <v>25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2:37" x14ac:dyDescent="0.2">
      <c r="B82" s="2" t="s">
        <v>61</v>
      </c>
      <c r="C82" s="5">
        <f t="shared" ref="C82:G82" si="94">SUM(C75:C81)</f>
        <v>15092</v>
      </c>
      <c r="D82" s="5">
        <f t="shared" si="94"/>
        <v>14186</v>
      </c>
      <c r="E82" s="5">
        <f t="shared" si="94"/>
        <v>15872</v>
      </c>
      <c r="F82" s="5">
        <f t="shared" si="94"/>
        <v>0</v>
      </c>
      <c r="G82" s="5">
        <f t="shared" si="94"/>
        <v>13875</v>
      </c>
      <c r="H82" s="5"/>
      <c r="I82" s="5"/>
      <c r="J82" s="5"/>
      <c r="K82" s="5"/>
      <c r="L82" s="5">
        <f t="shared" ref="L82:O82" si="95">SUM(L75:L81)</f>
        <v>9132</v>
      </c>
      <c r="M82" s="5">
        <f t="shared" si="95"/>
        <v>9814</v>
      </c>
      <c r="N82" s="5">
        <f t="shared" si="95"/>
        <v>12359</v>
      </c>
      <c r="O82" s="5">
        <f t="shared" si="95"/>
        <v>13966</v>
      </c>
      <c r="P82" s="5">
        <f t="shared" ref="P82:T82" si="96">SUM(P75:P81)</f>
        <v>12655</v>
      </c>
      <c r="Q82" s="5">
        <f t="shared" si="96"/>
        <v>13274</v>
      </c>
      <c r="R82" s="5">
        <f t="shared" si="96"/>
        <v>13612</v>
      </c>
      <c r="S82" s="5">
        <f t="shared" si="96"/>
        <v>12807</v>
      </c>
      <c r="T82" s="5">
        <f t="shared" si="96"/>
        <v>15409</v>
      </c>
      <c r="U82" s="5">
        <f>SUM(U75:U81)</f>
        <v>14186</v>
      </c>
      <c r="V82" s="5">
        <f>SUM(V75:V81)</f>
        <v>14294</v>
      </c>
      <c r="W82" s="5">
        <f>SUM(W75:W81)</f>
        <v>12684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2:37" x14ac:dyDescent="0.2">
      <c r="B83" s="1" t="s">
        <v>62</v>
      </c>
      <c r="C83" s="41">
        <f>C82+C74</f>
        <v>146072</v>
      </c>
      <c r="D83" s="41">
        <f>D82+D74</f>
        <v>118716</v>
      </c>
      <c r="E83" s="41">
        <f>E82+E74</f>
        <v>119369</v>
      </c>
      <c r="F83" s="41">
        <f>F82+F74</f>
        <v>0</v>
      </c>
      <c r="G83" s="41">
        <f>G82+G74</f>
        <v>110226</v>
      </c>
      <c r="H83" s="41"/>
      <c r="I83" s="5"/>
      <c r="J83" s="5"/>
      <c r="K83" s="5"/>
      <c r="L83" s="41">
        <f t="shared" ref="L83:W83" si="97">L82+L74</f>
        <v>26167</v>
      </c>
      <c r="M83" s="41">
        <f t="shared" si="97"/>
        <v>31515</v>
      </c>
      <c r="N83" s="41">
        <f t="shared" si="97"/>
        <v>39773</v>
      </c>
      <c r="O83" s="41">
        <f t="shared" si="97"/>
        <v>141038</v>
      </c>
      <c r="P83" s="41">
        <f t="shared" si="97"/>
        <v>146342</v>
      </c>
      <c r="Q83" s="41">
        <f t="shared" si="97"/>
        <v>141005</v>
      </c>
      <c r="R83" s="41">
        <f t="shared" si="97"/>
        <v>137690</v>
      </c>
      <c r="S83" s="41">
        <f t="shared" si="97"/>
        <v>137365</v>
      </c>
      <c r="T83" s="41">
        <f t="shared" si="97"/>
        <v>153546</v>
      </c>
      <c r="U83" s="41">
        <f t="shared" si="97"/>
        <v>118716</v>
      </c>
      <c r="V83" s="41">
        <f t="shared" si="97"/>
        <v>118899</v>
      </c>
      <c r="W83" s="41">
        <f t="shared" si="97"/>
        <v>109290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2:37" x14ac:dyDescent="0.2">
      <c r="B84" s="2" t="s">
        <v>64</v>
      </c>
      <c r="C84" s="5">
        <v>614</v>
      </c>
      <c r="D84" s="5">
        <f t="shared" ref="D84:D90" si="98">U84</f>
        <v>614</v>
      </c>
      <c r="E84" s="5">
        <v>589</v>
      </c>
      <c r="F84" s="5"/>
      <c r="G84" s="5">
        <v>581</v>
      </c>
      <c r="H84" s="5"/>
      <c r="I84" s="5"/>
      <c r="J84" s="5"/>
      <c r="K84" s="5"/>
      <c r="L84" s="5">
        <v>507</v>
      </c>
      <c r="M84" s="5">
        <v>507</v>
      </c>
      <c r="N84" s="5">
        <v>507</v>
      </c>
      <c r="O84" s="5">
        <v>614</v>
      </c>
      <c r="P84" s="5">
        <v>614</v>
      </c>
      <c r="Q84" s="5">
        <v>614</v>
      </c>
      <c r="R84" s="5">
        <v>614</v>
      </c>
      <c r="S84" s="5">
        <v>614</v>
      </c>
      <c r="T84" s="5">
        <v>614</v>
      </c>
      <c r="U84" s="5">
        <v>614</v>
      </c>
      <c r="V84" s="5">
        <v>585</v>
      </c>
      <c r="W84" s="5">
        <v>577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2:37" x14ac:dyDescent="0.2">
      <c r="B85" s="2" t="s">
        <v>65</v>
      </c>
      <c r="C85" s="5">
        <v>26629</v>
      </c>
      <c r="D85" s="5">
        <f t="shared" si="98"/>
        <v>26630</v>
      </c>
      <c r="E85" s="5">
        <v>26659</v>
      </c>
      <c r="F85" s="5"/>
      <c r="G85" s="5">
        <v>26671</v>
      </c>
      <c r="H85" s="5"/>
      <c r="I85" s="5"/>
      <c r="J85" s="5"/>
      <c r="K85" s="5"/>
      <c r="L85" s="5">
        <v>3923</v>
      </c>
      <c r="M85" s="5">
        <v>3927</v>
      </c>
      <c r="N85" s="5">
        <v>3931</v>
      </c>
      <c r="O85" s="5">
        <v>26602</v>
      </c>
      <c r="P85" s="5">
        <v>26606</v>
      </c>
      <c r="Q85" s="5">
        <v>26609</v>
      </c>
      <c r="R85" s="5">
        <v>26618</v>
      </c>
      <c r="S85" s="5">
        <v>26622</v>
      </c>
      <c r="T85" s="5">
        <v>26628</v>
      </c>
      <c r="U85" s="5">
        <v>26630</v>
      </c>
      <c r="V85" s="5">
        <v>26665</v>
      </c>
      <c r="W85" s="5">
        <v>26675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2:37" x14ac:dyDescent="0.2">
      <c r="B86" s="2" t="s">
        <v>66</v>
      </c>
      <c r="C86" s="5">
        <v>-1721</v>
      </c>
      <c r="D86" s="5">
        <f t="shared" si="98"/>
        <v>-894</v>
      </c>
      <c r="E86" s="5">
        <v>-847</v>
      </c>
      <c r="F86" s="5"/>
      <c r="G86" s="5">
        <v>-5057</v>
      </c>
      <c r="H86" s="5"/>
      <c r="I86" s="5"/>
      <c r="J86" s="5"/>
      <c r="K86" s="5"/>
      <c r="L86" s="5">
        <v>-498</v>
      </c>
      <c r="M86" s="5">
        <v>-1294</v>
      </c>
      <c r="N86" s="5">
        <v>413</v>
      </c>
      <c r="O86" s="5">
        <v>-3395</v>
      </c>
      <c r="P86" s="5">
        <v>-333</v>
      </c>
      <c r="Q86" s="5">
        <v>-3555</v>
      </c>
      <c r="R86" s="5">
        <v>-6600</v>
      </c>
      <c r="S86" s="5">
        <v>-6032</v>
      </c>
      <c r="T86" s="5">
        <v>2655</v>
      </c>
      <c r="U86" s="5">
        <v>-894</v>
      </c>
      <c r="V86" s="5">
        <v>-902</v>
      </c>
      <c r="W86" s="5">
        <v>-4148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2:37" x14ac:dyDescent="0.2">
      <c r="B87" s="2" t="s">
        <v>67</v>
      </c>
      <c r="C87" s="5">
        <v>45591</v>
      </c>
      <c r="D87" s="5">
        <f t="shared" si="98"/>
        <v>24531</v>
      </c>
      <c r="E87" s="5">
        <v>26025</v>
      </c>
      <c r="F87" s="5"/>
      <c r="G87" s="5">
        <v>22994</v>
      </c>
      <c r="H87" s="5"/>
      <c r="I87" s="5"/>
      <c r="J87" s="5"/>
      <c r="K87" s="5"/>
      <c r="L87" s="5">
        <v>1578</v>
      </c>
      <c r="M87" s="5">
        <v>1754</v>
      </c>
      <c r="N87" s="5">
        <v>3331</v>
      </c>
      <c r="O87" s="5">
        <v>36983</v>
      </c>
      <c r="P87" s="5">
        <v>38557</v>
      </c>
      <c r="Q87" s="5">
        <v>40234</v>
      </c>
      <c r="R87" s="5">
        <v>42041</v>
      </c>
      <c r="S87" s="5">
        <v>44212</v>
      </c>
      <c r="T87" s="5">
        <v>44081</v>
      </c>
      <c r="U87" s="5">
        <v>24531</v>
      </c>
      <c r="V87" s="5">
        <v>21610</v>
      </c>
      <c r="W87" s="5">
        <v>22929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2:37" x14ac:dyDescent="0.2">
      <c r="B88" s="2" t="s">
        <v>60</v>
      </c>
      <c r="C88" s="5">
        <v>-500</v>
      </c>
      <c r="D88" s="5">
        <f t="shared" si="98"/>
        <v>0</v>
      </c>
      <c r="E88" s="5">
        <v>0</v>
      </c>
      <c r="F88" s="5"/>
      <c r="G88" s="5">
        <v>0</v>
      </c>
      <c r="H88" s="5"/>
      <c r="I88" s="5"/>
      <c r="J88" s="5"/>
      <c r="K88" s="5"/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-295</v>
      </c>
      <c r="U88" s="5">
        <v>0</v>
      </c>
      <c r="V88" s="5">
        <v>0</v>
      </c>
      <c r="W88" s="5">
        <v>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2:37" x14ac:dyDescent="0.2">
      <c r="B89" s="2" t="s">
        <v>69</v>
      </c>
      <c r="C89" s="5">
        <v>1685</v>
      </c>
      <c r="D89" s="5">
        <f t="shared" si="98"/>
        <v>1685</v>
      </c>
      <c r="E89" s="5">
        <v>1685</v>
      </c>
      <c r="F89" s="5"/>
      <c r="G89" s="5">
        <v>1685</v>
      </c>
      <c r="H89" s="5"/>
      <c r="I89" s="5"/>
      <c r="J89" s="5"/>
      <c r="K89" s="5"/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1685</v>
      </c>
      <c r="T89" s="5">
        <v>1685</v>
      </c>
      <c r="U89" s="5">
        <v>1685</v>
      </c>
      <c r="V89" s="5">
        <v>1685</v>
      </c>
      <c r="W89" s="5">
        <v>1893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2:37" x14ac:dyDescent="0.2">
      <c r="B90" s="2" t="s">
        <v>41</v>
      </c>
      <c r="C90" s="5">
        <v>330</v>
      </c>
      <c r="D90" s="5">
        <f t="shared" si="98"/>
        <v>368</v>
      </c>
      <c r="E90" s="5">
        <v>358</v>
      </c>
      <c r="F90" s="5"/>
      <c r="G90" s="5">
        <v>303</v>
      </c>
      <c r="H90" s="5"/>
      <c r="I90" s="5"/>
      <c r="J90" s="5"/>
      <c r="K90" s="5"/>
      <c r="L90" s="5">
        <v>304</v>
      </c>
      <c r="M90" s="5">
        <v>138</v>
      </c>
      <c r="N90" s="5">
        <v>224</v>
      </c>
      <c r="O90" s="5">
        <v>222</v>
      </c>
      <c r="P90" s="5">
        <v>244</v>
      </c>
      <c r="Q90" s="5">
        <v>258</v>
      </c>
      <c r="R90" s="5">
        <v>282</v>
      </c>
      <c r="S90" s="5">
        <v>300</v>
      </c>
      <c r="T90" s="5">
        <v>342</v>
      </c>
      <c r="U90" s="5">
        <v>368</v>
      </c>
      <c r="V90" s="5">
        <v>352</v>
      </c>
      <c r="W90" s="5">
        <v>219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2:37" x14ac:dyDescent="0.2">
      <c r="B91" s="1" t="s">
        <v>70</v>
      </c>
      <c r="C91" s="41">
        <f t="shared" ref="C91:G91" si="99">SUM(C84:C90)</f>
        <v>72628</v>
      </c>
      <c r="D91" s="41">
        <f t="shared" si="99"/>
        <v>52934</v>
      </c>
      <c r="E91" s="41">
        <f t="shared" si="99"/>
        <v>54469</v>
      </c>
      <c r="F91" s="41">
        <f t="shared" si="99"/>
        <v>0</v>
      </c>
      <c r="G91" s="41">
        <f t="shared" si="99"/>
        <v>47177</v>
      </c>
      <c r="H91" s="5"/>
      <c r="I91" s="5"/>
      <c r="J91" s="5"/>
      <c r="K91" s="5"/>
      <c r="L91" s="41">
        <f t="shared" ref="L91:O91" si="100">SUM(L84:L90)</f>
        <v>5814</v>
      </c>
      <c r="M91" s="41">
        <f t="shared" si="100"/>
        <v>5032</v>
      </c>
      <c r="N91" s="41">
        <f t="shared" si="100"/>
        <v>8406</v>
      </c>
      <c r="O91" s="41">
        <f t="shared" si="100"/>
        <v>61026</v>
      </c>
      <c r="P91" s="41">
        <f t="shared" ref="P91:T91" si="101">SUM(P84:P90)</f>
        <v>65688</v>
      </c>
      <c r="Q91" s="41">
        <f t="shared" si="101"/>
        <v>64160</v>
      </c>
      <c r="R91" s="41">
        <f t="shared" si="101"/>
        <v>62955</v>
      </c>
      <c r="S91" s="41">
        <f t="shared" si="101"/>
        <v>67401</v>
      </c>
      <c r="T91" s="41">
        <f t="shared" si="101"/>
        <v>75710</v>
      </c>
      <c r="U91" s="41">
        <f>SUM(U84:U90)</f>
        <v>52934</v>
      </c>
      <c r="V91" s="41">
        <f>SUM(V84:V90)</f>
        <v>49995</v>
      </c>
      <c r="W91" s="41">
        <f>SUM(W84:W90)</f>
        <v>48145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2:37" x14ac:dyDescent="0.2">
      <c r="B92" s="2" t="s">
        <v>71</v>
      </c>
      <c r="C92" s="5">
        <v>37140</v>
      </c>
      <c r="D92" s="5">
        <f t="shared" ref="D92:D97" si="102">U92</f>
        <v>35406</v>
      </c>
      <c r="E92" s="5">
        <v>32852</v>
      </c>
      <c r="F92" s="5"/>
      <c r="G92" s="5">
        <v>31904</v>
      </c>
      <c r="H92" s="5"/>
      <c r="I92" s="5"/>
      <c r="J92" s="5"/>
      <c r="K92" s="5"/>
      <c r="L92" s="5">
        <v>9779</v>
      </c>
      <c r="M92" s="5">
        <v>14806</v>
      </c>
      <c r="N92" s="5">
        <v>16488</v>
      </c>
      <c r="O92" s="5">
        <v>44027</v>
      </c>
      <c r="P92" s="5">
        <v>43284</v>
      </c>
      <c r="Q92" s="5">
        <v>37804</v>
      </c>
      <c r="R92" s="5">
        <v>39927</v>
      </c>
      <c r="S92" s="5">
        <v>35666</v>
      </c>
      <c r="T92" s="5">
        <v>38726</v>
      </c>
      <c r="U92" s="5">
        <v>35406</v>
      </c>
      <c r="V92" s="5">
        <v>32638</v>
      </c>
      <c r="W92" s="5">
        <v>31708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2:37" x14ac:dyDescent="0.2">
      <c r="B93" s="2" t="s">
        <v>72</v>
      </c>
      <c r="C93" s="5">
        <v>881</v>
      </c>
      <c r="D93" s="5">
        <f t="shared" si="102"/>
        <v>881</v>
      </c>
      <c r="E93" s="5">
        <v>852</v>
      </c>
      <c r="F93" s="5"/>
      <c r="G93" s="5">
        <v>769</v>
      </c>
      <c r="H93" s="5"/>
      <c r="I93" s="5"/>
      <c r="J93" s="5"/>
      <c r="K93" s="5"/>
      <c r="L93" s="5">
        <v>781</v>
      </c>
      <c r="M93" s="5">
        <v>653</v>
      </c>
      <c r="N93" s="5">
        <v>826</v>
      </c>
      <c r="O93" s="5">
        <v>1821</v>
      </c>
      <c r="P93" s="5">
        <v>1665</v>
      </c>
      <c r="Q93" s="5">
        <v>1459</v>
      </c>
      <c r="R93" s="5">
        <v>1524</v>
      </c>
      <c r="S93" s="5">
        <v>1239</v>
      </c>
      <c r="T93" s="5">
        <v>949</v>
      </c>
      <c r="U93" s="5">
        <v>881</v>
      </c>
      <c r="V93" s="5">
        <v>820</v>
      </c>
      <c r="W93" s="5">
        <v>801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2:37" x14ac:dyDescent="0.2">
      <c r="B94" s="2" t="s">
        <v>73</v>
      </c>
      <c r="C94" s="5">
        <v>17389</v>
      </c>
      <c r="D94" s="5">
        <f t="shared" si="102"/>
        <v>12192</v>
      </c>
      <c r="E94" s="5">
        <v>11878</v>
      </c>
      <c r="F94" s="5"/>
      <c r="G94" s="5">
        <v>10432</v>
      </c>
      <c r="H94" s="5"/>
      <c r="I94" s="5"/>
      <c r="J94" s="5"/>
      <c r="K94" s="5"/>
      <c r="L94" s="5">
        <v>495</v>
      </c>
      <c r="M94" s="5">
        <v>563</v>
      </c>
      <c r="N94" s="5">
        <v>652</v>
      </c>
      <c r="O94" s="5">
        <v>17129</v>
      </c>
      <c r="P94" s="5">
        <v>17776</v>
      </c>
      <c r="Q94" s="5">
        <v>17050</v>
      </c>
      <c r="R94" s="5">
        <v>16314</v>
      </c>
      <c r="S94" s="5">
        <v>16462</v>
      </c>
      <c r="T94" s="5">
        <v>18428</v>
      </c>
      <c r="U94" s="5">
        <v>12192</v>
      </c>
      <c r="V94" s="5">
        <v>11679</v>
      </c>
      <c r="W94" s="5">
        <v>10343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2:37" x14ac:dyDescent="0.2">
      <c r="B95" s="2" t="s">
        <v>74</v>
      </c>
      <c r="C95" s="5">
        <v>469</v>
      </c>
      <c r="D95" s="5">
        <f t="shared" si="102"/>
        <v>531</v>
      </c>
      <c r="E95" s="5">
        <v>271</v>
      </c>
      <c r="F95" s="5"/>
      <c r="G95" s="5">
        <v>3212</v>
      </c>
      <c r="H95" s="5"/>
      <c r="I95" s="5"/>
      <c r="J95" s="5"/>
      <c r="K95" s="5"/>
      <c r="L95" s="5">
        <v>278</v>
      </c>
      <c r="M95" s="5">
        <v>296</v>
      </c>
      <c r="N95" s="5">
        <v>386</v>
      </c>
      <c r="O95" s="5">
        <v>354</v>
      </c>
      <c r="P95" s="5">
        <v>331</v>
      </c>
      <c r="Q95" s="5">
        <v>388</v>
      </c>
      <c r="R95" s="5">
        <v>387</v>
      </c>
      <c r="S95" s="5">
        <v>392</v>
      </c>
      <c r="T95" s="5">
        <v>434</v>
      </c>
      <c r="U95" s="5">
        <v>531</v>
      </c>
      <c r="V95" s="5">
        <v>4071</v>
      </c>
      <c r="W95" s="5">
        <v>3161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2:37" x14ac:dyDescent="0.2">
      <c r="B96" s="2" t="s">
        <v>75</v>
      </c>
      <c r="C96" s="5">
        <v>944</v>
      </c>
      <c r="D96" s="5">
        <f t="shared" si="102"/>
        <v>893</v>
      </c>
      <c r="E96" s="5">
        <v>788</v>
      </c>
      <c r="F96" s="5"/>
      <c r="G96" s="5">
        <v>586</v>
      </c>
      <c r="H96" s="5"/>
      <c r="I96" s="5"/>
      <c r="J96" s="5"/>
      <c r="K96" s="5"/>
      <c r="L96" s="5">
        <v>128</v>
      </c>
      <c r="M96" s="5">
        <v>1029</v>
      </c>
      <c r="N96" s="5">
        <v>1040</v>
      </c>
      <c r="O96" s="5">
        <v>1058</v>
      </c>
      <c r="P96" s="5">
        <v>1055</v>
      </c>
      <c r="Q96" s="5">
        <v>1034</v>
      </c>
      <c r="R96" s="5">
        <v>1064</v>
      </c>
      <c r="S96" s="5">
        <v>982</v>
      </c>
      <c r="T96" s="5">
        <v>944</v>
      </c>
      <c r="U96" s="5">
        <v>893</v>
      </c>
      <c r="V96" s="5">
        <v>685</v>
      </c>
      <c r="W96" s="5">
        <v>484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 x14ac:dyDescent="0.2">
      <c r="B97" s="2" t="s">
        <v>56</v>
      </c>
      <c r="C97" s="5">
        <v>430</v>
      </c>
      <c r="D97" s="5">
        <f t="shared" si="102"/>
        <v>206</v>
      </c>
      <c r="E97" s="5">
        <v>217</v>
      </c>
      <c r="F97" s="5"/>
      <c r="G97" s="5">
        <v>150</v>
      </c>
      <c r="H97" s="5"/>
      <c r="I97" s="5"/>
      <c r="J97" s="5"/>
      <c r="K97" s="5"/>
      <c r="L97" s="5">
        <v>123</v>
      </c>
      <c r="M97" s="5">
        <v>130</v>
      </c>
      <c r="N97" s="5">
        <v>119</v>
      </c>
      <c r="O97" s="5">
        <v>79</v>
      </c>
      <c r="P97" s="5">
        <v>214</v>
      </c>
      <c r="Q97" s="5">
        <v>287</v>
      </c>
      <c r="R97" s="5">
        <v>41</v>
      </c>
      <c r="S97" s="5">
        <v>79</v>
      </c>
      <c r="T97" s="5">
        <v>502</v>
      </c>
      <c r="U97" s="5">
        <v>206</v>
      </c>
      <c r="V97" s="5">
        <v>268</v>
      </c>
      <c r="W97" s="5">
        <v>124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 x14ac:dyDescent="0.2">
      <c r="B98" s="2" t="s">
        <v>76</v>
      </c>
      <c r="C98" s="5">
        <f t="shared" ref="C98:G98" si="103">SUM(C92:C97)</f>
        <v>57253</v>
      </c>
      <c r="D98" s="5">
        <f t="shared" si="103"/>
        <v>50109</v>
      </c>
      <c r="E98" s="5">
        <f t="shared" si="103"/>
        <v>46858</v>
      </c>
      <c r="F98" s="5">
        <f t="shared" si="103"/>
        <v>0</v>
      </c>
      <c r="G98" s="5">
        <f t="shared" si="103"/>
        <v>47053</v>
      </c>
      <c r="H98" s="5"/>
      <c r="I98" s="5"/>
      <c r="J98" s="5"/>
      <c r="K98" s="5"/>
      <c r="L98" s="5">
        <f t="shared" ref="L98:O98" si="104">SUM(L92:L97)</f>
        <v>11584</v>
      </c>
      <c r="M98" s="5">
        <f t="shared" si="104"/>
        <v>17477</v>
      </c>
      <c r="N98" s="5">
        <f t="shared" si="104"/>
        <v>19511</v>
      </c>
      <c r="O98" s="5">
        <f t="shared" si="104"/>
        <v>64468</v>
      </c>
      <c r="P98" s="5">
        <f t="shared" ref="P98:T98" si="105">SUM(P92:P97)</f>
        <v>64325</v>
      </c>
      <c r="Q98" s="5">
        <f t="shared" si="105"/>
        <v>58022</v>
      </c>
      <c r="R98" s="5">
        <f t="shared" si="105"/>
        <v>59257</v>
      </c>
      <c r="S98" s="5">
        <f t="shared" si="105"/>
        <v>54820</v>
      </c>
      <c r="T98" s="5">
        <f t="shared" si="105"/>
        <v>59983</v>
      </c>
      <c r="U98" s="5">
        <f>SUM(U92:U97)</f>
        <v>50109</v>
      </c>
      <c r="V98" s="5">
        <f>SUM(V92:V97)</f>
        <v>50161</v>
      </c>
      <c r="W98" s="5">
        <f>SUM(W92:W97)</f>
        <v>46621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 x14ac:dyDescent="0.2">
      <c r="B99" s="2" t="s">
        <v>71</v>
      </c>
      <c r="C99" s="5">
        <v>5029</v>
      </c>
      <c r="D99" s="5">
        <f t="shared" ref="D99:D104" si="106">U99</f>
        <v>4324</v>
      </c>
      <c r="E99" s="5">
        <v>7306</v>
      </c>
      <c r="F99" s="5"/>
      <c r="G99" s="5">
        <v>3304</v>
      </c>
      <c r="H99" s="5"/>
      <c r="I99" s="5"/>
      <c r="J99" s="5"/>
      <c r="K99" s="5"/>
      <c r="L99" s="5">
        <v>2479</v>
      </c>
      <c r="M99" s="5">
        <v>2195</v>
      </c>
      <c r="N99" s="5">
        <v>3007</v>
      </c>
      <c r="O99" s="5">
        <v>5423</v>
      </c>
      <c r="P99" s="5">
        <v>4225</v>
      </c>
      <c r="Q99" s="5">
        <v>7562</v>
      </c>
      <c r="R99" s="5">
        <v>4041</v>
      </c>
      <c r="S99" s="5">
        <v>3992</v>
      </c>
      <c r="T99" s="5">
        <v>4413</v>
      </c>
      <c r="U99" s="5">
        <v>4324</v>
      </c>
      <c r="V99" s="5">
        <v>4312</v>
      </c>
      <c r="W99" s="5">
        <v>3362</v>
      </c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 x14ac:dyDescent="0.2">
      <c r="B100" s="2" t="s">
        <v>73</v>
      </c>
      <c r="C100" s="5">
        <v>905</v>
      </c>
      <c r="D100" s="5">
        <f t="shared" si="106"/>
        <v>992</v>
      </c>
      <c r="E100" s="5">
        <v>1184</v>
      </c>
      <c r="F100" s="5"/>
      <c r="G100" s="5">
        <v>1172</v>
      </c>
      <c r="H100" s="5"/>
      <c r="I100" s="5"/>
      <c r="J100" s="5"/>
      <c r="K100" s="5"/>
      <c r="L100" s="5">
        <v>430</v>
      </c>
      <c r="M100" s="5">
        <v>414</v>
      </c>
      <c r="N100" s="5">
        <v>558</v>
      </c>
      <c r="O100" s="5">
        <v>720</v>
      </c>
      <c r="P100" s="5">
        <v>853</v>
      </c>
      <c r="Q100" s="5">
        <v>683</v>
      </c>
      <c r="R100" s="5">
        <v>868</v>
      </c>
      <c r="S100" s="5">
        <v>879</v>
      </c>
      <c r="T100" s="5">
        <v>1049</v>
      </c>
      <c r="U100" s="5">
        <v>992</v>
      </c>
      <c r="V100" s="5">
        <v>1681</v>
      </c>
      <c r="W100" s="5">
        <v>1129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x14ac:dyDescent="0.2">
      <c r="B101" s="2" t="s">
        <v>74</v>
      </c>
      <c r="C101" s="5">
        <v>483</v>
      </c>
      <c r="D101" s="5">
        <f t="shared" si="106"/>
        <v>468</v>
      </c>
      <c r="E101" s="5">
        <v>416</v>
      </c>
      <c r="F101" s="5"/>
      <c r="G101" s="5">
        <v>3089</v>
      </c>
      <c r="H101" s="5"/>
      <c r="I101" s="5"/>
      <c r="J101" s="5"/>
      <c r="K101" s="5"/>
      <c r="L101" s="5">
        <v>210</v>
      </c>
      <c r="M101" s="5">
        <v>273</v>
      </c>
      <c r="N101" s="5">
        <v>407</v>
      </c>
      <c r="O101" s="5">
        <v>399</v>
      </c>
      <c r="P101" s="5">
        <v>318</v>
      </c>
      <c r="Q101" s="5">
        <v>670</v>
      </c>
      <c r="R101" s="5">
        <v>598</v>
      </c>
      <c r="S101" s="5">
        <v>461</v>
      </c>
      <c r="T101" s="5">
        <v>1087</v>
      </c>
      <c r="U101" s="5">
        <v>468</v>
      </c>
      <c r="V101" s="5">
        <v>3044</v>
      </c>
      <c r="W101" s="5">
        <v>608</v>
      </c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 x14ac:dyDescent="0.2">
      <c r="B102" s="2" t="s">
        <v>75</v>
      </c>
      <c r="C102" s="5">
        <v>9217</v>
      </c>
      <c r="D102" s="5">
        <f t="shared" si="106"/>
        <v>9700</v>
      </c>
      <c r="E102" s="5">
        <v>9017</v>
      </c>
      <c r="F102" s="5"/>
      <c r="G102" s="5">
        <v>8243</v>
      </c>
      <c r="H102" s="5"/>
      <c r="I102" s="5"/>
      <c r="J102" s="5"/>
      <c r="K102" s="5"/>
      <c r="L102" s="5">
        <v>5524</v>
      </c>
      <c r="M102" s="5">
        <v>5937</v>
      </c>
      <c r="N102" s="5">
        <v>7335</v>
      </c>
      <c r="O102" s="5">
        <v>8847</v>
      </c>
      <c r="P102" s="5">
        <v>10631</v>
      </c>
      <c r="Q102" s="5">
        <v>9727</v>
      </c>
      <c r="R102" s="5">
        <v>9693</v>
      </c>
      <c r="S102" s="5">
        <v>9577</v>
      </c>
      <c r="T102" s="5">
        <v>10449</v>
      </c>
      <c r="U102" s="5">
        <v>9700</v>
      </c>
      <c r="V102" s="5">
        <v>9550</v>
      </c>
      <c r="W102" s="5">
        <v>9328</v>
      </c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 x14ac:dyDescent="0.2">
      <c r="B103" s="2" t="s">
        <v>56</v>
      </c>
      <c r="C103" s="5">
        <v>251</v>
      </c>
      <c r="D103" s="5">
        <f t="shared" si="106"/>
        <v>189</v>
      </c>
      <c r="E103" s="5">
        <v>119</v>
      </c>
      <c r="F103" s="5"/>
      <c r="G103" s="5">
        <v>188</v>
      </c>
      <c r="H103" s="5"/>
      <c r="I103" s="5"/>
      <c r="J103" s="5"/>
      <c r="K103" s="5"/>
      <c r="L103" s="5">
        <v>126</v>
      </c>
      <c r="M103" s="5">
        <v>187</v>
      </c>
      <c r="N103" s="5">
        <v>549</v>
      </c>
      <c r="O103" s="5">
        <v>155</v>
      </c>
      <c r="P103" s="5">
        <v>302</v>
      </c>
      <c r="Q103" s="5">
        <v>181</v>
      </c>
      <c r="R103" s="5">
        <v>278</v>
      </c>
      <c r="S103" s="5">
        <v>235</v>
      </c>
      <c r="T103" s="5">
        <v>427</v>
      </c>
      <c r="U103" s="5">
        <v>189</v>
      </c>
      <c r="V103" s="5">
        <v>156</v>
      </c>
      <c r="W103" s="5">
        <v>91</v>
      </c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 x14ac:dyDescent="0.2">
      <c r="B104" s="2" t="s">
        <v>79</v>
      </c>
      <c r="C104" s="5">
        <v>306</v>
      </c>
      <c r="D104" s="5">
        <f t="shared" si="106"/>
        <v>0</v>
      </c>
      <c r="E104" s="5">
        <v>0</v>
      </c>
      <c r="F104" s="5"/>
      <c r="G104" s="5">
        <v>0</v>
      </c>
      <c r="H104" s="5"/>
      <c r="I104" s="5"/>
      <c r="J104" s="5"/>
      <c r="K104" s="5"/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428</v>
      </c>
      <c r="U104" s="5">
        <v>0</v>
      </c>
      <c r="V104" s="5">
        <v>0</v>
      </c>
      <c r="W104" s="5">
        <v>6</v>
      </c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x14ac:dyDescent="0.2">
      <c r="B105" s="2" t="s">
        <v>78</v>
      </c>
      <c r="C105" s="5">
        <f t="shared" ref="C105:G105" si="107">SUM(C99:C104)</f>
        <v>16191</v>
      </c>
      <c r="D105" s="5">
        <f t="shared" si="107"/>
        <v>15673</v>
      </c>
      <c r="E105" s="5">
        <f t="shared" si="107"/>
        <v>18042</v>
      </c>
      <c r="F105" s="5">
        <f t="shared" si="107"/>
        <v>0</v>
      </c>
      <c r="G105" s="5">
        <f t="shared" si="107"/>
        <v>15996</v>
      </c>
      <c r="H105" s="5"/>
      <c r="I105" s="5"/>
      <c r="J105" s="5"/>
      <c r="K105" s="5"/>
      <c r="L105" s="5">
        <f t="shared" ref="L105:O105" si="108">SUM(L99:L104)</f>
        <v>8769</v>
      </c>
      <c r="M105" s="5">
        <f t="shared" si="108"/>
        <v>9006</v>
      </c>
      <c r="N105" s="5">
        <f t="shared" si="108"/>
        <v>11856</v>
      </c>
      <c r="O105" s="5">
        <f t="shared" si="108"/>
        <v>15544</v>
      </c>
      <c r="P105" s="5">
        <f t="shared" ref="P105:T105" si="109">SUM(P99:P104)</f>
        <v>16329</v>
      </c>
      <c r="Q105" s="5">
        <f t="shared" si="109"/>
        <v>18823</v>
      </c>
      <c r="R105" s="5">
        <f t="shared" si="109"/>
        <v>15478</v>
      </c>
      <c r="S105" s="5">
        <f t="shared" si="109"/>
        <v>15144</v>
      </c>
      <c r="T105" s="5">
        <f t="shared" si="109"/>
        <v>17853</v>
      </c>
      <c r="U105" s="5">
        <f>SUM(U99:U104)</f>
        <v>15673</v>
      </c>
      <c r="V105" s="5">
        <f>SUM(V99:V104)</f>
        <v>18743</v>
      </c>
      <c r="W105" s="5">
        <f>SUM(W99:W104)</f>
        <v>14524</v>
      </c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x14ac:dyDescent="0.2">
      <c r="B106" s="1" t="s">
        <v>77</v>
      </c>
      <c r="C106" s="41">
        <f>C105+C98+C91</f>
        <v>146072</v>
      </c>
      <c r="D106" s="41">
        <f>D105+D98+D91</f>
        <v>118716</v>
      </c>
      <c r="E106" s="41">
        <f>E105+E98+E91</f>
        <v>119369</v>
      </c>
      <c r="F106" s="41">
        <f>F105+F98+F91</f>
        <v>0</v>
      </c>
      <c r="G106" s="41">
        <f>G105+G98+G91</f>
        <v>110226</v>
      </c>
      <c r="H106" s="41"/>
      <c r="I106" s="5"/>
      <c r="J106" s="5"/>
      <c r="K106" s="5"/>
      <c r="L106" s="41">
        <f t="shared" ref="L106:W106" si="110">L105+L98+L91</f>
        <v>26167</v>
      </c>
      <c r="M106" s="41">
        <f t="shared" si="110"/>
        <v>31515</v>
      </c>
      <c r="N106" s="41">
        <f t="shared" si="110"/>
        <v>39773</v>
      </c>
      <c r="O106" s="41">
        <f t="shared" si="110"/>
        <v>141038</v>
      </c>
      <c r="P106" s="41">
        <f t="shared" si="110"/>
        <v>146342</v>
      </c>
      <c r="Q106" s="41">
        <f t="shared" si="110"/>
        <v>141005</v>
      </c>
      <c r="R106" s="41">
        <f t="shared" si="110"/>
        <v>137690</v>
      </c>
      <c r="S106" s="41">
        <f t="shared" si="110"/>
        <v>137365</v>
      </c>
      <c r="T106" s="41">
        <f t="shared" si="110"/>
        <v>153546</v>
      </c>
      <c r="U106" s="41">
        <f t="shared" si="110"/>
        <v>118716</v>
      </c>
      <c r="V106" s="41">
        <f t="shared" si="110"/>
        <v>118899</v>
      </c>
      <c r="W106" s="41">
        <f t="shared" si="110"/>
        <v>109290</v>
      </c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x14ac:dyDescent="0.2">
      <c r="A108" s="34" t="s">
        <v>7</v>
      </c>
      <c r="B108" s="2" t="s">
        <v>80</v>
      </c>
      <c r="C108" s="5">
        <f>C38</f>
        <v>5935</v>
      </c>
      <c r="D108" s="5">
        <f>D38</f>
        <v>-21686</v>
      </c>
      <c r="E108" s="5">
        <f>E38</f>
        <v>4258</v>
      </c>
      <c r="F108" s="5">
        <f>F38</f>
        <v>-1522</v>
      </c>
      <c r="G108" s="5">
        <v>5069</v>
      </c>
      <c r="H108" s="5"/>
      <c r="I108" s="5"/>
      <c r="J108" s="5"/>
      <c r="K108" s="5"/>
      <c r="L108" s="5">
        <f t="shared" ref="L108:V108" si="111">L38</f>
        <v>4546</v>
      </c>
      <c r="M108" s="5">
        <f t="shared" si="111"/>
        <v>4557</v>
      </c>
      <c r="N108" s="5">
        <f t="shared" si="111"/>
        <v>4655</v>
      </c>
      <c r="O108" s="5">
        <f t="shared" si="111"/>
        <v>6476</v>
      </c>
      <c r="P108" s="5">
        <f t="shared" si="111"/>
        <v>9313</v>
      </c>
      <c r="Q108" s="5">
        <f t="shared" si="111"/>
        <v>9016</v>
      </c>
      <c r="R108" s="5">
        <f t="shared" si="111"/>
        <v>9962</v>
      </c>
      <c r="S108" s="5">
        <f t="shared" si="111"/>
        <v>10234</v>
      </c>
      <c r="T108" s="5">
        <f t="shared" si="111"/>
        <v>10523</v>
      </c>
      <c r="U108" s="5">
        <f t="shared" si="111"/>
        <v>-15751</v>
      </c>
      <c r="V108" s="5">
        <f t="shared" si="111"/>
        <v>2736</v>
      </c>
      <c r="W108" s="5">
        <v>9997</v>
      </c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x14ac:dyDescent="0.2">
      <c r="B109" s="2" t="s">
        <v>81</v>
      </c>
      <c r="C109" s="5">
        <v>480</v>
      </c>
      <c r="D109" s="5">
        <f>U109-C109</f>
        <v>28134</v>
      </c>
      <c r="E109" s="5">
        <v>1620</v>
      </c>
      <c r="F109" s="5"/>
      <c r="G109" s="5">
        <v>1192</v>
      </c>
      <c r="H109" s="5"/>
      <c r="I109" s="5"/>
      <c r="J109" s="5"/>
      <c r="K109" s="5"/>
      <c r="L109" s="5">
        <v>523</v>
      </c>
      <c r="M109" s="5">
        <v>428</v>
      </c>
      <c r="N109" s="5">
        <v>607</v>
      </c>
      <c r="O109" s="5">
        <v>902</v>
      </c>
      <c r="P109" s="5">
        <v>1038</v>
      </c>
      <c r="Q109" s="5">
        <v>1512</v>
      </c>
      <c r="R109" s="5">
        <v>1450</v>
      </c>
      <c r="S109" s="5">
        <v>1076</v>
      </c>
      <c r="T109" s="5">
        <v>1305</v>
      </c>
      <c r="U109" s="5">
        <v>28614</v>
      </c>
      <c r="V109" s="5">
        <v>3101</v>
      </c>
      <c r="W109" s="5">
        <v>2547</v>
      </c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x14ac:dyDescent="0.2">
      <c r="B110" s="2" t="s">
        <v>82</v>
      </c>
      <c r="C110" s="5">
        <v>-357</v>
      </c>
      <c r="D110" s="5">
        <f>U110-C110</f>
        <v>622</v>
      </c>
      <c r="E110" s="5">
        <v>-606</v>
      </c>
      <c r="F110" s="5"/>
      <c r="G110" s="5">
        <v>-696</v>
      </c>
      <c r="H110" s="5"/>
      <c r="I110" s="5"/>
      <c r="J110" s="5"/>
      <c r="K110" s="5"/>
      <c r="L110" s="5">
        <v>-405</v>
      </c>
      <c r="M110" s="5">
        <v>-520</v>
      </c>
      <c r="N110" s="5">
        <v>-638</v>
      </c>
      <c r="O110" s="5">
        <v>1409</v>
      </c>
      <c r="P110" s="5">
        <v>-192</v>
      </c>
      <c r="Q110" s="5">
        <v>-371</v>
      </c>
      <c r="R110" s="5">
        <v>-144</v>
      </c>
      <c r="S110" s="5">
        <v>433</v>
      </c>
      <c r="T110" s="5">
        <v>-246</v>
      </c>
      <c r="U110" s="5">
        <v>265</v>
      </c>
      <c r="V110" s="5">
        <v>35</v>
      </c>
      <c r="W110" s="5">
        <v>112</v>
      </c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x14ac:dyDescent="0.2">
      <c r="B111" s="2" t="s">
        <v>83</v>
      </c>
      <c r="C111" s="5">
        <v>-425</v>
      </c>
      <c r="D111" s="5">
        <f>U111-C111</f>
        <v>-62</v>
      </c>
      <c r="E111" s="5">
        <v>-268</v>
      </c>
      <c r="F111" s="5"/>
      <c r="G111" s="5">
        <v>-1</v>
      </c>
      <c r="H111" s="5"/>
      <c r="I111" s="5"/>
      <c r="J111" s="5"/>
      <c r="K111" s="5"/>
      <c r="L111" s="5">
        <v>-36</v>
      </c>
      <c r="M111" s="5">
        <v>-508</v>
      </c>
      <c r="N111" s="5">
        <v>87</v>
      </c>
      <c r="O111" s="5">
        <v>-732</v>
      </c>
      <c r="P111" s="5">
        <v>502</v>
      </c>
      <c r="Q111" s="5">
        <v>-699</v>
      </c>
      <c r="R111" s="5">
        <v>300</v>
      </c>
      <c r="S111" s="5">
        <v>-393</v>
      </c>
      <c r="T111" s="5">
        <v>-42</v>
      </c>
      <c r="U111" s="5">
        <v>-487</v>
      </c>
      <c r="V111" s="5">
        <v>-269</v>
      </c>
      <c r="W111" s="5">
        <v>-295</v>
      </c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x14ac:dyDescent="0.2">
      <c r="B112" s="2" t="s">
        <v>84</v>
      </c>
      <c r="C112" s="5">
        <v>-897</v>
      </c>
      <c r="D112" s="5">
        <f>U112-C112</f>
        <v>610</v>
      </c>
      <c r="E112" s="5">
        <v>-868</v>
      </c>
      <c r="F112" s="5"/>
      <c r="G112" s="5">
        <v>-633</v>
      </c>
      <c r="H112" s="5"/>
      <c r="I112" s="5"/>
      <c r="J112" s="5"/>
      <c r="K112" s="5"/>
      <c r="L112" s="5">
        <v>0</v>
      </c>
      <c r="M112" s="5">
        <v>-55</v>
      </c>
      <c r="N112" s="5">
        <v>0</v>
      </c>
      <c r="O112" s="5">
        <v>-934</v>
      </c>
      <c r="P112" s="5">
        <v>1364</v>
      </c>
      <c r="Q112" s="5">
        <v>-124</v>
      </c>
      <c r="R112" s="5">
        <v>369</v>
      </c>
      <c r="S112" s="5">
        <v>-36</v>
      </c>
      <c r="T112" s="5">
        <v>-145</v>
      </c>
      <c r="U112" s="5">
        <v>-287</v>
      </c>
      <c r="V112" s="5">
        <v>-294</v>
      </c>
      <c r="W112" s="5">
        <v>-79</v>
      </c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2:37" x14ac:dyDescent="0.2">
      <c r="B113" s="2" t="s">
        <v>85</v>
      </c>
      <c r="C113" s="5">
        <v>347</v>
      </c>
      <c r="D113" s="5">
        <f>U113-C113</f>
        <v>293</v>
      </c>
      <c r="E113" s="5">
        <v>321</v>
      </c>
      <c r="F113" s="5"/>
      <c r="G113" s="5">
        <v>-565</v>
      </c>
      <c r="H113" s="5"/>
      <c r="I113" s="5"/>
      <c r="J113" s="5"/>
      <c r="K113" s="5"/>
      <c r="L113" s="5">
        <v>203</v>
      </c>
      <c r="M113" s="5">
        <v>732</v>
      </c>
      <c r="N113" s="5">
        <v>428</v>
      </c>
      <c r="O113" s="5">
        <v>-749</v>
      </c>
      <c r="P113" s="5">
        <v>123</v>
      </c>
      <c r="Q113" s="5">
        <v>730</v>
      </c>
      <c r="R113" s="5">
        <v>-320</v>
      </c>
      <c r="S113" s="5">
        <v>183</v>
      </c>
      <c r="T113" s="5">
        <v>3</v>
      </c>
      <c r="U113" s="5">
        <v>640</v>
      </c>
      <c r="V113" s="5">
        <v>58</v>
      </c>
      <c r="W113" s="5">
        <v>-207</v>
      </c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2:37" x14ac:dyDescent="0.2">
      <c r="B114" s="2" t="s">
        <v>86</v>
      </c>
      <c r="C114" s="5">
        <v>-55</v>
      </c>
      <c r="D114" s="5">
        <f>U114-C114</f>
        <v>-56</v>
      </c>
      <c r="E114" s="5">
        <v>-17</v>
      </c>
      <c r="F114" s="5"/>
      <c r="G114" s="5">
        <v>-27</v>
      </c>
      <c r="H114" s="5"/>
      <c r="I114" s="5"/>
      <c r="J114" s="5"/>
      <c r="K114" s="5"/>
      <c r="L114" s="5">
        <v>0</v>
      </c>
      <c r="M114" s="5">
        <v>963</v>
      </c>
      <c r="N114" s="5">
        <v>-145</v>
      </c>
      <c r="O114" s="5">
        <v>-131</v>
      </c>
      <c r="P114" s="5">
        <v>-100</v>
      </c>
      <c r="Q114" s="5">
        <v>-40</v>
      </c>
      <c r="R114" s="5">
        <v>-96</v>
      </c>
      <c r="S114" s="5">
        <v>-104</v>
      </c>
      <c r="T114" s="5">
        <v>-110</v>
      </c>
      <c r="U114" s="5">
        <v>-111</v>
      </c>
      <c r="V114" s="5">
        <v>-76</v>
      </c>
      <c r="W114" s="5">
        <v>-31</v>
      </c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2:37" x14ac:dyDescent="0.2">
      <c r="B115" s="2" t="s">
        <v>90</v>
      </c>
      <c r="C115" s="5">
        <v>-535</v>
      </c>
      <c r="D115" s="5">
        <f>U115-C115</f>
        <v>46</v>
      </c>
      <c r="E115" s="5">
        <v>-302</v>
      </c>
      <c r="F115" s="5"/>
      <c r="G115" s="5">
        <v>-634</v>
      </c>
      <c r="H115" s="5"/>
      <c r="I115" s="5"/>
      <c r="J115" s="5"/>
      <c r="K115" s="5"/>
      <c r="L115" s="5">
        <v>-170</v>
      </c>
      <c r="M115" s="5">
        <v>-191</v>
      </c>
      <c r="N115" s="5">
        <v>141</v>
      </c>
      <c r="O115" s="5">
        <v>-78</v>
      </c>
      <c r="P115" s="5">
        <v>-107</v>
      </c>
      <c r="Q115" s="5">
        <v>382</v>
      </c>
      <c r="R115" s="5">
        <v>0</v>
      </c>
      <c r="S115" s="5">
        <v>-145</v>
      </c>
      <c r="T115" s="5">
        <v>643</v>
      </c>
      <c r="U115" s="5">
        <v>-489</v>
      </c>
      <c r="V115" s="5">
        <v>6322</v>
      </c>
      <c r="W115" s="5">
        <v>-3409</v>
      </c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2:37" x14ac:dyDescent="0.2">
      <c r="B116" s="2" t="s">
        <v>68</v>
      </c>
      <c r="C116" s="5">
        <v>0</v>
      </c>
      <c r="D116" s="5">
        <f>U116-C116</f>
        <v>0</v>
      </c>
      <c r="E116" s="5">
        <v>0</v>
      </c>
      <c r="F116" s="5"/>
      <c r="G116" s="5">
        <v>12</v>
      </c>
      <c r="H116" s="5"/>
      <c r="I116" s="5"/>
      <c r="J116" s="5"/>
      <c r="K116" s="5"/>
      <c r="L116" s="5">
        <v>-76</v>
      </c>
      <c r="M116" s="5">
        <v>48</v>
      </c>
      <c r="N116" s="5">
        <v>-242</v>
      </c>
      <c r="O116" s="5">
        <f>-130</f>
        <v>-130</v>
      </c>
      <c r="P116" s="5">
        <v>0</v>
      </c>
      <c r="Q116" s="5">
        <v>436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2:37" x14ac:dyDescent="0.2">
      <c r="B117" s="1" t="s">
        <v>88</v>
      </c>
      <c r="C117" s="41">
        <f t="shared" ref="C117:G117" si="112">SUM(C110:C116)</f>
        <v>-1922</v>
      </c>
      <c r="D117" s="41">
        <f t="shared" si="112"/>
        <v>1453</v>
      </c>
      <c r="E117" s="41">
        <f t="shared" si="112"/>
        <v>-1740</v>
      </c>
      <c r="F117" s="41">
        <f t="shared" si="112"/>
        <v>0</v>
      </c>
      <c r="G117" s="41">
        <f t="shared" si="112"/>
        <v>-2544</v>
      </c>
      <c r="H117" s="41"/>
      <c r="I117" s="5"/>
      <c r="J117" s="5"/>
      <c r="K117" s="5"/>
      <c r="L117" s="41">
        <f t="shared" ref="L117:O117" si="113">SUM(L110:L116)</f>
        <v>-484</v>
      </c>
      <c r="M117" s="41">
        <f t="shared" si="113"/>
        <v>469</v>
      </c>
      <c r="N117" s="41">
        <f t="shared" si="113"/>
        <v>-369</v>
      </c>
      <c r="O117" s="41">
        <f t="shared" si="113"/>
        <v>-1345</v>
      </c>
      <c r="P117" s="41">
        <f>SUM(P110:P116)</f>
        <v>1590</v>
      </c>
      <c r="Q117" s="41">
        <f>SUM(Q110:Q116)</f>
        <v>314</v>
      </c>
      <c r="R117" s="41">
        <f t="shared" ref="R117:W117" si="114">SUM(R110:R116)</f>
        <v>109</v>
      </c>
      <c r="S117" s="41">
        <f t="shared" si="114"/>
        <v>-62</v>
      </c>
      <c r="T117" s="41">
        <f t="shared" si="114"/>
        <v>103</v>
      </c>
      <c r="U117" s="41">
        <f t="shared" si="114"/>
        <v>-469</v>
      </c>
      <c r="V117" s="41">
        <f t="shared" si="114"/>
        <v>5776</v>
      </c>
      <c r="W117" s="41">
        <f t="shared" si="114"/>
        <v>-3909</v>
      </c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2:37" x14ac:dyDescent="0.2">
      <c r="B118" s="2" t="s">
        <v>87</v>
      </c>
      <c r="C118" s="5">
        <v>29</v>
      </c>
      <c r="D118" s="5">
        <f>U118-C118</f>
        <v>407</v>
      </c>
      <c r="E118" s="5">
        <v>-16</v>
      </c>
      <c r="F118" s="5"/>
      <c r="G118" s="5">
        <v>0</v>
      </c>
      <c r="H118" s="5"/>
      <c r="I118" s="5"/>
      <c r="J118" s="5"/>
      <c r="K118" s="5"/>
      <c r="L118" s="5">
        <v>49</v>
      </c>
      <c r="M118" s="5">
        <v>-54</v>
      </c>
      <c r="N118" s="5">
        <v>0</v>
      </c>
      <c r="O118" s="5">
        <v>86</v>
      </c>
      <c r="P118" s="5">
        <v>31</v>
      </c>
      <c r="Q118" s="5">
        <v>106</v>
      </c>
      <c r="R118" s="5">
        <v>46</v>
      </c>
      <c r="S118" s="5">
        <v>430</v>
      </c>
      <c r="T118" s="5">
        <v>606</v>
      </c>
      <c r="U118" s="5">
        <v>436</v>
      </c>
      <c r="V118" s="5">
        <v>-40</v>
      </c>
      <c r="W118" s="5">
        <v>264</v>
      </c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2:37" x14ac:dyDescent="0.2">
      <c r="B119" s="2" t="s">
        <v>115</v>
      </c>
      <c r="C119" s="5">
        <v>202</v>
      </c>
      <c r="D119" s="5">
        <f>U119-C119</f>
        <v>304</v>
      </c>
      <c r="E119" s="5">
        <v>196</v>
      </c>
      <c r="F119" s="5"/>
      <c r="G119" s="5">
        <v>168</v>
      </c>
      <c r="H119" s="5"/>
      <c r="I119" s="5"/>
      <c r="J119" s="5"/>
      <c r="K119" s="5"/>
      <c r="L119" s="5">
        <v>515</v>
      </c>
      <c r="M119" s="5">
        <v>593</v>
      </c>
      <c r="N119" s="5">
        <v>962</v>
      </c>
      <c r="O119" s="5">
        <v>903</v>
      </c>
      <c r="P119" s="5">
        <v>214</v>
      </c>
      <c r="Q119" s="5">
        <v>252</v>
      </c>
      <c r="R119" s="5">
        <v>351</v>
      </c>
      <c r="S119" s="5">
        <v>353</v>
      </c>
      <c r="T119" s="5">
        <v>394</v>
      </c>
      <c r="U119" s="5">
        <v>506</v>
      </c>
      <c r="V119" s="5">
        <v>406</v>
      </c>
      <c r="W119" s="5">
        <v>369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2:37" x14ac:dyDescent="0.2">
      <c r="B120" s="2" t="s">
        <v>114</v>
      </c>
      <c r="C120" s="5">
        <v>-1349</v>
      </c>
      <c r="D120" s="5">
        <f>U120-C120</f>
        <v>-1273</v>
      </c>
      <c r="E120" s="5">
        <v>-1153</v>
      </c>
      <c r="F120" s="5"/>
      <c r="G120" s="5">
        <v>-1576</v>
      </c>
      <c r="H120" s="5"/>
      <c r="I120" s="5"/>
      <c r="J120" s="5"/>
      <c r="K120" s="5"/>
      <c r="L120" s="5">
        <v>-1433</v>
      </c>
      <c r="M120" s="5">
        <v>-1273</v>
      </c>
      <c r="N120" s="5">
        <v>-1245</v>
      </c>
      <c r="O120" s="5">
        <v>-1675</v>
      </c>
      <c r="P120" s="5">
        <v>-1891</v>
      </c>
      <c r="Q120" s="5">
        <v>-2204</v>
      </c>
      <c r="R120" s="5">
        <v>-2132</v>
      </c>
      <c r="S120" s="5">
        <v>-2314</v>
      </c>
      <c r="T120" s="5">
        <v>-2537</v>
      </c>
      <c r="U120" s="5">
        <v>-2622</v>
      </c>
      <c r="V120" s="5">
        <v>-1854</v>
      </c>
      <c r="W120" s="5">
        <v>-2926</v>
      </c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2:37" x14ac:dyDescent="0.2">
      <c r="B121" s="1" t="s">
        <v>89</v>
      </c>
      <c r="C121" s="41">
        <f t="shared" ref="C121:G121" si="115">C108+C109+C117+C118+C119+C120</f>
        <v>3375</v>
      </c>
      <c r="D121" s="41">
        <f t="shared" si="115"/>
        <v>7339</v>
      </c>
      <c r="E121" s="41">
        <f t="shared" si="115"/>
        <v>3165</v>
      </c>
      <c r="F121" s="41">
        <f t="shared" si="115"/>
        <v>-1522</v>
      </c>
      <c r="G121" s="41">
        <f t="shared" si="115"/>
        <v>2309</v>
      </c>
      <c r="H121" s="41"/>
      <c r="I121" s="5"/>
      <c r="J121" s="5"/>
      <c r="K121" s="5"/>
      <c r="L121" s="41">
        <f t="shared" ref="L121:O121" si="116">L108+L109+L117+L118+L119+L120</f>
        <v>3716</v>
      </c>
      <c r="M121" s="41">
        <f t="shared" si="116"/>
        <v>4720</v>
      </c>
      <c r="N121" s="41">
        <f t="shared" si="116"/>
        <v>4610</v>
      </c>
      <c r="O121" s="41">
        <f t="shared" si="116"/>
        <v>5347</v>
      </c>
      <c r="P121" s="41">
        <f>P108+P109+P117+P118+P119+P120</f>
        <v>10295</v>
      </c>
      <c r="Q121" s="41">
        <f t="shared" ref="Q121:T121" si="117">Q108+Q109+Q117+Q118+Q119+Q120</f>
        <v>8996</v>
      </c>
      <c r="R121" s="41">
        <f t="shared" si="117"/>
        <v>9786</v>
      </c>
      <c r="S121" s="41">
        <f t="shared" si="117"/>
        <v>9717</v>
      </c>
      <c r="T121" s="41">
        <f t="shared" si="117"/>
        <v>10394</v>
      </c>
      <c r="U121" s="41">
        <f>U108+U109+U117+U118+U119+U120</f>
        <v>10714</v>
      </c>
      <c r="V121" s="41">
        <f>V108+V109+V117+V118+V119+V120</f>
        <v>10125</v>
      </c>
      <c r="W121" s="41">
        <f>W108+W109+W117+W118+W119+W120</f>
        <v>6342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2:37" x14ac:dyDescent="0.2">
      <c r="B122" s="2" t="s">
        <v>91</v>
      </c>
      <c r="C122" s="5">
        <v>78</v>
      </c>
      <c r="D122" s="5">
        <f>U122-C122</f>
        <v>67</v>
      </c>
      <c r="E122" s="5">
        <v>84</v>
      </c>
      <c r="F122" s="5"/>
      <c r="G122" s="5">
        <v>85</v>
      </c>
      <c r="H122" s="5"/>
      <c r="I122" s="5"/>
      <c r="J122" s="5"/>
      <c r="K122" s="5"/>
      <c r="L122" s="5">
        <v>63</v>
      </c>
      <c r="M122" s="5">
        <v>64</v>
      </c>
      <c r="N122" s="5">
        <v>62</v>
      </c>
      <c r="O122" s="5">
        <v>83</v>
      </c>
      <c r="P122" s="5">
        <v>52</v>
      </c>
      <c r="Q122" s="5">
        <v>80</v>
      </c>
      <c r="R122" s="5">
        <v>48</v>
      </c>
      <c r="S122" s="5">
        <v>33</v>
      </c>
      <c r="T122" s="5">
        <v>85</v>
      </c>
      <c r="U122" s="5">
        <v>145</v>
      </c>
      <c r="V122" s="5">
        <v>187</v>
      </c>
      <c r="W122" s="5">
        <v>202</v>
      </c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2:37" x14ac:dyDescent="0.2">
      <c r="B123" s="2" t="s">
        <v>92</v>
      </c>
      <c r="C123" s="5">
        <v>-110</v>
      </c>
      <c r="D123" s="5">
        <f>U123-C123</f>
        <v>-350</v>
      </c>
      <c r="E123" s="5">
        <v>-116</v>
      </c>
      <c r="F123" s="5"/>
      <c r="G123" s="5">
        <v>-103</v>
      </c>
      <c r="H123" s="5"/>
      <c r="I123" s="5"/>
      <c r="J123" s="5"/>
      <c r="K123" s="5"/>
      <c r="L123" s="5">
        <v>-529</v>
      </c>
      <c r="M123" s="5">
        <v>-438</v>
      </c>
      <c r="N123" s="5">
        <v>-586</v>
      </c>
      <c r="O123" s="5">
        <v>-791</v>
      </c>
      <c r="P123" s="5">
        <v>-758</v>
      </c>
      <c r="Q123" s="5">
        <v>-664</v>
      </c>
      <c r="R123" s="5">
        <v>-511</v>
      </c>
      <c r="S123" s="5">
        <v>-527</v>
      </c>
      <c r="T123" s="5">
        <v>-523</v>
      </c>
      <c r="U123" s="5">
        <v>-460</v>
      </c>
      <c r="V123" s="5">
        <v>-486</v>
      </c>
      <c r="W123" s="5">
        <v>-551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2:37" x14ac:dyDescent="0.2">
      <c r="B124" s="2" t="s">
        <v>93</v>
      </c>
      <c r="C124" s="5">
        <v>22</v>
      </c>
      <c r="D124" s="5">
        <f>U124-C124</f>
        <v>32</v>
      </c>
      <c r="E124" s="5">
        <v>50</v>
      </c>
      <c r="F124" s="5"/>
      <c r="G124" s="5">
        <v>21</v>
      </c>
      <c r="H124" s="5"/>
      <c r="I124" s="5"/>
      <c r="J124" s="5"/>
      <c r="K124" s="5"/>
      <c r="L124" s="5">
        <v>62</v>
      </c>
      <c r="M124" s="5">
        <v>108</v>
      </c>
      <c r="N124" s="5">
        <v>93</v>
      </c>
      <c r="O124" s="5">
        <v>95</v>
      </c>
      <c r="P124" s="5">
        <v>38</v>
      </c>
      <c r="Q124" s="5">
        <v>34</v>
      </c>
      <c r="R124" s="5">
        <v>44</v>
      </c>
      <c r="S124" s="5">
        <v>31</v>
      </c>
      <c r="T124" s="5">
        <v>31</v>
      </c>
      <c r="U124" s="5">
        <v>54</v>
      </c>
      <c r="V124" s="5">
        <v>145</v>
      </c>
      <c r="W124" s="5">
        <v>37</v>
      </c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2:37" x14ac:dyDescent="0.2">
      <c r="B125" s="2" t="s">
        <v>94</v>
      </c>
      <c r="C125" s="5">
        <v>-21</v>
      </c>
      <c r="D125" s="5">
        <f>U125-C125</f>
        <v>-120</v>
      </c>
      <c r="E125" s="5">
        <v>-31</v>
      </c>
      <c r="F125" s="5"/>
      <c r="G125" s="5">
        <v>-42</v>
      </c>
      <c r="H125" s="5"/>
      <c r="I125" s="5"/>
      <c r="J125" s="5"/>
      <c r="K125" s="5"/>
      <c r="L125" s="5">
        <v>-163</v>
      </c>
      <c r="M125" s="5">
        <v>-118</v>
      </c>
      <c r="N125" s="5">
        <v>-88</v>
      </c>
      <c r="O125" s="5">
        <v>-187</v>
      </c>
      <c r="P125" s="5">
        <v>-185</v>
      </c>
      <c r="Q125" s="5">
        <v>-151</v>
      </c>
      <c r="R125" s="5">
        <v>-244</v>
      </c>
      <c r="S125" s="5">
        <v>-218</v>
      </c>
      <c r="T125" s="5">
        <v>-133</v>
      </c>
      <c r="U125" s="5">
        <v>-141</v>
      </c>
      <c r="V125" s="5">
        <v>-122</v>
      </c>
      <c r="W125" s="5">
        <v>-153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2:37" x14ac:dyDescent="0.2">
      <c r="B126" s="2" t="s">
        <v>95</v>
      </c>
      <c r="C126" s="5">
        <v>0</v>
      </c>
      <c r="D126" s="5">
        <f>U126-C126</f>
        <v>27</v>
      </c>
      <c r="E126" s="5">
        <v>0</v>
      </c>
      <c r="F126" s="5"/>
      <c r="G126" s="5">
        <v>8</v>
      </c>
      <c r="H126" s="5"/>
      <c r="I126" s="5"/>
      <c r="J126" s="5"/>
      <c r="K126" s="5"/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3</v>
      </c>
      <c r="U126" s="5">
        <v>27</v>
      </c>
      <c r="V126" s="5">
        <v>39</v>
      </c>
      <c r="W126" s="5">
        <v>31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2:37" x14ac:dyDescent="0.2">
      <c r="B127" s="2" t="s">
        <v>96</v>
      </c>
      <c r="C127" s="5">
        <v>-433</v>
      </c>
      <c r="D127" s="5">
        <f>U127-C127</f>
        <v>-15</v>
      </c>
      <c r="E127" s="5">
        <v>-206</v>
      </c>
      <c r="F127" s="5"/>
      <c r="G127" s="5">
        <v>-59</v>
      </c>
      <c r="H127" s="5"/>
      <c r="I127" s="5"/>
      <c r="J127" s="5"/>
      <c r="K127" s="5"/>
      <c r="L127" s="5">
        <v>-31</v>
      </c>
      <c r="M127" s="5">
        <v>-99</v>
      </c>
      <c r="N127" s="5">
        <v>-109</v>
      </c>
      <c r="O127" s="5">
        <v>-170</v>
      </c>
      <c r="P127" s="5">
        <v>-320</v>
      </c>
      <c r="Q127" s="5">
        <v>-191</v>
      </c>
      <c r="R127" s="5">
        <v>-343</v>
      </c>
      <c r="S127" s="5">
        <v>-369</v>
      </c>
      <c r="T127" s="5">
        <v>-257</v>
      </c>
      <c r="U127" s="5">
        <v>-448</v>
      </c>
      <c r="V127" s="5">
        <v>-216</v>
      </c>
      <c r="W127" s="5">
        <v>-54</v>
      </c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2:37" x14ac:dyDescent="0.2">
      <c r="B128" s="2" t="s">
        <v>97</v>
      </c>
      <c r="C128" s="5">
        <v>543</v>
      </c>
      <c r="D128" s="5">
        <f>U128-C128</f>
        <v>-138</v>
      </c>
      <c r="E128" s="5">
        <v>99</v>
      </c>
      <c r="F128" s="5"/>
      <c r="G128" s="5">
        <v>73</v>
      </c>
      <c r="H128" s="5"/>
      <c r="I128" s="5"/>
      <c r="J128" s="5"/>
      <c r="K128" s="5"/>
      <c r="L128" s="5">
        <v>34</v>
      </c>
      <c r="M128" s="5">
        <v>45</v>
      </c>
      <c r="N128" s="5">
        <v>22</v>
      </c>
      <c r="O128" s="5">
        <v>160</v>
      </c>
      <c r="P128" s="5">
        <v>167</v>
      </c>
      <c r="Q128" s="5">
        <v>339</v>
      </c>
      <c r="R128" s="5">
        <v>184</v>
      </c>
      <c r="S128" s="5">
        <v>141</v>
      </c>
      <c r="T128" s="5">
        <v>128</v>
      </c>
      <c r="U128" s="5">
        <v>405</v>
      </c>
      <c r="V128" s="5">
        <v>299</v>
      </c>
      <c r="W128" s="5">
        <v>848</v>
      </c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2:37" x14ac:dyDescent="0.2">
      <c r="B129" s="2" t="s">
        <v>98</v>
      </c>
      <c r="C129" s="5">
        <v>-38</v>
      </c>
      <c r="D129" s="5">
        <f>U129-C129</f>
        <v>1</v>
      </c>
      <c r="E129" s="5">
        <v>-24</v>
      </c>
      <c r="F129" s="5"/>
      <c r="G129" s="5">
        <v>-23</v>
      </c>
      <c r="H129" s="5"/>
      <c r="I129" s="5"/>
      <c r="J129" s="5"/>
      <c r="K129" s="5"/>
      <c r="L129" s="5">
        <v>0</v>
      </c>
      <c r="M129" s="5">
        <v>-3015</v>
      </c>
      <c r="N129" s="5">
        <v>-57</v>
      </c>
      <c r="O129" s="5">
        <f>-77-17657</f>
        <v>-17734</v>
      </c>
      <c r="P129" s="5">
        <v>-32</v>
      </c>
      <c r="Q129" s="5">
        <v>-86</v>
      </c>
      <c r="R129" s="5">
        <v>39</v>
      </c>
      <c r="S129" s="5">
        <v>-133</v>
      </c>
      <c r="T129" s="5">
        <v>-39</v>
      </c>
      <c r="U129" s="5">
        <v>-37</v>
      </c>
      <c r="V129" s="5">
        <v>-48</v>
      </c>
      <c r="W129" s="5">
        <v>-29</v>
      </c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2:37" x14ac:dyDescent="0.2">
      <c r="B130" s="2" t="s">
        <v>360</v>
      </c>
      <c r="C130" s="5">
        <v>0</v>
      </c>
      <c r="D130" s="5">
        <f>U130-C130</f>
        <v>159</v>
      </c>
      <c r="E130" s="5">
        <v>1577</v>
      </c>
      <c r="F130" s="5"/>
      <c r="G130" s="5">
        <v>1052</v>
      </c>
      <c r="H130" s="5"/>
      <c r="I130" s="5"/>
      <c r="J130" s="5"/>
      <c r="K130" s="5"/>
      <c r="L130" s="5">
        <v>94</v>
      </c>
      <c r="M130" s="5">
        <v>-493</v>
      </c>
      <c r="N130" s="5">
        <v>23</v>
      </c>
      <c r="O130" s="5">
        <v>0</v>
      </c>
      <c r="P130" s="5">
        <v>17</v>
      </c>
      <c r="Q130" s="5">
        <v>0</v>
      </c>
      <c r="R130" s="5">
        <v>0</v>
      </c>
      <c r="S130" s="5">
        <v>-98</v>
      </c>
      <c r="T130" s="5">
        <v>0</v>
      </c>
      <c r="U130" s="5">
        <v>159</v>
      </c>
      <c r="V130" s="5">
        <v>1577</v>
      </c>
      <c r="W130" s="5">
        <f>1052+4</f>
        <v>1056</v>
      </c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2:37" x14ac:dyDescent="0.2">
      <c r="B131" s="1" t="s">
        <v>99</v>
      </c>
      <c r="C131" s="41">
        <f t="shared" ref="C131:G131" si="118">SUM(C122:C130)</f>
        <v>41</v>
      </c>
      <c r="D131" s="41">
        <f t="shared" si="118"/>
        <v>-337</v>
      </c>
      <c r="E131" s="41">
        <f t="shared" si="118"/>
        <v>1433</v>
      </c>
      <c r="F131" s="41">
        <f t="shared" si="118"/>
        <v>0</v>
      </c>
      <c r="G131" s="41">
        <f t="shared" si="118"/>
        <v>1012</v>
      </c>
      <c r="H131" s="41"/>
      <c r="I131" s="5"/>
      <c r="J131" s="5"/>
      <c r="K131" s="5"/>
      <c r="L131" s="41">
        <f t="shared" ref="L131:O131" si="119">SUM(L122:L130)</f>
        <v>-470</v>
      </c>
      <c r="M131" s="41">
        <f t="shared" si="119"/>
        <v>-3946</v>
      </c>
      <c r="N131" s="41">
        <f t="shared" si="119"/>
        <v>-640</v>
      </c>
      <c r="O131" s="41">
        <f t="shared" si="119"/>
        <v>-18544</v>
      </c>
      <c r="P131" s="41">
        <f t="shared" ref="P131:T131" si="120">SUM(P122:P130)</f>
        <v>-1021</v>
      </c>
      <c r="Q131" s="41">
        <f t="shared" si="120"/>
        <v>-639</v>
      </c>
      <c r="R131" s="41">
        <f t="shared" si="120"/>
        <v>-783</v>
      </c>
      <c r="S131" s="41">
        <f t="shared" si="120"/>
        <v>-1140</v>
      </c>
      <c r="T131" s="41">
        <f t="shared" si="120"/>
        <v>-705</v>
      </c>
      <c r="U131" s="41">
        <f>SUM(U122:U130)</f>
        <v>-296</v>
      </c>
      <c r="V131" s="41">
        <f>SUM(V122:V130)</f>
        <v>1375</v>
      </c>
      <c r="W131" s="41">
        <f>SUM(W122:W130)</f>
        <v>1387</v>
      </c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2:37" x14ac:dyDescent="0.2">
      <c r="B132" s="2" t="s">
        <v>361</v>
      </c>
      <c r="C132" s="5">
        <v>-855</v>
      </c>
      <c r="D132" s="5">
        <f>U132-C132</f>
        <v>-827</v>
      </c>
      <c r="E132" s="5">
        <v>-889</v>
      </c>
      <c r="F132" s="5"/>
      <c r="G132" s="5">
        <v>-879</v>
      </c>
      <c r="H132" s="5"/>
      <c r="I132" s="5"/>
      <c r="J132" s="5"/>
      <c r="K132" s="5"/>
      <c r="L132" s="5">
        <v>-571</v>
      </c>
      <c r="M132" s="5">
        <v>-596</v>
      </c>
      <c r="N132" s="5">
        <v>-641</v>
      </c>
      <c r="O132" s="5">
        <v>-1114</v>
      </c>
      <c r="P132" s="5">
        <v>-1557</v>
      </c>
      <c r="Q132" s="5">
        <v>-1601</v>
      </c>
      <c r="R132" s="5">
        <v>-1737</v>
      </c>
      <c r="S132" s="5">
        <v>-1479</v>
      </c>
      <c r="T132" s="5">
        <v>-1578</v>
      </c>
      <c r="U132" s="5">
        <v>-1682</v>
      </c>
      <c r="V132" s="5">
        <v>-1703</v>
      </c>
      <c r="W132" s="5">
        <v>-1631</v>
      </c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2:37" x14ac:dyDescent="0.2">
      <c r="B133" s="2" t="s">
        <v>100</v>
      </c>
      <c r="C133" s="5">
        <v>-14</v>
      </c>
      <c r="D133" s="5">
        <f>U133-C133</f>
        <v>-16</v>
      </c>
      <c r="E133" s="5">
        <v>-18</v>
      </c>
      <c r="F133" s="5"/>
      <c r="G133" s="5">
        <v>-21</v>
      </c>
      <c r="H133" s="5"/>
      <c r="I133" s="5"/>
      <c r="J133" s="5"/>
      <c r="K133" s="5"/>
      <c r="L133" s="5">
        <v>0</v>
      </c>
      <c r="M133" s="5">
        <v>-1</v>
      </c>
      <c r="N133" s="5">
        <v>0</v>
      </c>
      <c r="O133" s="5">
        <v>0</v>
      </c>
      <c r="P133" s="5">
        <v>-2</v>
      </c>
      <c r="Q133" s="5">
        <v>-32</v>
      </c>
      <c r="R133" s="5">
        <v>-26</v>
      </c>
      <c r="S133" s="5">
        <v>-23</v>
      </c>
      <c r="T133" s="5">
        <v>-25</v>
      </c>
      <c r="U133" s="5">
        <v>-30</v>
      </c>
      <c r="V133" s="5">
        <v>-37</v>
      </c>
      <c r="W133" s="5">
        <v>-40</v>
      </c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2:37" x14ac:dyDescent="0.2">
      <c r="B134" s="2" t="s">
        <v>101</v>
      </c>
      <c r="C134" s="5">
        <v>-80</v>
      </c>
      <c r="D134" s="5">
        <f>U134-C134</f>
        <v>-82</v>
      </c>
      <c r="E134" s="5">
        <v>-83</v>
      </c>
      <c r="F134" s="5"/>
      <c r="G134" s="5">
        <v>-95</v>
      </c>
      <c r="H134" s="5"/>
      <c r="I134" s="5"/>
      <c r="J134" s="5"/>
      <c r="K134" s="5"/>
      <c r="L134" s="5">
        <v>-2</v>
      </c>
      <c r="M134" s="5">
        <v>-2</v>
      </c>
      <c r="N134" s="5">
        <v>0</v>
      </c>
      <c r="O134" s="5">
        <v>0</v>
      </c>
      <c r="P134" s="5">
        <v>-10</v>
      </c>
      <c r="Q134" s="5">
        <v>-154</v>
      </c>
      <c r="R134" s="5">
        <v>-164</v>
      </c>
      <c r="S134" s="5">
        <v>-154</v>
      </c>
      <c r="T134" s="5">
        <v>-161</v>
      </c>
      <c r="U134" s="5">
        <v>-162</v>
      </c>
      <c r="V134" s="5">
        <v>-165</v>
      </c>
      <c r="W134" s="5">
        <v>-177</v>
      </c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2:37" x14ac:dyDescent="0.2">
      <c r="B135" s="2" t="s">
        <v>102</v>
      </c>
      <c r="C135" s="5">
        <v>2054</v>
      </c>
      <c r="D135" s="5">
        <f>U135-C135</f>
        <v>3080</v>
      </c>
      <c r="E135" s="5">
        <v>2370</v>
      </c>
      <c r="F135" s="5"/>
      <c r="G135" s="5">
        <v>3552</v>
      </c>
      <c r="H135" s="5"/>
      <c r="I135" s="5"/>
      <c r="J135" s="5"/>
      <c r="K135" s="5"/>
      <c r="L135" s="5">
        <v>1967</v>
      </c>
      <c r="M135" s="5">
        <v>6931</v>
      </c>
      <c r="N135" s="5">
        <v>3476</v>
      </c>
      <c r="O135" s="5">
        <v>40937</v>
      </c>
      <c r="P135" s="5">
        <v>2111</v>
      </c>
      <c r="Q135" s="5">
        <v>4247</v>
      </c>
      <c r="R135" s="5">
        <v>9826</v>
      </c>
      <c r="S135" s="5">
        <v>978</v>
      </c>
      <c r="T135" s="5">
        <v>3267</v>
      </c>
      <c r="U135" s="5">
        <v>5134</v>
      </c>
      <c r="V135" s="5">
        <v>2404</v>
      </c>
      <c r="W135" s="5">
        <v>3814</v>
      </c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2:37" x14ac:dyDescent="0.2">
      <c r="B136" s="2" t="s">
        <v>103</v>
      </c>
      <c r="C136" s="5">
        <v>-1050</v>
      </c>
      <c r="D136" s="5">
        <f>U136-C136</f>
        <v>-5719</v>
      </c>
      <c r="E136" s="5">
        <v>-1502</v>
      </c>
      <c r="F136" s="5"/>
      <c r="G136" s="5">
        <v>-3047</v>
      </c>
      <c r="H136" s="5"/>
      <c r="I136" s="5"/>
      <c r="J136" s="5"/>
      <c r="K136" s="5"/>
      <c r="L136" s="5">
        <v>-1300</v>
      </c>
      <c r="M136" s="5">
        <v>-2028</v>
      </c>
      <c r="N136" s="5">
        <v>-3840</v>
      </c>
      <c r="O136" s="5">
        <v>-20827</v>
      </c>
      <c r="P136" s="5">
        <v>-5586</v>
      </c>
      <c r="Q136" s="5">
        <v>-5640</v>
      </c>
      <c r="R136" s="5">
        <v>-10633</v>
      </c>
      <c r="S136" s="5">
        <v>-4843</v>
      </c>
      <c r="T136" s="5">
        <v>-3044</v>
      </c>
      <c r="U136" s="5">
        <v>-6769</v>
      </c>
      <c r="V136" s="5">
        <v>-4826</v>
      </c>
      <c r="W136" s="5">
        <v>-3932</v>
      </c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2:37" x14ac:dyDescent="0.2">
      <c r="B137" s="2" t="s">
        <v>104</v>
      </c>
      <c r="C137" s="5">
        <v>-429</v>
      </c>
      <c r="D137" s="5">
        <f>U137-C137</f>
        <v>-51</v>
      </c>
      <c r="E137" s="5">
        <v>-115</v>
      </c>
      <c r="F137" s="5"/>
      <c r="G137" s="5">
        <v>-445</v>
      </c>
      <c r="H137" s="5"/>
      <c r="I137" s="5"/>
      <c r="J137" s="5"/>
      <c r="K137" s="5"/>
      <c r="L137" s="5">
        <v>244</v>
      </c>
      <c r="M137" s="5">
        <v>201</v>
      </c>
      <c r="N137" s="5">
        <v>-26</v>
      </c>
      <c r="O137" s="5">
        <v>-406</v>
      </c>
      <c r="P137" s="5">
        <v>49</v>
      </c>
      <c r="Q137" s="5">
        <v>-564</v>
      </c>
      <c r="R137" s="5">
        <v>-283</v>
      </c>
      <c r="S137" s="5">
        <v>229</v>
      </c>
      <c r="T137" s="5">
        <v>-117</v>
      </c>
      <c r="U137" s="5">
        <v>-480</v>
      </c>
      <c r="V137" s="5">
        <v>-128</v>
      </c>
      <c r="W137" s="5">
        <v>-380</v>
      </c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2:37" x14ac:dyDescent="0.2">
      <c r="B138" s="2" t="s">
        <v>340</v>
      </c>
      <c r="C138" s="5">
        <v>0</v>
      </c>
      <c r="D138" s="5">
        <f>U138-C138</f>
        <v>0</v>
      </c>
      <c r="E138" s="5">
        <v>-366</v>
      </c>
      <c r="F138" s="5"/>
      <c r="G138" s="5">
        <v>-450</v>
      </c>
      <c r="H138" s="5"/>
      <c r="I138" s="5"/>
      <c r="J138" s="5"/>
      <c r="K138" s="5"/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-2012</v>
      </c>
      <c r="U138" s="5">
        <v>0</v>
      </c>
      <c r="V138" s="5">
        <v>-698</v>
      </c>
      <c r="W138" s="5">
        <v>-1112</v>
      </c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2:37" x14ac:dyDescent="0.2">
      <c r="B139" s="2" t="s">
        <v>105</v>
      </c>
      <c r="C139" s="5">
        <v>-110</v>
      </c>
      <c r="D139" s="5">
        <f>U139-C139</f>
        <v>0</v>
      </c>
      <c r="E139" s="5">
        <v>-93</v>
      </c>
      <c r="F139" s="5"/>
      <c r="G139" s="5">
        <v>-61</v>
      </c>
      <c r="H139" s="5"/>
      <c r="I139" s="5"/>
      <c r="J139" s="5"/>
      <c r="K139" s="5"/>
      <c r="L139" s="5">
        <v>-49</v>
      </c>
      <c r="M139" s="5">
        <v>-46</v>
      </c>
      <c r="N139" s="5">
        <v>-64</v>
      </c>
      <c r="O139" s="5">
        <v>-205</v>
      </c>
      <c r="P139" s="5">
        <v>-139</v>
      </c>
      <c r="Q139" s="5">
        <v>-117</v>
      </c>
      <c r="R139" s="5">
        <v>-18</v>
      </c>
      <c r="S139" s="5">
        <v>-82</v>
      </c>
      <c r="T139" s="5">
        <v>-80</v>
      </c>
      <c r="U139" s="5">
        <v>-110</v>
      </c>
      <c r="V139" s="5">
        <v>-94</v>
      </c>
      <c r="W139" s="5">
        <v>-61</v>
      </c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2:37" x14ac:dyDescent="0.2">
      <c r="B140" s="2" t="s">
        <v>116</v>
      </c>
      <c r="C140" s="5">
        <v>0</v>
      </c>
      <c r="D140" s="5">
        <v>0</v>
      </c>
      <c r="E140" s="5">
        <v>0</v>
      </c>
      <c r="F140" s="5"/>
      <c r="G140" s="5">
        <v>0</v>
      </c>
      <c r="H140" s="5"/>
      <c r="I140" s="5"/>
      <c r="J140" s="5"/>
      <c r="K140" s="5"/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1681</v>
      </c>
      <c r="T140" s="5">
        <v>0</v>
      </c>
      <c r="U140" s="5">
        <v>0</v>
      </c>
      <c r="V140" s="5">
        <v>0</v>
      </c>
      <c r="W140" s="102">
        <f>1050-883</f>
        <v>167</v>
      </c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2:37" x14ac:dyDescent="0.2">
      <c r="B141" s="2" t="s">
        <v>106</v>
      </c>
      <c r="C141" s="5">
        <v>0</v>
      </c>
      <c r="D141" s="5">
        <v>0</v>
      </c>
      <c r="E141" s="5">
        <v>0</v>
      </c>
      <c r="F141" s="5"/>
      <c r="G141" s="5">
        <v>0</v>
      </c>
      <c r="H141" s="5"/>
      <c r="I141" s="5"/>
      <c r="J141" s="5"/>
      <c r="K141" s="5"/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-6</v>
      </c>
      <c r="T141" s="5">
        <v>-60</v>
      </c>
      <c r="U141" s="5">
        <v>-59</v>
      </c>
      <c r="V141" s="5">
        <v>-56</v>
      </c>
      <c r="W141" s="5">
        <v>-54</v>
      </c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2:37" x14ac:dyDescent="0.2">
      <c r="B142" s="2" t="s">
        <v>107</v>
      </c>
      <c r="C142" s="5">
        <v>-2479</v>
      </c>
      <c r="D142" s="5">
        <f>U142-C142</f>
        <v>-2576</v>
      </c>
      <c r="E142" s="5">
        <v>-2605</v>
      </c>
      <c r="F142" s="5"/>
      <c r="G142" s="5">
        <v>-2609</v>
      </c>
      <c r="H142" s="5"/>
      <c r="I142" s="5"/>
      <c r="J142" s="5"/>
      <c r="K142" s="5"/>
      <c r="L142" s="5">
        <v>-2712</v>
      </c>
      <c r="M142" s="5">
        <v>-2770</v>
      </c>
      <c r="N142" s="5">
        <v>-2910</v>
      </c>
      <c r="O142" s="5">
        <v>-3465</v>
      </c>
      <c r="P142" s="5">
        <v>-4347</v>
      </c>
      <c r="Q142" s="5">
        <v>-4598</v>
      </c>
      <c r="R142" s="5">
        <v>-4745</v>
      </c>
      <c r="S142" s="5">
        <v>-4904</v>
      </c>
      <c r="T142" s="5">
        <v>-4915</v>
      </c>
      <c r="U142" s="5">
        <v>-5055</v>
      </c>
      <c r="V142" s="5">
        <v>-5213</v>
      </c>
      <c r="W142" s="5">
        <v>-5238</v>
      </c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2:37" x14ac:dyDescent="0.2">
      <c r="B143" s="2" t="s">
        <v>108</v>
      </c>
      <c r="C143" s="5">
        <v>0</v>
      </c>
      <c r="D143" s="5">
        <f>U143-C143</f>
        <v>0</v>
      </c>
      <c r="E143" s="5">
        <v>0</v>
      </c>
      <c r="F143" s="5"/>
      <c r="G143" s="5">
        <v>0</v>
      </c>
      <c r="H143" s="5"/>
      <c r="I143" s="5"/>
      <c r="J143" s="5"/>
      <c r="K143" s="5"/>
      <c r="L143" s="5">
        <v>4</v>
      </c>
      <c r="M143" s="5">
        <v>0</v>
      </c>
      <c r="N143" s="5">
        <v>0</v>
      </c>
      <c r="O143" s="5">
        <v>0</v>
      </c>
      <c r="P143" s="5">
        <v>-11</v>
      </c>
      <c r="Q143" s="5">
        <v>20</v>
      </c>
      <c r="R143" s="5">
        <v>17</v>
      </c>
      <c r="S143" s="5">
        <v>1</v>
      </c>
      <c r="T143" s="5">
        <v>-1</v>
      </c>
      <c r="U143" s="5">
        <v>0</v>
      </c>
      <c r="V143" s="5">
        <v>0</v>
      </c>
      <c r="W143" s="5">
        <v>-19</v>
      </c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2:37" x14ac:dyDescent="0.2">
      <c r="B144" s="2" t="s">
        <v>109</v>
      </c>
      <c r="C144" s="5">
        <v>-59</v>
      </c>
      <c r="D144" s="5">
        <f>U144-C144</f>
        <v>-46</v>
      </c>
      <c r="E144" s="5">
        <v>-62</v>
      </c>
      <c r="F144" s="5"/>
      <c r="G144" s="5">
        <v>-63</v>
      </c>
      <c r="H144" s="5"/>
      <c r="I144" s="5"/>
      <c r="J144" s="5"/>
      <c r="K144" s="5"/>
      <c r="L144" s="5">
        <v>-249</v>
      </c>
      <c r="M144" s="5">
        <v>-235</v>
      </c>
      <c r="N144" s="5">
        <v>-147</v>
      </c>
      <c r="O144" s="5">
        <v>-167</v>
      </c>
      <c r="P144" s="5">
        <v>-142</v>
      </c>
      <c r="Q144" s="5">
        <v>-157</v>
      </c>
      <c r="R144" s="5">
        <v>-136</v>
      </c>
      <c r="S144" s="5">
        <v>-150</v>
      </c>
      <c r="T144" s="5">
        <v>-158</v>
      </c>
      <c r="U144" s="5">
        <v>-105</v>
      </c>
      <c r="V144" s="5">
        <v>-121</v>
      </c>
      <c r="W144" s="5">
        <v>-100</v>
      </c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2:37" x14ac:dyDescent="0.2">
      <c r="B145" s="2" t="s">
        <v>68</v>
      </c>
      <c r="C145" s="5">
        <v>-1</v>
      </c>
      <c r="D145" s="5">
        <f>U145-C145</f>
        <v>5</v>
      </c>
      <c r="E145" s="5">
        <v>5</v>
      </c>
      <c r="F145" s="5"/>
      <c r="G145" s="5">
        <v>1</v>
      </c>
      <c r="H145" s="5"/>
      <c r="I145" s="5"/>
      <c r="J145" s="5"/>
      <c r="K145" s="5"/>
      <c r="L145" s="5">
        <f>-4+4-800+1</f>
        <v>-799</v>
      </c>
      <c r="M145" s="5">
        <f>-1677+4</f>
        <v>-1673</v>
      </c>
      <c r="N145" s="5">
        <f>-7-70</f>
        <v>-77</v>
      </c>
      <c r="O145" s="5">
        <v>6</v>
      </c>
      <c r="P145" s="5">
        <v>4</v>
      </c>
      <c r="Q145" s="5">
        <v>3</v>
      </c>
      <c r="R145" s="5">
        <v>2</v>
      </c>
      <c r="S145" s="5">
        <v>3</v>
      </c>
      <c r="T145" s="5">
        <v>6</v>
      </c>
      <c r="U145" s="5">
        <v>4</v>
      </c>
      <c r="V145" s="5">
        <v>5</v>
      </c>
      <c r="W145" s="5">
        <v>1</v>
      </c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2:37" x14ac:dyDescent="0.2">
      <c r="B146" s="1" t="s">
        <v>110</v>
      </c>
      <c r="C146" s="41">
        <f t="shared" ref="C146:G146" si="121">SUM(C132:C145)</f>
        <v>-3023</v>
      </c>
      <c r="D146" s="41">
        <f t="shared" si="121"/>
        <v>-6232</v>
      </c>
      <c r="E146" s="41">
        <f t="shared" si="121"/>
        <v>-3358</v>
      </c>
      <c r="F146" s="41">
        <f t="shared" si="121"/>
        <v>0</v>
      </c>
      <c r="G146" s="41">
        <f t="shared" si="121"/>
        <v>-4117</v>
      </c>
      <c r="H146" s="41"/>
      <c r="I146" s="5"/>
      <c r="J146" s="5"/>
      <c r="K146" s="5"/>
      <c r="L146" s="41">
        <f t="shared" ref="L146:O146" si="122">SUM(L132:L145)</f>
        <v>-3467</v>
      </c>
      <c r="M146" s="41">
        <f t="shared" si="122"/>
        <v>-219</v>
      </c>
      <c r="N146" s="41">
        <f t="shared" si="122"/>
        <v>-4229</v>
      </c>
      <c r="O146" s="41">
        <f t="shared" si="122"/>
        <v>14759</v>
      </c>
      <c r="P146" s="41">
        <f t="shared" ref="P146:T146" si="123">SUM(P132:P145)</f>
        <v>-9630</v>
      </c>
      <c r="Q146" s="41">
        <f t="shared" si="123"/>
        <v>-8593</v>
      </c>
      <c r="R146" s="41">
        <f>SUM(R132:R145)</f>
        <v>-7897</v>
      </c>
      <c r="S146" s="41">
        <f t="shared" si="123"/>
        <v>-8749</v>
      </c>
      <c r="T146" s="41">
        <f t="shared" si="123"/>
        <v>-8878</v>
      </c>
      <c r="U146" s="41">
        <f>SUM(U132:U145)</f>
        <v>-9314</v>
      </c>
      <c r="V146" s="41">
        <f>SUM(V132:V145)</f>
        <v>-10632</v>
      </c>
      <c r="W146" s="41">
        <f>SUM(W132:W145)</f>
        <v>-8762</v>
      </c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2:37" x14ac:dyDescent="0.2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2:37" x14ac:dyDescent="0.2">
      <c r="B148" s="2" t="s">
        <v>111</v>
      </c>
      <c r="C148" s="5">
        <v>4</v>
      </c>
      <c r="D148" s="5">
        <f>U148-C148</f>
        <v>364</v>
      </c>
      <c r="E148" s="5">
        <v>0</v>
      </c>
      <c r="F148" s="5"/>
      <c r="G148" s="5">
        <v>0</v>
      </c>
      <c r="H148" s="5"/>
      <c r="I148" s="5"/>
      <c r="J148" s="5"/>
      <c r="K148" s="5"/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-368</v>
      </c>
      <c r="U148" s="5">
        <v>368</v>
      </c>
      <c r="V148" s="5">
        <v>0</v>
      </c>
      <c r="W148" s="5">
        <v>-208</v>
      </c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2:37" x14ac:dyDescent="0.2">
      <c r="B149" s="2" t="s">
        <v>112</v>
      </c>
      <c r="C149" s="5">
        <v>-171</v>
      </c>
      <c r="D149" s="5">
        <f>U149-C149</f>
        <v>-121</v>
      </c>
      <c r="E149" s="5">
        <v>-63</v>
      </c>
      <c r="F149" s="5"/>
      <c r="G149" s="5">
        <v>-144</v>
      </c>
      <c r="H149" s="5"/>
      <c r="I149" s="5"/>
      <c r="J149" s="5"/>
      <c r="K149" s="5"/>
      <c r="L149" s="5">
        <v>-63</v>
      </c>
      <c r="M149" s="5">
        <v>-272</v>
      </c>
      <c r="N149" s="5">
        <v>180</v>
      </c>
      <c r="O149" s="5">
        <v>-391</v>
      </c>
      <c r="P149" s="5">
        <v>-138</v>
      </c>
      <c r="Q149" s="5">
        <v>-57</v>
      </c>
      <c r="R149" s="5">
        <v>-253</v>
      </c>
      <c r="S149" s="5">
        <v>-253</v>
      </c>
      <c r="T149" s="5">
        <v>431</v>
      </c>
      <c r="U149" s="5">
        <v>-292</v>
      </c>
      <c r="V149" s="5">
        <v>-281</v>
      </c>
      <c r="W149" s="5">
        <v>-76</v>
      </c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2:37" x14ac:dyDescent="0.2">
      <c r="B150" s="1" t="s">
        <v>113</v>
      </c>
      <c r="C150" s="41">
        <f t="shared" ref="C150:G150" si="124">SUM(C148:C149,C146,C131,C121)</f>
        <v>226</v>
      </c>
      <c r="D150" s="41">
        <f t="shared" si="124"/>
        <v>1013</v>
      </c>
      <c r="E150" s="41">
        <f t="shared" si="124"/>
        <v>1177</v>
      </c>
      <c r="F150" s="41">
        <f t="shared" si="124"/>
        <v>-1522</v>
      </c>
      <c r="G150" s="41">
        <f t="shared" si="124"/>
        <v>-940</v>
      </c>
      <c r="H150" s="41"/>
      <c r="I150" s="5"/>
      <c r="J150" s="5"/>
      <c r="K150" s="5"/>
      <c r="L150" s="41">
        <f t="shared" ref="L150:T150" si="125">SUM(L148:L149,L146,L131,L121)</f>
        <v>-284</v>
      </c>
      <c r="M150" s="41">
        <f t="shared" si="125"/>
        <v>283</v>
      </c>
      <c r="N150" s="41">
        <f t="shared" si="125"/>
        <v>-79</v>
      </c>
      <c r="O150" s="41">
        <f t="shared" si="125"/>
        <v>1171</v>
      </c>
      <c r="P150" s="41">
        <f t="shared" si="125"/>
        <v>-494</v>
      </c>
      <c r="Q150" s="41">
        <f t="shared" si="125"/>
        <v>-293</v>
      </c>
      <c r="R150" s="41">
        <f t="shared" si="125"/>
        <v>853</v>
      </c>
      <c r="S150" s="41">
        <f t="shared" si="125"/>
        <v>-425</v>
      </c>
      <c r="T150" s="41">
        <f t="shared" si="125"/>
        <v>874</v>
      </c>
      <c r="U150" s="41">
        <f>U149+U148+U146+U131+U121</f>
        <v>1180</v>
      </c>
      <c r="V150" s="41">
        <f>V149+V148+V146+V131+V121</f>
        <v>587</v>
      </c>
      <c r="W150" s="41">
        <f>W149+W148+W146+W131+W121</f>
        <v>-1317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2:37" x14ac:dyDescent="0.2">
      <c r="B151" s="2" t="s">
        <v>316</v>
      </c>
      <c r="C151" s="5">
        <v>3337</v>
      </c>
      <c r="D151" s="5">
        <f>C152</f>
        <v>3563</v>
      </c>
      <c r="E151" s="5">
        <v>4517</v>
      </c>
      <c r="F151" s="5"/>
      <c r="G151" s="5">
        <v>5104</v>
      </c>
      <c r="H151" s="5"/>
      <c r="I151" s="5"/>
      <c r="J151" s="5"/>
      <c r="K151" s="5"/>
      <c r="L151" s="5">
        <f t="shared" ref="L151:T151" si="126">L152-L150</f>
        <v>1652</v>
      </c>
      <c r="M151" s="5">
        <f t="shared" si="126"/>
        <v>1368</v>
      </c>
      <c r="N151" s="5">
        <f t="shared" si="126"/>
        <v>1730</v>
      </c>
      <c r="O151" s="5">
        <f t="shared" si="126"/>
        <v>1651</v>
      </c>
      <c r="P151" s="5">
        <f t="shared" si="126"/>
        <v>2822</v>
      </c>
      <c r="Q151" s="5">
        <f t="shared" si="126"/>
        <v>2328</v>
      </c>
      <c r="R151" s="5">
        <f t="shared" si="126"/>
        <v>2035</v>
      </c>
      <c r="S151" s="5">
        <f t="shared" si="126"/>
        <v>2888</v>
      </c>
      <c r="T151" s="5">
        <f t="shared" si="126"/>
        <v>2463</v>
      </c>
      <c r="U151" s="5">
        <v>3337</v>
      </c>
      <c r="V151" s="5">
        <f>+U152</f>
        <v>4517</v>
      </c>
      <c r="W151" s="5">
        <v>5104</v>
      </c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2:37" x14ac:dyDescent="0.2">
      <c r="B152" s="2" t="s">
        <v>315</v>
      </c>
      <c r="C152" s="5">
        <f>C151+C150</f>
        <v>3563</v>
      </c>
      <c r="D152" s="5">
        <f>D151+D150</f>
        <v>4576</v>
      </c>
      <c r="E152" s="5">
        <f>E151+E150</f>
        <v>5694</v>
      </c>
      <c r="F152" s="5"/>
      <c r="G152" s="5">
        <v>4164</v>
      </c>
      <c r="H152" s="5"/>
      <c r="I152" s="5"/>
      <c r="J152" s="5"/>
      <c r="K152" s="5"/>
      <c r="L152" s="5">
        <f>M151</f>
        <v>1368</v>
      </c>
      <c r="M152" s="5">
        <f>N152</f>
        <v>1651</v>
      </c>
      <c r="N152" s="5">
        <f t="shared" ref="N152:T152" si="127">O151</f>
        <v>1651</v>
      </c>
      <c r="O152" s="5">
        <f t="shared" si="127"/>
        <v>2822</v>
      </c>
      <c r="P152" s="5">
        <f t="shared" si="127"/>
        <v>2328</v>
      </c>
      <c r="Q152" s="5">
        <f t="shared" si="127"/>
        <v>2035</v>
      </c>
      <c r="R152" s="5">
        <f t="shared" si="127"/>
        <v>2888</v>
      </c>
      <c r="S152" s="5">
        <f t="shared" si="127"/>
        <v>2463</v>
      </c>
      <c r="T152" s="5">
        <f t="shared" si="127"/>
        <v>3337</v>
      </c>
      <c r="U152" s="5">
        <f>U151+U150</f>
        <v>4517</v>
      </c>
      <c r="V152" s="5">
        <f>+V150+V151</f>
        <v>5104</v>
      </c>
      <c r="W152" s="102">
        <f>+W150+W151</f>
        <v>3787</v>
      </c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2:37" x14ac:dyDescent="0.2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2:37" x14ac:dyDescent="0.2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2:37" x14ac:dyDescent="0.2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2:37" x14ac:dyDescent="0.2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2:37" x14ac:dyDescent="0.2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2:37" x14ac:dyDescent="0.2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2:37" x14ac:dyDescent="0.2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2:37" x14ac:dyDescent="0.2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3:37" x14ac:dyDescent="0.2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3:37" x14ac:dyDescent="0.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3:37" x14ac:dyDescent="0.2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3:37" x14ac:dyDescent="0.2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3:37" x14ac:dyDescent="0.2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3:37" x14ac:dyDescent="0.2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3:37" x14ac:dyDescent="0.2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3:37" x14ac:dyDescent="0.2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3:37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3:37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3:37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3:37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3:37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3:37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3:37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3:37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3:22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3:22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3:22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3:22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3:22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3:22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3:22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3:22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3:22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3:22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3:22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3:22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3:22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3:22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3:22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3:22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3:22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3:22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3:22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3:22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3:22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3:22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3:22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3:22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3:22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3:22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3:22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3:22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3:22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3:22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3:22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3:22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3:22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</sheetData>
  <hyperlinks>
    <hyperlink ref="A1" location="Main!A1" display="Main" xr:uid="{4004B7D1-614E-47C8-802F-0406EFF003F6}"/>
  </hyperlink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6E77-6722-46DE-ABF8-0329A58FAD75}">
  <dimension ref="A1:Q46"/>
  <sheetViews>
    <sheetView zoomScale="200" zoomScaleNormal="200" workbookViewId="0">
      <pane xSplit="2" ySplit="2" topLeftCell="K4" activePane="bottomRight" state="frozen"/>
      <selection pane="topRight" activeCell="C1" sqref="C1"/>
      <selection pane="bottomLeft" activeCell="A3" sqref="A3"/>
      <selection pane="bottomRight" activeCell="B33" sqref="B33"/>
    </sheetView>
  </sheetViews>
  <sheetFormatPr defaultRowHeight="12.75" x14ac:dyDescent="0.2"/>
  <cols>
    <col min="1" max="1" width="5.140625" style="2" customWidth="1"/>
    <col min="2" max="2" width="32.42578125" style="2" bestFit="1" customWidth="1"/>
    <col min="3" max="16384" width="9.140625" style="2"/>
  </cols>
  <sheetData>
    <row r="1" spans="1:17" x14ac:dyDescent="0.2">
      <c r="A1" s="7" t="s">
        <v>6</v>
      </c>
    </row>
    <row r="2" spans="1:17" x14ac:dyDescent="0.2">
      <c r="B2" s="9" t="s">
        <v>120</v>
      </c>
      <c r="C2" s="47"/>
      <c r="D2" s="47" t="s">
        <v>339</v>
      </c>
      <c r="E2" s="47" t="s">
        <v>338</v>
      </c>
      <c r="F2" s="47" t="s">
        <v>337</v>
      </c>
      <c r="G2" s="47" t="s">
        <v>336</v>
      </c>
      <c r="H2" s="47">
        <v>18</v>
      </c>
      <c r="I2" s="47">
        <f>H2+1</f>
        <v>19</v>
      </c>
      <c r="J2" s="47">
        <f t="shared" ref="J2:M2" si="0">I2+1</f>
        <v>20</v>
      </c>
      <c r="K2" s="47">
        <f t="shared" si="0"/>
        <v>21</v>
      </c>
      <c r="L2" s="47">
        <f t="shared" si="0"/>
        <v>22</v>
      </c>
      <c r="M2" s="47">
        <f t="shared" si="0"/>
        <v>23</v>
      </c>
      <c r="N2" s="47">
        <f>M2+1</f>
        <v>24</v>
      </c>
      <c r="P2" s="2" t="s">
        <v>121</v>
      </c>
      <c r="Q2" s="2" t="s">
        <v>122</v>
      </c>
    </row>
    <row r="3" spans="1:17" x14ac:dyDescent="0.2">
      <c r="A3" s="34" t="s">
        <v>7</v>
      </c>
      <c r="B3" s="9" t="s">
        <v>341</v>
      </c>
    </row>
    <row r="4" spans="1:17" x14ac:dyDescent="0.2">
      <c r="B4" s="2" t="s">
        <v>123</v>
      </c>
      <c r="C4" s="44"/>
      <c r="D4" s="44" t="e">
        <f>Model!L43/AVERAGE(Model!L91,Model!#REF!)</f>
        <v>#REF!</v>
      </c>
      <c r="E4" s="44">
        <f>Model!M43/AVERAGE(Model!M91,Model!L91)</f>
        <v>0.83385579937304077</v>
      </c>
      <c r="F4" s="44">
        <f>Model!N43/AVERAGE(Model!N91,Model!M91)</f>
        <v>0.72019645780622121</v>
      </c>
      <c r="G4" s="44">
        <f>Model!O43/AVERAGE(Model!O91,Model!N91)</f>
        <v>0.61867726696624037</v>
      </c>
      <c r="H4" s="44">
        <f>Model!P43/AVERAGE(Model!P91,Model!O91)</f>
        <v>9.8016004545669777E-2</v>
      </c>
      <c r="I4" s="44">
        <f>Model!Q43/AVERAGE(Model!Q91,Model!P91)</f>
        <v>9.0089951327706239E-2</v>
      </c>
      <c r="J4" s="44">
        <f>Model!R43/AVERAGE(Model!R91,Model!Q91)</f>
        <v>0.10327656059473705</v>
      </c>
      <c r="K4" s="44">
        <f>Model!S43/AVERAGE(Model!S91,Model!R91)</f>
        <v>0.10699929424038786</v>
      </c>
      <c r="L4" s="44">
        <f>Model!T43/AVERAGE(Model!T91,Model!S91)</f>
        <v>9.5673987324524326E-2</v>
      </c>
      <c r="M4" s="44">
        <f>Model!U43/AVERAGE(Model!U91,Model!T91)</f>
        <v>-0.22059326513479058</v>
      </c>
      <c r="N4" s="44">
        <f>Model!V43/AVERAGE(Model!V91,Model!U91)</f>
        <v>6.1809596906605521E-2</v>
      </c>
      <c r="P4" s="44" t="e">
        <f>AVERAGE(C4:L4)</f>
        <v>#REF!</v>
      </c>
      <c r="Q4" s="44" t="e">
        <f>MEDIAN(C4:L4)</f>
        <v>#REF!</v>
      </c>
    </row>
    <row r="5" spans="1:17" x14ac:dyDescent="0.2">
      <c r="B5" s="2" t="s">
        <v>124</v>
      </c>
      <c r="C5" s="44"/>
      <c r="D5" s="44" t="e">
        <f>Model!L38/AVERAGE(Model!L74+Model!L75+Model!L76+Model!L77-Model!L102-Model!L96,Model!#REF!+Model!#REF!+Model!#REF!+Model!#REF!-Model!#REF!-Model!#REF!)</f>
        <v>#REF!</v>
      </c>
      <c r="E5" s="44">
        <f>Model!M38/AVERAGE(Model!M74+Model!M75+Model!M76+Model!M77-Model!M102-Model!M96,Model!L74+Model!L75+Model!L76+Model!L77-Model!L96-Model!L102)</f>
        <v>0.22413496298846616</v>
      </c>
      <c r="F5" s="44">
        <f>Model!N38/AVERAGE(Model!N74+Model!N75+Model!N76+Model!N77-Model!N102-Model!N96,Model!M74+Model!M75+Model!M76+Model!M77-Model!M96-Model!M102)</f>
        <v>0.18216682646212848</v>
      </c>
      <c r="G5" s="44">
        <f>Model!O38/AVERAGE(Model!O74+Model!O75+Model!O76+Model!O77-Model!O102-Model!O96,Model!N74+Model!N75+Model!N76+Model!N77-Model!N96-Model!N102)</f>
        <v>8.2850910579610942E-2</v>
      </c>
      <c r="H5" s="44">
        <f>Model!P38/AVERAGE(Model!P74+Model!P75+Model!P76+Model!P77-Model!P102-Model!P96,Model!O74+Model!O75+Model!O76+Model!O77-Model!O96-Model!O102)</f>
        <v>7.1849588791680172E-2</v>
      </c>
      <c r="I5" s="44">
        <f>Model!Q38/AVERAGE(Model!Q74+Model!Q75+Model!Q76+Model!Q77-Model!Q102-Model!Q96,Model!P74+Model!P75+Model!P76+Model!P77-Model!P96-Model!P102)</f>
        <v>6.9629417965718171E-2</v>
      </c>
      <c r="J5" s="44">
        <f>Model!R38/AVERAGE(Model!R74+Model!R75+Model!R76+Model!R77-Model!R102-Model!R96,Model!Q74+Model!Q75+Model!Q76+Model!Q77-Model!Q96-Model!Q102)</f>
        <v>7.9569325633591328E-2</v>
      </c>
      <c r="K5" s="44">
        <f>Model!S38/AVERAGE(Model!S74+Model!S75+Model!S76+Model!S77-Model!S102-Model!S96,Model!R74+Model!R75+Model!R76+Model!R77-Model!R96-Model!R102)</f>
        <v>8.304627431886881E-2</v>
      </c>
      <c r="L5" s="44">
        <f>Model!T38/AVERAGE(Model!T74+Model!T75+Model!T76+Model!T77-Model!T102-Model!T96,Model!S74+Model!S75+Model!S76+Model!S77-Model!S96-Model!S102)</f>
        <v>8.0860006838867821E-2</v>
      </c>
      <c r="M5" s="44">
        <f>Model!U38/AVERAGE(Model!U74+Model!U75+Model!U76+Model!U77-Model!U102-Model!U96,Model!T74+Model!T75+Model!T76+Model!T77-Model!T96-Model!T102)</f>
        <v>-0.13147801117700825</v>
      </c>
      <c r="N5" s="44">
        <f>Model!V38/AVERAGE(Model!V74+Model!V75+Model!V76+Model!V77-Model!V102-Model!V96,Model!U74+Model!U75+Model!U76+Model!U77-Model!U96-Model!U102)</f>
        <v>2.6650432241568246E-2</v>
      </c>
      <c r="P5" s="44" t="e">
        <f t="shared" ref="P5:P10" si="1">AVERAGE(C5:L5)</f>
        <v>#REF!</v>
      </c>
      <c r="Q5" s="44" t="e">
        <f t="shared" ref="Q5:Q10" si="2">MEDIAN(C5:L5)</f>
        <v>#REF!</v>
      </c>
    </row>
    <row r="6" spans="1:17" x14ac:dyDescent="0.2">
      <c r="B6" s="2" t="s">
        <v>125</v>
      </c>
      <c r="C6" s="44"/>
      <c r="D6" s="44" t="e">
        <f>(Model!L38*(1-Model!L64))/AVERAGE(Model!L91+Model!L92+Model!L99+Model!L103+Model!L97-Model!L80,Model!#REF!+Model!#REF!+Model!#REF!+Model!#REF!+Model!#REF!-Model!#REF!)</f>
        <v>#REF!</v>
      </c>
      <c r="E6" s="44">
        <f>(Model!M38*(1-Model!M64))/AVERAGE(Model!M91+Model!M92+Model!M99+Model!M103+Model!M97-Model!M80,Model!L91+Model!L92+Model!L97+Model!L99+Model!L103-Model!L80)</f>
        <v>0.19081127241673781</v>
      </c>
      <c r="F6" s="44">
        <f>(Model!N38*(1-Model!N64))/AVERAGE(Model!N91+Model!N92+Model!N99+Model!N103+Model!N97-Model!N80,Model!M91+Model!M92+Model!M97+Model!M99+Model!M103-Model!M80)</f>
        <v>0.15430239468782417</v>
      </c>
      <c r="G6" s="44">
        <f>(Model!O38*(1-Model!O64))/AVERAGE(Model!O91+Model!O92+Model!O99+Model!O103+Model!O97-Model!O80,Model!N91+Model!N92+Model!N97+Model!N99+Model!N103-Model!N80)</f>
        <v>7.0269498658253798E-2</v>
      </c>
      <c r="H6" s="44">
        <f>(Model!P38*(1-Model!P64))/AVERAGE(Model!P91+Model!P92+Model!P99+Model!P103+Model!P97-Model!P80,Model!O91+Model!O92+Model!O97+Model!O99+Model!O103-Model!O80)</f>
        <v>6.3381373948219105E-2</v>
      </c>
      <c r="I6" s="44">
        <f>(Model!Q38*(1-Model!Q64))/AVERAGE(Model!Q91+Model!Q92+Model!Q99+Model!Q103+Model!Q97-Model!Q80,Model!P91+Model!P92+Model!P97+Model!P99+Model!P103-Model!P80)</f>
        <v>6.0986092304235275E-2</v>
      </c>
      <c r="J6" s="44">
        <f>(Model!R38*(1-Model!R64))/AVERAGE(Model!R91+Model!R92+Model!R99+Model!R103+Model!R97-Model!R80,Model!Q91+Model!Q92+Model!Q97+Model!Q99+Model!Q103-Model!Q80)</f>
        <v>7.1280329315007898E-2</v>
      </c>
      <c r="K6" s="44">
        <f>(Model!S38*(1-Model!S64))/AVERAGE(Model!S91+Model!S92+Model!S99+Model!S103+Model!S97-Model!S80,Model!R91+Model!R92+Model!R97+Model!R99+Model!R103-Model!R80)</f>
        <v>7.4656202055359569E-2</v>
      </c>
      <c r="L6" s="44">
        <f>(Model!T38*(1-Model!T64))/AVERAGE(Model!T91+Model!T92+Model!T99+Model!T103+Model!T97-Model!T80,Model!S91+Model!S92+Model!S97+Model!S99+Model!S103-Model!S80)</f>
        <v>6.9954610738509046E-2</v>
      </c>
      <c r="M6" s="44">
        <f>(Model!U38*(1-Model!U64))/AVERAGE(Model!U91+Model!U92+Model!U99+Model!U103+Model!U97-Model!U80,Model!T91+Model!T92+Model!T97+Model!T99+Model!T103-Model!T80)</f>
        <v>-0.1279675053980972</v>
      </c>
      <c r="N6" s="44">
        <f>(Model!V38*(1-Model!V64))/AVERAGE(Model!V91+Model!V92+Model!V99+Model!V103+Model!V97-Model!V80,Model!U91+Model!U92+Model!U97+Model!U99+Model!U103-Model!U80)</f>
        <v>2.886016919578006E-2</v>
      </c>
      <c r="P6" s="44" t="e">
        <f t="shared" si="1"/>
        <v>#REF!</v>
      </c>
      <c r="Q6" s="44" t="e">
        <f t="shared" si="2"/>
        <v>#REF!</v>
      </c>
    </row>
    <row r="7" spans="1:17" x14ac:dyDescent="0.2">
      <c r="B7" s="2" t="s">
        <v>126</v>
      </c>
      <c r="C7" s="44"/>
      <c r="D7" s="44">
        <f>1-(-1*((Model!L142+Model!L144))/Model!L43)</f>
        <v>0.12732095490716178</v>
      </c>
      <c r="E7" s="44">
        <f>1-(-1*((Model!M142+Model!M144))/Model!M43)</f>
        <v>0.33547103051747018</v>
      </c>
      <c r="F7" s="44">
        <f>1-(-1*((Model!N142+Model!N144))/Model!N43)</f>
        <v>0.36825790452572849</v>
      </c>
      <c r="G7" s="44">
        <f>1-(-1*((Model!O142+Model!O144))/Model!O43)</f>
        <v>0.83089673153924948</v>
      </c>
      <c r="H7" s="44">
        <f>1-(-1*((Model!P142+Model!P144))/Model!P43)</f>
        <v>0.27713365539452495</v>
      </c>
      <c r="I7" s="44">
        <f>1-(-1*((Model!Q142+Model!Q144))/Model!Q43)</f>
        <v>0.18704051974696534</v>
      </c>
      <c r="J7" s="44">
        <f>1-(-1*((Model!R142+Model!R144))/Model!R43)</f>
        <v>0.25639853747714803</v>
      </c>
      <c r="K7" s="44">
        <f>1-(-1*((Model!S142+Model!S144))/Model!S43)</f>
        <v>0.27530828792658446</v>
      </c>
      <c r="L7" s="44">
        <f>1-(-1*((Model!T142+Model!T144))/Model!T43)</f>
        <v>0.25898334794040312</v>
      </c>
      <c r="M7" s="44">
        <f>1-(-1*((Model!U142+Model!U144))/Model!U43)</f>
        <v>1.3636619916836987</v>
      </c>
      <c r="N7" s="44">
        <f>1-(-1*((Model!V142+Model!V144))/Model!V43)</f>
        <v>-0.67683118516189866</v>
      </c>
      <c r="P7" s="44">
        <f t="shared" si="1"/>
        <v>0.32409010777502623</v>
      </c>
      <c r="Q7" s="44">
        <f t="shared" si="2"/>
        <v>0.27530828792658446</v>
      </c>
    </row>
    <row r="8" spans="1:17" x14ac:dyDescent="0.2">
      <c r="B8" s="2" t="s">
        <v>127</v>
      </c>
      <c r="C8" s="18"/>
      <c r="D8" s="18" t="e">
        <f t="shared" ref="D8:H8" si="3">D7*D4</f>
        <v>#REF!</v>
      </c>
      <c r="E8" s="18">
        <f t="shared" si="3"/>
        <v>0.27973446431864285</v>
      </c>
      <c r="F8" s="18">
        <f t="shared" si="3"/>
        <v>0.26521803839857128</v>
      </c>
      <c r="G8" s="18">
        <f t="shared" si="3"/>
        <v>0.51405691899988482</v>
      </c>
      <c r="H8" s="18">
        <f t="shared" si="3"/>
        <v>2.7163533626907838E-2</v>
      </c>
      <c r="I8" s="18">
        <f t="shared" ref="I8:L8" si="4">I7*I4</f>
        <v>1.6850471320312983E-2</v>
      </c>
      <c r="J8" s="18">
        <f t="shared" si="4"/>
        <v>2.6479959092160638E-2</v>
      </c>
      <c r="K8" s="18">
        <f t="shared" si="4"/>
        <v>2.9457792506674029E-2</v>
      </c>
      <c r="L8" s="18">
        <f t="shared" si="4"/>
        <v>2.4777969548113E-2</v>
      </c>
      <c r="M8" s="18">
        <f>M7*M4</f>
        <v>-0.30081465128571871</v>
      </c>
      <c r="N8" s="18">
        <f>N7*N4</f>
        <v>-4.1834662728677037E-2</v>
      </c>
      <c r="P8" s="44" t="e">
        <f t="shared" si="1"/>
        <v>#REF!</v>
      </c>
      <c r="Q8" s="44" t="e">
        <f t="shared" si="2"/>
        <v>#REF!</v>
      </c>
    </row>
    <row r="9" spans="1:17" x14ac:dyDescent="0.2">
      <c r="B9" s="2" t="s">
        <v>128</v>
      </c>
      <c r="C9" s="44"/>
      <c r="D9" s="44">
        <f>(-1*(Model!L117-Model!L123))/(Model!L38*(1-Model!L64))</f>
        <v>-1.4143660850883571E-2</v>
      </c>
      <c r="E9" s="44">
        <f>(-1*(Model!M117-Model!M123))/(Model!M38*(1-Model!M64))</f>
        <v>-0.2577060414270001</v>
      </c>
      <c r="F9" s="44">
        <f>(-1*(Model!N117-Model!N123))/(Model!N38*(1-Model!N64))</f>
        <v>-6.0161252480239659E-2</v>
      </c>
      <c r="G9" s="44">
        <f>(-1*(Model!O117-Model!O123))/(Model!O38*(1-Model!O64))</f>
        <v>0.11786062196397755</v>
      </c>
      <c r="H9" s="44">
        <f>(-1*(Model!P117-Model!P123))/(Model!P38*(1-Model!P64))</f>
        <v>-0.33904346131574087</v>
      </c>
      <c r="I9" s="44">
        <f>(-1*(Model!Q117-Model!Q123))/(Model!Q38*(1-Model!Q64))</f>
        <v>-0.14673361223443043</v>
      </c>
      <c r="J9" s="44">
        <f>(-1*(Model!R117-Model!R123))/(Model!R38*(1-Model!R64))</f>
        <v>-8.222347908034687E-2</v>
      </c>
      <c r="K9" s="44">
        <f>(-1*(Model!S117-Model!S123))/(Model!S38*(1-Model!S64))</f>
        <v>-5.9698481402685057E-2</v>
      </c>
      <c r="L9" s="44">
        <f>(-1*(Model!T117-Model!T123))/(Model!T38*(1-Model!T64))</f>
        <v>-8.1021472684140894E-2</v>
      </c>
      <c r="M9" s="44">
        <f>(-1*(Model!U117-Model!U123))/(Model!U38*(1-Model!U64))</f>
        <v>-6.870479881065782E-4</v>
      </c>
      <c r="N9" s="44">
        <f>(-1*(Model!V117-Model!V123))/(Model!V38*(1-Model!V64))</f>
        <v>-2.5456056703636909</v>
      </c>
      <c r="P9" s="44">
        <f t="shared" si="1"/>
        <v>-0.10254120439016555</v>
      </c>
      <c r="Q9" s="44">
        <f t="shared" si="2"/>
        <v>-8.1021472684140894E-2</v>
      </c>
    </row>
    <row r="10" spans="1:17" x14ac:dyDescent="0.2">
      <c r="B10" s="2" t="s">
        <v>127</v>
      </c>
      <c r="C10" s="18"/>
      <c r="D10" s="18" t="e">
        <f t="shared" ref="D10:H10" si="5">D9*D6</f>
        <v>#REF!</v>
      </c>
      <c r="E10" s="18">
        <f t="shared" si="5"/>
        <v>-4.9173217674166436E-2</v>
      </c>
      <c r="F10" s="18">
        <f t="shared" si="5"/>
        <v>-9.2830253251197804E-3</v>
      </c>
      <c r="G10" s="18">
        <f t="shared" si="5"/>
        <v>8.2820068169586793E-3</v>
      </c>
      <c r="H10" s="18">
        <f t="shared" si="5"/>
        <v>-2.148904040635153E-2</v>
      </c>
      <c r="I10" s="18">
        <f t="shared" ref="I10:L10" si="6">I9*I6</f>
        <v>-8.9487096198628407E-3</v>
      </c>
      <c r="J10" s="18">
        <f t="shared" si="6"/>
        <v>-5.8609166662727877E-3</v>
      </c>
      <c r="K10" s="18">
        <f t="shared" si="6"/>
        <v>-4.456861889996981E-3</v>
      </c>
      <c r="L10" s="18">
        <f t="shared" si="6"/>
        <v>-5.6678255830798201E-3</v>
      </c>
      <c r="M10" s="18">
        <f>M9*M6</f>
        <v>8.7919817126780366E-5</v>
      </c>
      <c r="N10" s="18">
        <f>N9*N6</f>
        <v>-7.3466610352433237E-2</v>
      </c>
      <c r="P10" s="44" t="e">
        <f t="shared" si="1"/>
        <v>#REF!</v>
      </c>
      <c r="Q10" s="44" t="e">
        <f t="shared" si="2"/>
        <v>#REF!</v>
      </c>
    </row>
    <row r="13" spans="1:17" x14ac:dyDescent="0.2">
      <c r="A13" s="34" t="s">
        <v>7</v>
      </c>
      <c r="B13" s="9" t="s">
        <v>342</v>
      </c>
    </row>
    <row r="14" spans="1:17" x14ac:dyDescent="0.2">
      <c r="B14" s="2" t="s">
        <v>129</v>
      </c>
      <c r="C14" s="44"/>
      <c r="D14" s="44">
        <f>Model!L91/Model!L106</f>
        <v>0.2221882523789506</v>
      </c>
      <c r="E14" s="44">
        <f>Model!M91/Model!M106</f>
        <v>0.15966999841345392</v>
      </c>
      <c r="F14" s="44">
        <f>Model!N91/Model!N106</f>
        <v>0.21134940788977447</v>
      </c>
      <c r="G14" s="44">
        <f>Model!O91/Model!O106</f>
        <v>0.43269189863724672</v>
      </c>
      <c r="H14" s="44">
        <f>Model!P91/Model!P106</f>
        <v>0.44886635415670145</v>
      </c>
      <c r="I14" s="44">
        <f>Model!Q91/Model!Q106</f>
        <v>0.45501932555583136</v>
      </c>
      <c r="J14" s="44">
        <f>Model!R91/Model!R106</f>
        <v>0.45722274674994551</v>
      </c>
      <c r="K14" s="44">
        <f>Model!S91/Model!S106</f>
        <v>0.49067084046154408</v>
      </c>
      <c r="L14" s="44">
        <f>Model!T91/Model!T106</f>
        <v>0.49307699321376003</v>
      </c>
      <c r="M14" s="44">
        <f>Model!U91/Model!U106</f>
        <v>0.44588766467872909</v>
      </c>
      <c r="N14" s="44">
        <f>Model!V91/Model!V106</f>
        <v>0.42048293089092426</v>
      </c>
      <c r="P14" s="44">
        <f>AVERAGE(C14:M14)</f>
        <v>0.38166434821359374</v>
      </c>
      <c r="Q14" s="44">
        <f>MEDIAN(C14:M14)</f>
        <v>0.4473770094177153</v>
      </c>
    </row>
    <row r="15" spans="1:17" x14ac:dyDescent="0.2">
      <c r="B15" s="2" t="s">
        <v>130</v>
      </c>
      <c r="C15" s="44"/>
      <c r="D15" s="44">
        <f>D32/Model!L91</f>
        <v>1.7901616787065704</v>
      </c>
      <c r="E15" s="44">
        <f>E32/Model!M91</f>
        <v>2.9844992050874404</v>
      </c>
      <c r="F15" s="44">
        <f>F32/Model!N91</f>
        <v>2.0547228170354508</v>
      </c>
      <c r="G15" s="44">
        <f>G32/Model!O91</f>
        <v>0.75630059318978793</v>
      </c>
      <c r="H15" s="44">
        <f>H32/Model!P91</f>
        <v>0.68356473023992204</v>
      </c>
      <c r="I15" s="44">
        <f>I32/Model!Q91</f>
        <v>0.6676589775561097</v>
      </c>
      <c r="J15" s="44">
        <f>J32/Model!R91</f>
        <v>0.64849495671511392</v>
      </c>
      <c r="K15" s="44">
        <f>K32/Model!S91</f>
        <v>0.54652008130443164</v>
      </c>
      <c r="L15" s="44">
        <f>L32/Model!T91</f>
        <v>0.51414608374058912</v>
      </c>
      <c r="M15" s="44">
        <f>M32/Model!U91</f>
        <v>0.66227755317943104</v>
      </c>
      <c r="N15" s="44">
        <f>N32/Model!V91</f>
        <v>0.62492249224922491</v>
      </c>
      <c r="P15" s="44">
        <f t="shared" ref="P15:P16" si="7">AVERAGE(C15:M15)</f>
        <v>1.1308346676754848</v>
      </c>
      <c r="Q15" s="44">
        <f>MEDIAN(C15:M15)</f>
        <v>0.67561185389801581</v>
      </c>
    </row>
    <row r="16" spans="1:17" x14ac:dyDescent="0.2">
      <c r="B16" s="2" t="s">
        <v>131</v>
      </c>
      <c r="C16" s="44"/>
      <c r="D16" s="44">
        <f>Model!L38/((Model!L132+Model!L133)*-1)</f>
        <v>7.9614711033274954</v>
      </c>
      <c r="E16" s="44">
        <f>Model!M38/((Model!M132+Model!M133)*-1)</f>
        <v>7.6331658291457289</v>
      </c>
      <c r="F16" s="44">
        <f>Model!N38/((Model!N132+Model!N133)*-1)</f>
        <v>7.2620904836193452</v>
      </c>
      <c r="G16" s="44">
        <f>Model!O38/((Model!O132+Model!O133)*-1)</f>
        <v>5.8132854578096946</v>
      </c>
      <c r="H16" s="44">
        <f>Model!P38/((Model!P132+Model!P133)*-1)</f>
        <v>5.9737010904425913</v>
      </c>
      <c r="I16" s="44">
        <f>Model!Q38/((Model!Q132+Model!Q133)*-1)</f>
        <v>5.52112676056338</v>
      </c>
      <c r="J16" s="44">
        <f>Model!R38/((Model!R132+Model!R133)*-1)</f>
        <v>5.6505955757231989</v>
      </c>
      <c r="K16" s="44">
        <f>Model!S38/((Model!S132+Model!S133)*-1)</f>
        <v>6.8135818908122507</v>
      </c>
      <c r="L16" s="44">
        <f>Model!T38/((Model!T132+Model!T133)*-1)</f>
        <v>6.5645664379288835</v>
      </c>
      <c r="M16" s="44">
        <f>Model!U38/((Model!U132+Model!U133)*-1)</f>
        <v>-9.2003504672897201</v>
      </c>
      <c r="N16" s="44">
        <f>Model!V38/((Model!V132+Model!V133)*-1)</f>
        <v>1.5724137931034483</v>
      </c>
      <c r="P16" s="44">
        <f t="shared" si="7"/>
        <v>4.9993234162082842</v>
      </c>
      <c r="Q16" s="44">
        <f>AVERAGE(C16:M16)</f>
        <v>4.9993234162082842</v>
      </c>
    </row>
    <row r="17" spans="1:17" x14ac:dyDescent="0.2">
      <c r="B17" s="2" t="s">
        <v>132</v>
      </c>
      <c r="C17" s="48"/>
      <c r="D17" s="48">
        <f>D32/(Model!L38+Model!L109)</f>
        <v>2.0532649437758925</v>
      </c>
      <c r="E17" s="48">
        <f>E32/(Model!M38+Model!M109)</f>
        <v>3.0126379137412238</v>
      </c>
      <c r="F17" s="48">
        <f>F32/(Model!N38+Model!N109)</f>
        <v>3.282402128468263</v>
      </c>
      <c r="G17" s="48">
        <f>G32/(Model!O38+Model!O109)</f>
        <v>6.2556248305773918</v>
      </c>
      <c r="H17" s="48">
        <f>H32/(Model!P38+Model!P109)</f>
        <v>4.3379383634431452</v>
      </c>
      <c r="I17" s="48">
        <f>I32/(Model!Q38+Model!Q109)</f>
        <v>4.0688639817629175</v>
      </c>
      <c r="J17" s="48">
        <f>J32/(Model!R38+Model!R109)</f>
        <v>3.5774623203645284</v>
      </c>
      <c r="K17" s="48">
        <f>K32/(Model!S38+Model!S109)</f>
        <v>3.2569407603890363</v>
      </c>
      <c r="L17" s="48">
        <f>L32/(Model!T38+Model!T109)</f>
        <v>3.2910043963476499</v>
      </c>
      <c r="M17" s="48">
        <f>M32/(Model!U38+Model!U109)</f>
        <v>2.725413978076654</v>
      </c>
      <c r="N17" s="48">
        <f>N32/(Model!V38+Model!V109)</f>
        <v>5.352578379304437</v>
      </c>
      <c r="P17" s="48">
        <f>AVERAGE(C17:M17)</f>
        <v>3.58615536169467</v>
      </c>
      <c r="Q17" s="48">
        <f>MEDIAN(C17:M17)</f>
        <v>3.2867032624079564</v>
      </c>
    </row>
    <row r="18" spans="1:17" x14ac:dyDescent="0.2">
      <c r="B18" s="2" t="s">
        <v>133</v>
      </c>
      <c r="C18" s="44"/>
      <c r="D18" s="44">
        <f>Model!L66/Model!L83</f>
        <v>0.41288646004509499</v>
      </c>
      <c r="E18" s="44">
        <f>Model!M66/Model!M83</f>
        <v>0.33114389973028718</v>
      </c>
      <c r="F18" s="44">
        <f>Model!N66/Model!N83</f>
        <v>0.30465391094461064</v>
      </c>
      <c r="G18" s="44">
        <f>Model!O66/Model!O83</f>
        <v>0.83512953955671521</v>
      </c>
      <c r="H18" s="44">
        <f>Model!P66/Model!P83</f>
        <v>0.84741905946344864</v>
      </c>
      <c r="I18" s="44">
        <f>Model!Q66/Model!Q83</f>
        <v>0.84243111946384885</v>
      </c>
      <c r="J18" s="44">
        <f>Model!R66/Model!R83</f>
        <v>0.8377006318541651</v>
      </c>
      <c r="K18" s="44">
        <f>Model!S66/Model!S83</f>
        <v>0.84173552214901903</v>
      </c>
      <c r="L18" s="44">
        <f>Model!T66/Model!T83</f>
        <v>0.84062756437810171</v>
      </c>
      <c r="M18" s="44">
        <f>Model!U66/Model!U83</f>
        <v>0.8049631052259173</v>
      </c>
      <c r="N18" s="44">
        <f>Model!V66/Model!V83</f>
        <v>0.79290826668012349</v>
      </c>
      <c r="P18" s="44">
        <f>AVERAGE(C18:M18)</f>
        <v>0.68986908128112101</v>
      </c>
      <c r="Q18" s="44">
        <f>MEDIAN(C18:M18)</f>
        <v>0.83641508570544021</v>
      </c>
    </row>
    <row r="20" spans="1:17" x14ac:dyDescent="0.2">
      <c r="A20" s="34" t="s">
        <v>7</v>
      </c>
      <c r="B20" s="9" t="s">
        <v>343</v>
      </c>
      <c r="P20" s="48"/>
    </row>
    <row r="21" spans="1:17" x14ac:dyDescent="0.2">
      <c r="B21" s="2" t="s">
        <v>134</v>
      </c>
      <c r="C21" s="49"/>
      <c r="D21" s="49">
        <f>Model!L77/Model!L29*360</f>
        <v>71.324887266480573</v>
      </c>
      <c r="E21" s="49">
        <f>Model!M77/Model!M29*360</f>
        <v>89.72527472527473</v>
      </c>
      <c r="F21" s="49">
        <f>Model!N77/Model!N29*360</f>
        <v>94.789505796217213</v>
      </c>
      <c r="G21" s="49">
        <f>Model!O77/Model!O29*360</f>
        <v>71.904198698994676</v>
      </c>
      <c r="H21" s="49">
        <f>Model!P77/Model!P29*360</f>
        <v>52.738853503184714</v>
      </c>
      <c r="I21" s="49">
        <f>Model!Q77/Model!Q29*360</f>
        <v>56.941685666808361</v>
      </c>
      <c r="J21" s="49">
        <f>Model!R77/Model!R29*360</f>
        <v>51.969273743016757</v>
      </c>
      <c r="K21" s="49">
        <f>Model!S77/Model!S29*360</f>
        <v>55.379224419872294</v>
      </c>
      <c r="L21" s="49">
        <f>Model!T77/Model!T29*360</f>
        <v>56.84758633158561</v>
      </c>
      <c r="M21" s="49">
        <f>Model!U77/Model!U29*360</f>
        <v>47.779203166807171</v>
      </c>
      <c r="N21" s="49">
        <f>Model!V77/Model!V29*360</f>
        <v>50.158116519117023</v>
      </c>
      <c r="P21" s="48">
        <f>AVERAGE(C21:M21)</f>
        <v>64.939969331824216</v>
      </c>
      <c r="Q21" s="48">
        <f>MEDIAN(C21:M21)</f>
        <v>56.894635999196986</v>
      </c>
    </row>
    <row r="22" spans="1:17" x14ac:dyDescent="0.2">
      <c r="B22" s="2" t="s">
        <v>135</v>
      </c>
      <c r="C22" s="49"/>
      <c r="D22" s="49">
        <f>Model!L102/Model!L29*360</f>
        <v>142.34056259394458</v>
      </c>
      <c r="E22" s="49">
        <f>Model!M102/Model!M29*360</f>
        <v>163.10439560439559</v>
      </c>
      <c r="F22" s="49">
        <f>Model!N102/Model!N29*360</f>
        <v>179.01159243441123</v>
      </c>
      <c r="G22" s="49">
        <f>Model!O102/Model!O29*360</f>
        <v>156.95446481371968</v>
      </c>
      <c r="H22" s="49">
        <f>Model!P102/Model!P29*360</f>
        <v>156.26163645271927</v>
      </c>
      <c r="I22" s="49">
        <f>Model!Q102/Model!Q29*360</f>
        <v>135.3217142636318</v>
      </c>
      <c r="J22" s="49">
        <f>Model!R102/Model!R29*360</f>
        <v>135.37709497206706</v>
      </c>
      <c r="K22" s="49">
        <f>Model!S102/Model!S29*360</f>
        <v>134.23610029590407</v>
      </c>
      <c r="L22" s="49">
        <f>Model!T102/Model!T29*360</f>
        <v>136.02024950280239</v>
      </c>
      <c r="M22" s="49">
        <f>Model!U102/Model!U29*360</f>
        <v>127.99178975919071</v>
      </c>
      <c r="N22" s="49">
        <f>Model!V102/Model!V29*360</f>
        <v>132.91065836780453</v>
      </c>
      <c r="P22" s="48">
        <f t="shared" ref="P22" si="8">AVERAGE(C22:M22)</f>
        <v>146.66196006927865</v>
      </c>
      <c r="Q22" s="48">
        <f t="shared" ref="Q22" si="9">MEDIAN(C22:M22)</f>
        <v>139.18040604837347</v>
      </c>
    </row>
    <row r="23" spans="1:17" x14ac:dyDescent="0.2">
      <c r="B23" s="2" t="s">
        <v>136</v>
      </c>
      <c r="C23" s="44"/>
      <c r="D23" s="44">
        <f>Model!L75/Model!L83</f>
        <v>0.15794703252187869</v>
      </c>
      <c r="E23" s="44">
        <f>Model!M75/Model!M83</f>
        <v>0.13476122481358083</v>
      </c>
      <c r="F23" s="44">
        <f>Model!N75/Model!N83</f>
        <v>0.14565157267493023</v>
      </c>
      <c r="G23" s="44">
        <f>Model!O75/Model!O83</f>
        <v>4.1577447212807893E-2</v>
      </c>
      <c r="H23" s="44">
        <f>Model!P75/Model!P83</f>
        <v>4.1198015607276109E-2</v>
      </c>
      <c r="I23" s="44">
        <f>Model!Q75/Model!Q83</f>
        <v>4.3218325591291087E-2</v>
      </c>
      <c r="J23" s="44">
        <f>Model!R75/Model!R83</f>
        <v>4.3561623937831362E-2</v>
      </c>
      <c r="K23" s="44">
        <f>Model!S75/Model!S83</f>
        <v>3.8430458996105268E-2</v>
      </c>
      <c r="L23" s="44">
        <f>Model!T75/Model!T83</f>
        <v>3.6933557370429707E-2</v>
      </c>
      <c r="M23" s="44">
        <f>Model!U75/Model!U83</f>
        <v>4.1595067219245933E-2</v>
      </c>
      <c r="N23" s="44">
        <f>Model!V75/Model!V83</f>
        <v>3.8822866466496776E-2</v>
      </c>
      <c r="P23" s="44">
        <f>AVERAGE(C23:M23)</f>
        <v>7.2487432594537715E-2</v>
      </c>
      <c r="Q23" s="44">
        <f>MEDIAN(C23:M23)</f>
        <v>4.2406696405268507E-2</v>
      </c>
    </row>
    <row r="24" spans="1:17" x14ac:dyDescent="0.2">
      <c r="B24" s="2" t="s">
        <v>137</v>
      </c>
      <c r="C24" s="49"/>
      <c r="D24" s="49">
        <f>SUM(Model!L30:L32)/Model!L75</f>
        <v>1.2920396806194048</v>
      </c>
      <c r="E24" s="49">
        <f>SUM(Model!M30:M32)/Model!M75</f>
        <v>1.2809041676477513</v>
      </c>
      <c r="F24" s="49">
        <f>SUM(Model!N30:N32)/Model!N75</f>
        <v>1.05213188330744</v>
      </c>
      <c r="G24" s="49">
        <f>SUM(Model!O30:O32)/Model!O75</f>
        <v>1.1401773533424284</v>
      </c>
      <c r="H24" s="49">
        <f>SUM(Model!P30:P32)/Model!P75</f>
        <v>1.2909271852711892</v>
      </c>
      <c r="I24" s="49">
        <f>SUM(Model!Q30:Q32)/Model!Q75</f>
        <v>1.3098129307515589</v>
      </c>
      <c r="J24" s="49">
        <f>SUM(Model!R30:R32)/Model!R75</f>
        <v>1.2957652550850283</v>
      </c>
      <c r="K24" s="49">
        <f>SUM(Model!S30:S32)/Model!S75</f>
        <v>1.4053798067815875</v>
      </c>
      <c r="L24" s="49">
        <f>SUM(Model!T30:T32)/Model!T75</f>
        <v>1.4071592311761594</v>
      </c>
      <c r="M24" s="49">
        <f>SUM(Model!U30:U32)/Model!U75</f>
        <v>1.4404617253948968</v>
      </c>
      <c r="N24" s="49">
        <f>SUM(Model!V30:V32)/Model!V75</f>
        <v>1.6301993067590987</v>
      </c>
      <c r="P24" s="48">
        <f t="shared" ref="P24:P26" si="10">AVERAGE(C24:M24)</f>
        <v>1.2914759219377445</v>
      </c>
      <c r="Q24" s="48">
        <f t="shared" ref="Q24:Q26" si="11">MEDIAN(C24:M24)</f>
        <v>1.2939024678522166</v>
      </c>
    </row>
    <row r="25" spans="1:17" x14ac:dyDescent="0.2">
      <c r="B25" s="2" t="s">
        <v>138</v>
      </c>
      <c r="C25" s="49"/>
      <c r="D25" s="49">
        <f t="shared" ref="D25:G25" si="12">360/D24</f>
        <v>278.62921348314609</v>
      </c>
      <c r="E25" s="49">
        <f t="shared" si="12"/>
        <v>281.0514705882353</v>
      </c>
      <c r="F25" s="49">
        <f t="shared" si="12"/>
        <v>342.16242821985236</v>
      </c>
      <c r="G25" s="49">
        <f t="shared" si="12"/>
        <v>315.74035297636851</v>
      </c>
      <c r="H25" s="49">
        <f t="shared" ref="H25:L25" si="13">360/H24</f>
        <v>278.8693305923166</v>
      </c>
      <c r="I25" s="49">
        <f t="shared" si="13"/>
        <v>274.84840892007014</v>
      </c>
      <c r="J25" s="49">
        <f t="shared" si="13"/>
        <v>277.82810087493567</v>
      </c>
      <c r="K25" s="49">
        <f t="shared" si="13"/>
        <v>256.15851192883139</v>
      </c>
      <c r="L25" s="49">
        <f t="shared" si="13"/>
        <v>255.83458646616543</v>
      </c>
      <c r="M25" s="49">
        <f>360/M24</f>
        <v>249.91986503584982</v>
      </c>
      <c r="N25" s="49">
        <f>360/N24</f>
        <v>220.83189368770763</v>
      </c>
      <c r="P25" s="48">
        <f t="shared" si="10"/>
        <v>281.10422690857717</v>
      </c>
      <c r="Q25" s="48">
        <f t="shared" si="11"/>
        <v>278.22865717904085</v>
      </c>
    </row>
    <row r="26" spans="1:17" x14ac:dyDescent="0.2">
      <c r="B26" s="2" t="s">
        <v>139</v>
      </c>
      <c r="C26" s="50"/>
      <c r="D26" s="50">
        <f t="shared" ref="D26:G26" si="14">D25+D21-D22</f>
        <v>207.61353815568208</v>
      </c>
      <c r="E26" s="50">
        <f t="shared" si="14"/>
        <v>207.67234970911446</v>
      </c>
      <c r="F26" s="50">
        <f t="shared" si="14"/>
        <v>257.94034158165834</v>
      </c>
      <c r="G26" s="50">
        <f t="shared" si="14"/>
        <v>230.69008686164349</v>
      </c>
      <c r="H26" s="50">
        <f t="shared" ref="H26:L26" si="15">H25+H21-H22</f>
        <v>175.34654764278204</v>
      </c>
      <c r="I26" s="50">
        <f t="shared" si="15"/>
        <v>196.46838032324672</v>
      </c>
      <c r="J26" s="50">
        <f t="shared" si="15"/>
        <v>194.42027964588536</v>
      </c>
      <c r="K26" s="50">
        <f t="shared" si="15"/>
        <v>177.30163605279961</v>
      </c>
      <c r="L26" s="50">
        <f t="shared" si="15"/>
        <v>176.66192329494865</v>
      </c>
      <c r="M26" s="50">
        <f>M25+M21-M22</f>
        <v>169.70727844346627</v>
      </c>
      <c r="N26" s="50">
        <f>N25+N21-N22</f>
        <v>138.07935183902012</v>
      </c>
      <c r="P26" s="48">
        <f t="shared" si="10"/>
        <v>199.38223617112268</v>
      </c>
      <c r="Q26" s="48">
        <f t="shared" si="11"/>
        <v>195.44432998456602</v>
      </c>
    </row>
    <row r="28" spans="1:17" x14ac:dyDescent="0.2">
      <c r="A28" s="34" t="s">
        <v>7</v>
      </c>
      <c r="B28" s="9" t="s">
        <v>344</v>
      </c>
      <c r="N28" s="51"/>
    </row>
    <row r="29" spans="1:17" x14ac:dyDescent="0.2">
      <c r="B29" s="2" t="s">
        <v>140</v>
      </c>
      <c r="C29" s="3"/>
      <c r="D29" s="3">
        <v>53.06</v>
      </c>
      <c r="E29" s="3">
        <v>54.28</v>
      </c>
      <c r="F29" s="3">
        <v>56.49</v>
      </c>
      <c r="G29" s="3">
        <v>66.989999999999995</v>
      </c>
      <c r="H29" s="3">
        <v>24.79</v>
      </c>
      <c r="I29" s="3">
        <v>32.65</v>
      </c>
      <c r="J29" s="3">
        <v>27.53</v>
      </c>
      <c r="K29" s="3">
        <v>27.86</v>
      </c>
      <c r="L29" s="3">
        <v>33.42</v>
      </c>
      <c r="M29" s="3">
        <v>23.33</v>
      </c>
      <c r="N29" s="51">
        <f>Main!H3</f>
        <v>46.15</v>
      </c>
    </row>
    <row r="30" spans="1:17" x14ac:dyDescent="0.2">
      <c r="B30" s="2" t="s">
        <v>1</v>
      </c>
      <c r="C30" s="3"/>
      <c r="D30" s="3">
        <f>Model!L48</f>
        <v>2030.5206463195691</v>
      </c>
      <c r="E30" s="3">
        <f>Model!M48</f>
        <v>1863</v>
      </c>
      <c r="F30" s="3">
        <f>Model!N48</f>
        <v>1865</v>
      </c>
      <c r="G30" s="3">
        <f>Model!O48</f>
        <v>2044</v>
      </c>
      <c r="H30" s="3">
        <f>Model!P48</f>
        <v>2285</v>
      </c>
      <c r="I30" s="3">
        <f>Model!Q48</f>
        <v>2291</v>
      </c>
      <c r="J30" s="3">
        <f>Model!R48</f>
        <v>2295</v>
      </c>
      <c r="K30" s="3">
        <f>Model!S48</f>
        <v>2287</v>
      </c>
      <c r="L30" s="3">
        <f>Model!T48</f>
        <v>2256</v>
      </c>
      <c r="M30" s="3">
        <f>Model!U48</f>
        <v>2229</v>
      </c>
      <c r="N30" s="51">
        <f>Main!H4</f>
        <v>2187</v>
      </c>
    </row>
    <row r="31" spans="1:17" x14ac:dyDescent="0.2">
      <c r="B31" s="2" t="s">
        <v>141</v>
      </c>
      <c r="C31" s="3"/>
      <c r="D31" s="5">
        <f t="shared" ref="D31:G31" si="16">D30*D29</f>
        <v>107739.42549371634</v>
      </c>
      <c r="E31" s="5">
        <f t="shared" si="16"/>
        <v>101123.64</v>
      </c>
      <c r="F31" s="5">
        <f t="shared" si="16"/>
        <v>105353.85</v>
      </c>
      <c r="G31" s="5">
        <f t="shared" si="16"/>
        <v>136927.56</v>
      </c>
      <c r="H31" s="5">
        <f t="shared" ref="H31:L31" si="17">H30*H29</f>
        <v>56645.15</v>
      </c>
      <c r="I31" s="5">
        <f t="shared" si="17"/>
        <v>74801.149999999994</v>
      </c>
      <c r="J31" s="5">
        <f t="shared" si="17"/>
        <v>63181.350000000006</v>
      </c>
      <c r="K31" s="5">
        <f t="shared" si="17"/>
        <v>63715.82</v>
      </c>
      <c r="L31" s="5">
        <f t="shared" si="17"/>
        <v>75395.520000000004</v>
      </c>
      <c r="M31" s="5">
        <f>M30*M29</f>
        <v>52002.57</v>
      </c>
      <c r="N31" s="5">
        <f>N30*N29</f>
        <v>100930.05</v>
      </c>
    </row>
    <row r="32" spans="1:17" x14ac:dyDescent="0.2">
      <c r="B32" s="2" t="s">
        <v>142</v>
      </c>
      <c r="C32" s="51"/>
      <c r="D32" s="51">
        <f>Model!L92+Model!L99-Model!L80-Model!L81</f>
        <v>10408</v>
      </c>
      <c r="E32" s="51">
        <f>Model!M92+Model!M99-Model!M80-Model!M81</f>
        <v>15018</v>
      </c>
      <c r="F32" s="51">
        <f>Model!N92+Model!N99-Model!N80-Model!N81</f>
        <v>17272</v>
      </c>
      <c r="G32" s="51">
        <f>Model!O92+Model!O99-Model!O80-Model!O81</f>
        <v>46154</v>
      </c>
      <c r="H32" s="51">
        <f>Model!P92+Model!P99-Model!P80-Model!P81</f>
        <v>44902</v>
      </c>
      <c r="I32" s="51">
        <f>Model!Q92+Model!Q99-Model!Q80-Model!Q81</f>
        <v>42837</v>
      </c>
      <c r="J32" s="51">
        <f>Model!R92+Model!R99-Model!R80-Model!R81</f>
        <v>40826</v>
      </c>
      <c r="K32" s="51">
        <f>Model!S92+Model!S99-Model!S80-Model!S81</f>
        <v>36836</v>
      </c>
      <c r="L32" s="51">
        <f>Model!T92+Model!T99-Model!T80-Model!T81</f>
        <v>38926</v>
      </c>
      <c r="M32" s="51">
        <f>Model!U92+Model!U99-Model!U80-Model!U81</f>
        <v>35057</v>
      </c>
      <c r="N32" s="51">
        <f>Main!H7-Main!H6</f>
        <v>31243</v>
      </c>
    </row>
    <row r="33" spans="2:17" x14ac:dyDescent="0.2">
      <c r="B33" s="2" t="s">
        <v>5</v>
      </c>
      <c r="C33" s="51"/>
      <c r="D33" s="52">
        <f t="shared" ref="D33:G33" si="18">D31+D32</f>
        <v>118147.42549371634</v>
      </c>
      <c r="E33" s="52">
        <f t="shared" si="18"/>
        <v>116141.64</v>
      </c>
      <c r="F33" s="52">
        <f t="shared" si="18"/>
        <v>122625.85</v>
      </c>
      <c r="G33" s="52">
        <f t="shared" si="18"/>
        <v>183081.56</v>
      </c>
      <c r="H33" s="52">
        <f t="shared" ref="H33:L33" si="19">H31+H32</f>
        <v>101547.15</v>
      </c>
      <c r="I33" s="52">
        <f t="shared" si="19"/>
        <v>117638.15</v>
      </c>
      <c r="J33" s="52">
        <f t="shared" si="19"/>
        <v>104007.35</v>
      </c>
      <c r="K33" s="52">
        <f t="shared" si="19"/>
        <v>100551.82</v>
      </c>
      <c r="L33" s="52">
        <f t="shared" si="19"/>
        <v>114321.52</v>
      </c>
      <c r="M33" s="52">
        <f>M31+M32</f>
        <v>87059.57</v>
      </c>
      <c r="N33" s="52">
        <f>N31+N32</f>
        <v>132173.04999999999</v>
      </c>
    </row>
    <row r="34" spans="2:17" x14ac:dyDescent="0.2">
      <c r="I34" s="51"/>
      <c r="J34" s="51"/>
      <c r="K34" s="51"/>
      <c r="L34" s="51"/>
      <c r="M34" s="51"/>
      <c r="N34" s="51"/>
    </row>
    <row r="35" spans="2:17" x14ac:dyDescent="0.2">
      <c r="B35" s="36" t="s">
        <v>345</v>
      </c>
      <c r="I35" s="51"/>
      <c r="J35" s="51"/>
      <c r="K35" s="51"/>
      <c r="L35" s="51"/>
      <c r="M35" s="51"/>
      <c r="N35" s="51"/>
    </row>
    <row r="36" spans="2:17" x14ac:dyDescent="0.2">
      <c r="B36" s="2" t="s">
        <v>143</v>
      </c>
      <c r="C36" s="49"/>
      <c r="D36" s="49">
        <f>D31/Model!L43</f>
        <v>31.753441053261518</v>
      </c>
      <c r="E36" s="49">
        <f>E31/Model!M43</f>
        <v>22.362591773551525</v>
      </c>
      <c r="F36" s="49">
        <f>F31/Model!N43</f>
        <v>21.771822690638562</v>
      </c>
      <c r="G36" s="49">
        <f>G31/Model!O43</f>
        <v>6.3752472297234375</v>
      </c>
      <c r="H36" s="49">
        <f>H31/Model!P43</f>
        <v>9.1216022544283408</v>
      </c>
      <c r="I36" s="49">
        <f>I31/Model!Q43</f>
        <v>12.788707471362626</v>
      </c>
      <c r="J36" s="49">
        <f>J31/Model!R43</f>
        <v>9.625434186471665</v>
      </c>
      <c r="K36" s="49">
        <f>K31/Model!S43</f>
        <v>9.1361944364783483</v>
      </c>
      <c r="L36" s="49">
        <f>L31/Model!T43</f>
        <v>11.01307624890447</v>
      </c>
      <c r="M36" s="49">
        <f>M31/Model!U43</f>
        <v>-3.6649918951300302</v>
      </c>
      <c r="N36" s="49">
        <f>N31/Model!V43</f>
        <v>31.729031751021694</v>
      </c>
      <c r="P36" s="49">
        <f>AVERAGE(N36,C36:L36)</f>
        <v>16.567714909584218</v>
      </c>
      <c r="Q36" s="49">
        <f>MEDIAN(N36,C36:L36)</f>
        <v>11.900891860133548</v>
      </c>
    </row>
    <row r="37" spans="2:17" x14ac:dyDescent="0.2">
      <c r="B37" s="2" t="s">
        <v>144</v>
      </c>
      <c r="C37" s="49"/>
      <c r="D37" s="49"/>
      <c r="E37" s="49">
        <f>E36/((Model!M38/Model!L38-1)*100)</f>
        <v>92.418492911426512</v>
      </c>
      <c r="F37" s="49">
        <f>F36/((Model!N38/Model!M38-1)*100)</f>
        <v>10.123897551146941</v>
      </c>
      <c r="G37" s="49">
        <f>G36/((Model!O38/Model!N38-1)*100)</f>
        <v>0.16296966421945414</v>
      </c>
      <c r="H37" s="49">
        <f>H36/((Model!P38/Model!O38-1)*100)</f>
        <v>0.20821817483143434</v>
      </c>
      <c r="I37" s="49">
        <f>I36/((Model!Q38/Model!P38-1)*100)</f>
        <v>-4.0101425145050618</v>
      </c>
      <c r="J37" s="49">
        <f>J36/((Model!R38/Model!Q38-1)*100)</f>
        <v>0.91736696221171854</v>
      </c>
      <c r="K37" s="49">
        <f>K36/((Model!S38/Model!R38-1)*100)</f>
        <v>3.3461312123601998</v>
      </c>
      <c r="L37" s="49">
        <f>L36/((Model!T38/Model!S38-1)*100)</f>
        <v>3.8999246481414627</v>
      </c>
      <c r="M37" s="49">
        <f>M36/((Model!U38/Model!T38-1)*100)</f>
        <v>1.4678659401862413E-2</v>
      </c>
      <c r="N37" s="49">
        <f>N32/Model!V44</f>
        <v>276.48672566371681</v>
      </c>
      <c r="P37" s="49">
        <f t="shared" ref="P37:P38" si="20">AVERAGE(N37,C37:L37)</f>
        <v>42.617064919283273</v>
      </c>
      <c r="Q37" s="49">
        <f t="shared" ref="Q37:Q38" si="21">MEDIAN(N37,C37:L37)</f>
        <v>3.3461312123601998</v>
      </c>
    </row>
    <row r="38" spans="2:17" x14ac:dyDescent="0.2">
      <c r="B38" s="2" t="s">
        <v>145</v>
      </c>
      <c r="C38" s="49"/>
      <c r="D38" s="49"/>
      <c r="E38" s="49">
        <f>F31/Model!M91</f>
        <v>20.93677464228935</v>
      </c>
      <c r="F38" s="49">
        <f>G31/Model!N91</f>
        <v>16.289264810849392</v>
      </c>
      <c r="G38" s="49">
        <f>H31/Model!O91</f>
        <v>0.92821338445908308</v>
      </c>
      <c r="H38" s="49">
        <f>I31/Model!P91</f>
        <v>1.1387338631104615</v>
      </c>
      <c r="I38" s="49">
        <f>J31/Model!Q91</f>
        <v>0.9847467269326684</v>
      </c>
      <c r="J38" s="49">
        <f>K31/Model!R91</f>
        <v>1.0120851401794932</v>
      </c>
      <c r="K38" s="49">
        <f>L31/Model!S91</f>
        <v>1.1186112965683002</v>
      </c>
      <c r="L38" s="49">
        <f>M31/Model!T91</f>
        <v>0.68686527539294673</v>
      </c>
      <c r="M38" s="49">
        <f>N31/Model!U91</f>
        <v>1.9067149658064761</v>
      </c>
      <c r="N38" s="49">
        <f>O31/Model!V91</f>
        <v>0</v>
      </c>
      <c r="P38" s="49">
        <f t="shared" si="20"/>
        <v>4.7883661266424111</v>
      </c>
      <c r="Q38" s="49">
        <f t="shared" si="21"/>
        <v>1.0120851401794932</v>
      </c>
    </row>
    <row r="39" spans="2:17" x14ac:dyDescent="0.2">
      <c r="B39" s="36" t="s">
        <v>346</v>
      </c>
      <c r="P39" s="49"/>
      <c r="Q39" s="49"/>
    </row>
    <row r="40" spans="2:17" x14ac:dyDescent="0.2">
      <c r="B40" s="2" t="s">
        <v>146</v>
      </c>
      <c r="I40" s="50"/>
      <c r="J40" s="50"/>
      <c r="K40" s="50"/>
      <c r="L40" s="50"/>
      <c r="M40" s="50"/>
      <c r="N40" s="50"/>
      <c r="P40" s="49"/>
      <c r="Q40" s="49"/>
    </row>
    <row r="41" spans="2:17" x14ac:dyDescent="0.2">
      <c r="B41" s="2" t="s">
        <v>147</v>
      </c>
      <c r="C41" s="49"/>
      <c r="D41" s="49">
        <f>D33/(Model!L38+Model!L109)</f>
        <v>23.30783694884915</v>
      </c>
      <c r="E41" s="49">
        <f>E33/(Model!M38+Model!M109)</f>
        <v>23.298222668004012</v>
      </c>
      <c r="F41" s="49">
        <f>F33/(Model!N38+Model!N109)</f>
        <v>23.304038388445459</v>
      </c>
      <c r="G41" s="49">
        <f>G33/(Model!O38+Model!O109)</f>
        <v>24.81452426131743</v>
      </c>
      <c r="H41" s="49">
        <f>H33/(Model!P38+Model!P109)</f>
        <v>9.8103709786494058</v>
      </c>
      <c r="I41" s="49">
        <f>I33/(Model!Q38+Model!Q109)</f>
        <v>11.173836436170212</v>
      </c>
      <c r="J41" s="49">
        <f>J33/(Model!R38+Model!R109)</f>
        <v>9.113858219418157</v>
      </c>
      <c r="K41" s="49">
        <f>K33/(Model!S38+Model!S109)</f>
        <v>8.8905234305923972</v>
      </c>
      <c r="L41" s="49">
        <f>L33/(Model!T38+Model!T109)</f>
        <v>9.6653297260737236</v>
      </c>
      <c r="M41" s="49">
        <f>M33/(Model!U38+Model!U109)</f>
        <v>6.7682165902200113</v>
      </c>
      <c r="N41" s="49">
        <f>N33/(Model!V38+Model!V109)</f>
        <v>22.644003769059445</v>
      </c>
      <c r="P41" s="49">
        <f>AVERAGE(C41:N41)</f>
        <v>15.708251037890859</v>
      </c>
      <c r="Q41" s="49">
        <f>MEDIAN(C41:N41)</f>
        <v>11.173836436170212</v>
      </c>
    </row>
    <row r="42" spans="2:17" x14ac:dyDescent="0.2">
      <c r="B42" s="2" t="s">
        <v>148</v>
      </c>
      <c r="C42" s="49"/>
      <c r="D42" s="49">
        <f>D33/Model!L38</f>
        <v>25.989314890830695</v>
      </c>
      <c r="E42" s="49">
        <f>E33/Model!M38</f>
        <v>25.486425279789334</v>
      </c>
      <c r="F42" s="49">
        <f>F33/Model!N38</f>
        <v>26.342824919441462</v>
      </c>
      <c r="G42" s="49">
        <f>G33/Model!O38</f>
        <v>28.270778258184063</v>
      </c>
      <c r="H42" s="49">
        <f>H33/Model!P38</f>
        <v>10.903806507033179</v>
      </c>
      <c r="I42" s="49">
        <f>I33/Model!Q38</f>
        <v>13.047709627329192</v>
      </c>
      <c r="J42" s="49">
        <f>J33/Model!R38</f>
        <v>10.440408552499498</v>
      </c>
      <c r="K42" s="49">
        <f>K33/Model!S38</f>
        <v>9.825270666406098</v>
      </c>
      <c r="L42" s="49">
        <f>L33/Model!T38</f>
        <v>10.863966549463081</v>
      </c>
      <c r="M42" s="49">
        <f>M33/Model!U38</f>
        <v>-5.527240810107295</v>
      </c>
      <c r="N42" s="49">
        <f>N33/Model!V38</f>
        <v>48.308863304093563</v>
      </c>
      <c r="P42" s="49">
        <f t="shared" ref="P42:P44" si="22">AVERAGE(C42:N42)</f>
        <v>18.541102522269355</v>
      </c>
      <c r="Q42" s="49">
        <f t="shared" ref="Q42:Q44" si="23">MEDIAN(C42:N42)</f>
        <v>13.047709627329192</v>
      </c>
    </row>
    <row r="43" spans="2:17" x14ac:dyDescent="0.2">
      <c r="B43" s="2" t="s">
        <v>149</v>
      </c>
      <c r="C43" s="49"/>
      <c r="D43" s="53" t="s">
        <v>347</v>
      </c>
      <c r="E43" s="53" t="s">
        <v>347</v>
      </c>
      <c r="F43" s="53" t="s">
        <v>347</v>
      </c>
      <c r="G43" s="53" t="s">
        <v>347</v>
      </c>
      <c r="H43" s="49" t="e">
        <f>H33/#REF!</f>
        <v>#REF!</v>
      </c>
      <c r="I43" s="49" t="e">
        <f>I33/#REF!</f>
        <v>#REF!</v>
      </c>
      <c r="J43" s="49" t="e">
        <f>J33/#REF!</f>
        <v>#REF!</v>
      </c>
      <c r="K43" s="49" t="e">
        <f>K33/#REF!</f>
        <v>#REF!</v>
      </c>
      <c r="L43" s="49" t="e">
        <f>L33/#REF!</f>
        <v>#REF!</v>
      </c>
      <c r="M43" s="49" t="e">
        <f>M33/#REF!</f>
        <v>#REF!</v>
      </c>
      <c r="N43" s="49" t="e">
        <f>N33/#REF!</f>
        <v>#REF!</v>
      </c>
      <c r="P43" s="49" t="e">
        <f t="shared" si="22"/>
        <v>#REF!</v>
      </c>
      <c r="Q43" s="49" t="e">
        <f t="shared" si="23"/>
        <v>#REF!</v>
      </c>
    </row>
    <row r="44" spans="2:17" x14ac:dyDescent="0.2">
      <c r="C44" s="49"/>
      <c r="D44" s="49">
        <f>D33/Model!L29</f>
        <v>8.4566191034082259</v>
      </c>
      <c r="E44" s="49">
        <f>E33/Model!M29</f>
        <v>8.8630677655677648</v>
      </c>
      <c r="F44" s="49">
        <f>F33/Model!N29</f>
        <v>8.313053352315098</v>
      </c>
      <c r="G44" s="49">
        <f>G33/Model!O29</f>
        <v>9.0223516656810556</v>
      </c>
      <c r="H44" s="49">
        <f>H33/Model!P29</f>
        <v>4.1461354728074467</v>
      </c>
      <c r="I44" s="49">
        <f>I33/Model!Q29</f>
        <v>4.5460505468176367</v>
      </c>
      <c r="J44" s="49">
        <f>J33/Model!R29</f>
        <v>4.0350461669770334</v>
      </c>
      <c r="K44" s="49">
        <f>K33/Model!S29</f>
        <v>3.9149595078648187</v>
      </c>
      <c r="L44" s="49">
        <f>L33/Model!T29</f>
        <v>4.1338463207376606</v>
      </c>
      <c r="M44" s="49">
        <f>M33/Model!U29</f>
        <v>3.1909822966682553</v>
      </c>
      <c r="N44" s="49">
        <f>N33/Model!V29</f>
        <v>5.1097170139560051</v>
      </c>
      <c r="P44" s="49">
        <f t="shared" si="22"/>
        <v>5.7938026557091824</v>
      </c>
      <c r="Q44" s="49">
        <f t="shared" si="23"/>
        <v>4.5460505468176367</v>
      </c>
    </row>
    <row r="46" spans="2:17" x14ac:dyDescent="0.2">
      <c r="B46" s="2" t="s">
        <v>239</v>
      </c>
      <c r="C46" s="54"/>
      <c r="D46" s="54">
        <f>(-1*Model!L142)/D31</f>
        <v>2.5171843896254778E-2</v>
      </c>
      <c r="E46" s="54">
        <f>(-1*Model!M142)/E31</f>
        <v>2.7392210169649749E-2</v>
      </c>
      <c r="F46" s="54">
        <f>(-1*Model!N142)/F31</f>
        <v>2.7621202262660547E-2</v>
      </c>
      <c r="G46" s="54">
        <f>(-1*Model!O142)/G31</f>
        <v>2.5305351238275188E-2</v>
      </c>
      <c r="H46" s="54">
        <f>(-1*Model!P142)/H31</f>
        <v>7.6740903678426134E-2</v>
      </c>
      <c r="I46" s="54">
        <f>(-1*Model!Q142)/I31</f>
        <v>6.1469643180619551E-2</v>
      </c>
      <c r="J46" s="54">
        <f>(-1*Model!R142)/J31</f>
        <v>7.510127593031804E-2</v>
      </c>
      <c r="K46" s="54">
        <f>(-1*Model!S142)/K31</f>
        <v>7.6966756450752738E-2</v>
      </c>
      <c r="L46" s="54">
        <f>(-1*Model!T142)/L31</f>
        <v>6.5189549723909321E-2</v>
      </c>
      <c r="M46" s="54">
        <f>(-1*Model!U142)/M31</f>
        <v>9.7206734205636372E-2</v>
      </c>
      <c r="N46" s="54">
        <f>(-1*Model!V142)/N31</f>
        <v>5.1649632592077381E-2</v>
      </c>
      <c r="P46" s="55">
        <f>AVERAGE(C46:M46)</f>
        <v>5.5816547073650233E-2</v>
      </c>
      <c r="Q46" s="55">
        <f>MEDIAN(C46:M46)</f>
        <v>6.3329596452264436E-2</v>
      </c>
    </row>
  </sheetData>
  <hyperlinks>
    <hyperlink ref="A1" location="Main!A1" display="Main" xr:uid="{BE5787E0-948B-4E53-BD9C-191DD75BCA0B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4EB8-C629-459A-A029-51FD1C0FDAD0}">
  <dimension ref="A1:AJ76"/>
  <sheetViews>
    <sheetView showGridLines="0" tabSelected="1" zoomScaleNormal="100" workbookViewId="0">
      <selection activeCell="M26" sqref="M26"/>
    </sheetView>
  </sheetViews>
  <sheetFormatPr defaultRowHeight="12.75" x14ac:dyDescent="0.2"/>
  <cols>
    <col min="1" max="1" width="5.42578125" style="2" bestFit="1" customWidth="1"/>
    <col min="2" max="2" width="9.140625" style="2"/>
    <col min="3" max="4" width="9.28515625" style="2" bestFit="1" customWidth="1"/>
    <col min="5" max="5" width="11.28515625" style="2" bestFit="1" customWidth="1"/>
    <col min="6" max="21" width="9.28515625" style="2" bestFit="1" customWidth="1"/>
    <col min="22" max="22" width="10.140625" style="2" bestFit="1" customWidth="1"/>
    <col min="23" max="16384" width="9.140625" style="2"/>
  </cols>
  <sheetData>
    <row r="1" spans="1:36" x14ac:dyDescent="0.2">
      <c r="A1" s="56" t="s">
        <v>6</v>
      </c>
      <c r="B1" s="57" t="s">
        <v>187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:36" x14ac:dyDescent="0.2">
      <c r="E2" s="58"/>
    </row>
    <row r="3" spans="1:36" x14ac:dyDescent="0.2">
      <c r="B3" s="2" t="s">
        <v>150</v>
      </c>
      <c r="E3" s="59" t="s">
        <v>22</v>
      </c>
      <c r="G3" s="2" t="s">
        <v>151</v>
      </c>
      <c r="J3" s="59">
        <f>+Main!H3</f>
        <v>46.15</v>
      </c>
      <c r="L3" s="2" t="s">
        <v>151</v>
      </c>
      <c r="O3" s="59">
        <f>+J3</f>
        <v>46.15</v>
      </c>
    </row>
    <row r="4" spans="1:36" x14ac:dyDescent="0.2">
      <c r="B4" s="2" t="s">
        <v>152</v>
      </c>
      <c r="E4" s="60">
        <f ca="1">+TODAY()</f>
        <v>46226</v>
      </c>
      <c r="G4" s="2" t="s">
        <v>153</v>
      </c>
      <c r="J4" s="61">
        <f ca="1">V62</f>
        <v>42.245377497915634</v>
      </c>
      <c r="L4" s="2" t="s">
        <v>368</v>
      </c>
      <c r="O4" s="62">
        <f>+J15+O15+T15</f>
        <v>0</v>
      </c>
    </row>
    <row r="5" spans="1:36" x14ac:dyDescent="0.2">
      <c r="B5" s="2" t="s">
        <v>154</v>
      </c>
      <c r="E5" s="63">
        <v>46022</v>
      </c>
      <c r="G5" s="2" t="s">
        <v>155</v>
      </c>
      <c r="J5" s="64">
        <f ca="1">J4/J3-1</f>
        <v>-8.4607204812228942E-2</v>
      </c>
      <c r="L5" s="2" t="s">
        <v>155</v>
      </c>
      <c r="O5" s="64">
        <f>O4/O3-1</f>
        <v>-1</v>
      </c>
    </row>
    <row r="7" spans="1:36" x14ac:dyDescent="0.2">
      <c r="A7" s="8" t="s">
        <v>7</v>
      </c>
      <c r="B7" s="65" t="s">
        <v>156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</row>
    <row r="8" spans="1:36" x14ac:dyDescent="0.2">
      <c r="A8" s="8"/>
    </row>
    <row r="9" spans="1:36" x14ac:dyDescent="0.2">
      <c r="A9" s="8"/>
      <c r="B9" s="66" t="s">
        <v>157</v>
      </c>
      <c r="C9" s="67"/>
      <c r="D9" s="67"/>
      <c r="E9" s="67"/>
      <c r="G9" s="66" t="s">
        <v>158</v>
      </c>
      <c r="H9" s="66"/>
      <c r="I9" s="67"/>
      <c r="J9" s="67"/>
      <c r="L9" s="66" t="s">
        <v>159</v>
      </c>
      <c r="M9" s="67"/>
      <c r="N9" s="67"/>
      <c r="O9" s="67"/>
      <c r="Q9" s="66" t="s">
        <v>160</v>
      </c>
      <c r="R9" s="67"/>
      <c r="S9" s="67"/>
      <c r="T9" s="67"/>
    </row>
    <row r="10" spans="1:36" x14ac:dyDescent="0.2">
      <c r="A10" s="8"/>
      <c r="B10" s="9" t="s">
        <v>161</v>
      </c>
      <c r="G10" s="9" t="s">
        <v>161</v>
      </c>
      <c r="H10" s="9"/>
      <c r="I10" s="9" t="s">
        <v>162</v>
      </c>
      <c r="J10" s="9" t="s">
        <v>163</v>
      </c>
      <c r="L10" s="9" t="s">
        <v>161</v>
      </c>
      <c r="N10" s="9" t="s">
        <v>162</v>
      </c>
      <c r="O10" s="9" t="s">
        <v>163</v>
      </c>
      <c r="Q10" s="9" t="s">
        <v>161</v>
      </c>
      <c r="S10" s="9" t="s">
        <v>162</v>
      </c>
      <c r="T10" s="9" t="s">
        <v>163</v>
      </c>
    </row>
    <row r="11" spans="1:36" x14ac:dyDescent="0.2">
      <c r="B11" s="2" t="s">
        <v>26</v>
      </c>
      <c r="E11" s="68">
        <v>3</v>
      </c>
      <c r="G11" s="2" t="s">
        <v>164</v>
      </c>
      <c r="K11" s="1"/>
      <c r="L11" s="2" t="s">
        <v>164</v>
      </c>
      <c r="Q11" s="2" t="s">
        <v>164</v>
      </c>
    </row>
    <row r="12" spans="1:36" x14ac:dyDescent="0.2">
      <c r="B12" s="2" t="s">
        <v>165</v>
      </c>
      <c r="E12" s="68">
        <v>2</v>
      </c>
      <c r="G12" s="2" t="s">
        <v>165</v>
      </c>
      <c r="L12" s="2" t="s">
        <v>165</v>
      </c>
      <c r="Q12" s="2" t="s">
        <v>165</v>
      </c>
    </row>
    <row r="13" spans="1:36" x14ac:dyDescent="0.2">
      <c r="B13" s="2" t="s">
        <v>166</v>
      </c>
      <c r="E13" s="68">
        <v>2</v>
      </c>
      <c r="G13" s="2" t="s">
        <v>369</v>
      </c>
      <c r="J13" s="69"/>
      <c r="O13" s="69"/>
      <c r="T13" s="69"/>
    </row>
    <row r="14" spans="1:36" x14ac:dyDescent="0.2">
      <c r="B14" s="2" t="s">
        <v>167</v>
      </c>
      <c r="E14" s="68">
        <v>2</v>
      </c>
      <c r="G14" s="2" t="s">
        <v>370</v>
      </c>
      <c r="J14" s="69"/>
      <c r="L14" s="2" t="s">
        <v>370</v>
      </c>
      <c r="O14" s="69"/>
      <c r="Q14" s="2" t="s">
        <v>370</v>
      </c>
      <c r="T14" s="69"/>
    </row>
    <row r="15" spans="1:36" x14ac:dyDescent="0.2">
      <c r="B15" s="2" t="s">
        <v>371</v>
      </c>
      <c r="E15" s="68">
        <v>2</v>
      </c>
      <c r="G15" s="2" t="s">
        <v>372</v>
      </c>
      <c r="J15" s="69"/>
      <c r="L15" s="2" t="s">
        <v>372</v>
      </c>
      <c r="O15" s="69"/>
      <c r="Q15" s="2" t="s">
        <v>372</v>
      </c>
      <c r="T15" s="69"/>
    </row>
    <row r="17" spans="1:22" x14ac:dyDescent="0.2">
      <c r="B17" s="9" t="s">
        <v>168</v>
      </c>
    </row>
    <row r="18" spans="1:22" x14ac:dyDescent="0.2">
      <c r="B18" s="2" t="s">
        <v>166</v>
      </c>
      <c r="E18" s="69">
        <f>CHOOSE(E13,J18,O18,T18)</f>
        <v>7.0000000000000007E-2</v>
      </c>
      <c r="G18" s="2" t="s">
        <v>166</v>
      </c>
      <c r="J18" s="69">
        <v>0.08</v>
      </c>
      <c r="L18" s="2" t="s">
        <v>166</v>
      </c>
      <c r="O18" s="69">
        <v>7.0000000000000007E-2</v>
      </c>
      <c r="Q18" s="2" t="s">
        <v>166</v>
      </c>
      <c r="T18" s="69">
        <v>0.06</v>
      </c>
    </row>
    <row r="19" spans="1:22" x14ac:dyDescent="0.2">
      <c r="B19" s="2" t="s">
        <v>167</v>
      </c>
      <c r="E19" s="69">
        <f>CHOOSE(E14,J19,O19,T19)</f>
        <v>0.01</v>
      </c>
      <c r="G19" s="2" t="s">
        <v>167</v>
      </c>
      <c r="J19" s="69">
        <v>5.0000000000000001E-3</v>
      </c>
      <c r="L19" s="2" t="s">
        <v>167</v>
      </c>
      <c r="O19" s="69">
        <v>0.01</v>
      </c>
      <c r="Q19" s="2" t="s">
        <v>167</v>
      </c>
      <c r="T19" s="69">
        <v>0.02</v>
      </c>
    </row>
    <row r="20" spans="1:22" x14ac:dyDescent="0.2">
      <c r="B20" s="2" t="s">
        <v>373</v>
      </c>
      <c r="E20" s="69">
        <f>CHOOSE(E15,J20,O20,T20)</f>
        <v>0.09</v>
      </c>
      <c r="G20" s="2" t="s">
        <v>373</v>
      </c>
      <c r="J20" s="69">
        <v>0.08</v>
      </c>
      <c r="L20" s="2" t="s">
        <v>373</v>
      </c>
      <c r="O20" s="69">
        <v>0.09</v>
      </c>
      <c r="Q20" s="2" t="s">
        <v>373</v>
      </c>
      <c r="T20" s="69">
        <v>0.1</v>
      </c>
    </row>
    <row r="24" spans="1:22" x14ac:dyDescent="0.2">
      <c r="A24" s="8" t="s">
        <v>7</v>
      </c>
      <c r="B24" s="65" t="s">
        <v>169</v>
      </c>
      <c r="C24" s="65"/>
      <c r="D24" s="65"/>
      <c r="E24" s="65"/>
      <c r="F24" s="65"/>
      <c r="G24" s="70">
        <v>19</v>
      </c>
      <c r="H24" s="70">
        <f>G24+1</f>
        <v>20</v>
      </c>
      <c r="I24" s="70">
        <f t="shared" ref="I24:V24" si="0">H24+1</f>
        <v>21</v>
      </c>
      <c r="J24" s="70">
        <f t="shared" si="0"/>
        <v>22</v>
      </c>
      <c r="K24" s="70">
        <f t="shared" si="0"/>
        <v>23</v>
      </c>
      <c r="L24" s="70">
        <f t="shared" si="0"/>
        <v>24</v>
      </c>
      <c r="M24" s="70">
        <f t="shared" si="0"/>
        <v>25</v>
      </c>
      <c r="N24" s="70">
        <f t="shared" si="0"/>
        <v>26</v>
      </c>
      <c r="O24" s="70">
        <f t="shared" si="0"/>
        <v>27</v>
      </c>
      <c r="P24" s="70">
        <f t="shared" si="0"/>
        <v>28</v>
      </c>
      <c r="Q24" s="70">
        <f t="shared" si="0"/>
        <v>29</v>
      </c>
      <c r="R24" s="70">
        <f t="shared" si="0"/>
        <v>30</v>
      </c>
      <c r="S24" s="70">
        <f t="shared" si="0"/>
        <v>31</v>
      </c>
      <c r="T24" s="70">
        <f t="shared" si="0"/>
        <v>32</v>
      </c>
      <c r="U24" s="70">
        <f t="shared" si="0"/>
        <v>33</v>
      </c>
      <c r="V24" s="70">
        <f t="shared" si="0"/>
        <v>34</v>
      </c>
    </row>
    <row r="25" spans="1:22" x14ac:dyDescent="0.2">
      <c r="B25" s="2" t="s">
        <v>164</v>
      </c>
      <c r="G25" s="52">
        <f>+Model!Q29</f>
        <v>25877</v>
      </c>
      <c r="H25" s="52">
        <f>+Model!R29</f>
        <v>25776</v>
      </c>
      <c r="I25" s="52">
        <f>+Model!S29</f>
        <v>25684</v>
      </c>
      <c r="J25" s="52">
        <f>+Model!T29</f>
        <v>27655</v>
      </c>
      <c r="K25" s="52">
        <f>+Model!U29</f>
        <v>27283</v>
      </c>
      <c r="L25" s="52">
        <f>+Model!V29</f>
        <v>25867</v>
      </c>
      <c r="M25" s="5">
        <f ca="1">L25*(1+M26)</f>
        <v>25868.669999999995</v>
      </c>
      <c r="N25" s="5">
        <f t="shared" ref="N25:V25" ca="1" si="1">M25*(1+N26)</f>
        <v>24815.310803046988</v>
      </c>
      <c r="O25" s="5">
        <f t="shared" ca="1" si="1"/>
        <v>25031.745508807009</v>
      </c>
      <c r="P25" s="5">
        <f t="shared" ca="1" si="1"/>
        <v>25259.724658939525</v>
      </c>
      <c r="Q25" s="5">
        <f t="shared" ca="1" si="1"/>
        <v>25499.881649470601</v>
      </c>
      <c r="R25" s="5">
        <f t="shared" ca="1" si="1"/>
        <v>25752.88493800646</v>
      </c>
      <c r="S25" s="5">
        <f t="shared" ca="1" si="1"/>
        <v>26019.439985845645</v>
      </c>
      <c r="T25" s="5">
        <f t="shared" ca="1" si="1"/>
        <v>27847.421972449651</v>
      </c>
      <c r="U25" s="5">
        <f t="shared" ca="1" si="1"/>
        <v>27934.534266645664</v>
      </c>
      <c r="V25" s="5">
        <f t="shared" ca="1" si="1"/>
        <v>28035.002664004365</v>
      </c>
    </row>
    <row r="26" spans="1:22" x14ac:dyDescent="0.2">
      <c r="B26" s="71" t="s">
        <v>170</v>
      </c>
      <c r="C26" s="72"/>
      <c r="G26" s="73"/>
      <c r="H26" s="74">
        <f t="shared" ref="H26:L26" si="2">H25/G25-1</f>
        <v>-3.9030799551725837E-3</v>
      </c>
      <c r="I26" s="74">
        <f t="shared" si="2"/>
        <v>-3.5692116697703113E-3</v>
      </c>
      <c r="J26" s="74">
        <f t="shared" si="2"/>
        <v>7.6740383117894329E-2</v>
      </c>
      <c r="K26" s="74">
        <f t="shared" si="2"/>
        <v>-1.3451455433013959E-2</v>
      </c>
      <c r="L26" s="74">
        <f t="shared" si="2"/>
        <v>-5.190045083018735E-2</v>
      </c>
      <c r="M26" s="74" cm="1">
        <f t="array" aca="1" ref="M26" ca="1">OFFSET(M26,$E$11,,)</f>
        <v>6.4561023698108885E-5</v>
      </c>
      <c r="N26" s="74" cm="1">
        <f t="array" aca="1" ref="N26" ca="1">OFFSET(N26,$E$11,,)</f>
        <v>-4.0719495704765969E-2</v>
      </c>
      <c r="O26" s="74" cm="1">
        <f t="array" aca="1" ref="O26" ca="1">OFFSET(O26,$E$11,,)</f>
        <v>8.7218212771064032E-3</v>
      </c>
      <c r="P26" s="74" cm="1">
        <f t="array" aca="1" ref="P26" ca="1">OFFSET(P26,$E$11,,)</f>
        <v>9.1076009882053912E-3</v>
      </c>
      <c r="Q26" s="74" cm="1">
        <f t="array" aca="1" ref="Q26" ca="1">OFFSET(Q26,$E$11,,)</f>
        <v>9.507506268326851E-3</v>
      </c>
      <c r="R26" s="74" cm="1">
        <f t="array" aca="1" ref="R26" ca="1">OFFSET(R26,$E$11,,)</f>
        <v>9.9217436384107984E-3</v>
      </c>
      <c r="S26" s="74" cm="1">
        <f t="array" aca="1" ref="S26" ca="1">OFFSET(S26,$E$11,,)</f>
        <v>1.0350492711043815E-2</v>
      </c>
      <c r="T26" s="74" cm="1">
        <f t="array" aca="1" ref="T26" ca="1">OFFSET(T26,$E$11,,)</f>
        <v>7.0254470795620957E-2</v>
      </c>
      <c r="U26" s="74" cm="1">
        <f t="array" aca="1" ref="U26" ca="1">OFFSET(U26,$E$11,,)</f>
        <v>3.1281995971547041E-3</v>
      </c>
      <c r="V26" s="74" cm="1">
        <f t="array" aca="1" ref="V26" ca="1">OFFSET(V26,$E$11,,)</f>
        <v>3.5965660425798431E-3</v>
      </c>
    </row>
    <row r="27" spans="1:22" x14ac:dyDescent="0.2">
      <c r="B27" s="71" t="s">
        <v>158</v>
      </c>
      <c r="C27" s="72"/>
      <c r="I27" s="44"/>
      <c r="J27" s="44"/>
      <c r="K27" s="44"/>
      <c r="L27" s="44"/>
      <c r="M27" s="75">
        <f>+M28-1%</f>
        <v>-1.9935438976301893E-2</v>
      </c>
      <c r="N27" s="75">
        <f t="shared" ref="N27:V27" si="3">+N28-1%</f>
        <v>-6.0719495704765973E-2</v>
      </c>
      <c r="O27" s="75">
        <f t="shared" si="3"/>
        <v>-1.1278178722893597E-2</v>
      </c>
      <c r="P27" s="75">
        <f t="shared" si="3"/>
        <v>-1.0892399011794609E-2</v>
      </c>
      <c r="Q27" s="75">
        <f t="shared" si="3"/>
        <v>-1.0492493731673149E-2</v>
      </c>
      <c r="R27" s="75">
        <f t="shared" si="3"/>
        <v>-1.0078256361589202E-2</v>
      </c>
      <c r="S27" s="75">
        <f t="shared" si="3"/>
        <v>-9.6495072889561852E-3</v>
      </c>
      <c r="T27" s="75">
        <f t="shared" si="3"/>
        <v>5.025447079562096E-2</v>
      </c>
      <c r="U27" s="75">
        <f t="shared" si="3"/>
        <v>-1.6871800402845298E-2</v>
      </c>
      <c r="V27" s="75">
        <f t="shared" si="3"/>
        <v>-1.6403433957420159E-2</v>
      </c>
    </row>
    <row r="28" spans="1:22" x14ac:dyDescent="0.2">
      <c r="B28" s="71" t="s">
        <v>171</v>
      </c>
      <c r="C28" s="72"/>
      <c r="I28" s="44"/>
      <c r="J28" s="44"/>
      <c r="K28" s="44"/>
      <c r="L28" s="44"/>
      <c r="M28" s="75">
        <f>+Model!W60</f>
        <v>-9.9354389763018913E-3</v>
      </c>
      <c r="N28" s="75">
        <f>+Model!X60</f>
        <v>-5.0719495704765971E-2</v>
      </c>
      <c r="O28" s="75">
        <f>+Model!Y60</f>
        <v>-1.278178722893597E-3</v>
      </c>
      <c r="P28" s="75">
        <f>+Model!Z60</f>
        <v>-8.9239901179460901E-4</v>
      </c>
      <c r="Q28" s="75">
        <f>+Model!AA60</f>
        <v>-4.9249373167314925E-4</v>
      </c>
      <c r="R28" s="75">
        <f>+Model!AB60</f>
        <v>-7.8256361589201795E-5</v>
      </c>
      <c r="S28" s="75">
        <f>+Model!AC60</f>
        <v>3.5049271104381496E-4</v>
      </c>
      <c r="T28" s="75">
        <f>+Model!AD60</f>
        <v>6.0254470795620962E-2</v>
      </c>
      <c r="U28" s="75">
        <f>+Model!AE60</f>
        <v>-6.8718004028452961E-3</v>
      </c>
      <c r="V28" s="75">
        <f>+Model!AF60</f>
        <v>-6.4034339574201571E-3</v>
      </c>
    </row>
    <row r="29" spans="1:22" x14ac:dyDescent="0.2">
      <c r="B29" s="71" t="s">
        <v>172</v>
      </c>
      <c r="C29" s="72"/>
      <c r="I29" s="44"/>
      <c r="J29" s="44"/>
      <c r="K29" s="44"/>
      <c r="L29" s="44"/>
      <c r="M29" s="75">
        <f>+M28+1%</f>
        <v>6.4561023698108885E-5</v>
      </c>
      <c r="N29" s="75">
        <f t="shared" ref="N29:V29" si="4">+N28+1%</f>
        <v>-4.0719495704765969E-2</v>
      </c>
      <c r="O29" s="75">
        <f t="shared" si="4"/>
        <v>8.7218212771064032E-3</v>
      </c>
      <c r="P29" s="75">
        <f t="shared" si="4"/>
        <v>9.1076009882053912E-3</v>
      </c>
      <c r="Q29" s="75">
        <f t="shared" si="4"/>
        <v>9.507506268326851E-3</v>
      </c>
      <c r="R29" s="75">
        <f t="shared" si="4"/>
        <v>9.9217436384107984E-3</v>
      </c>
      <c r="S29" s="75">
        <f t="shared" si="4"/>
        <v>1.0350492711043815E-2</v>
      </c>
      <c r="T29" s="75">
        <f t="shared" si="4"/>
        <v>7.0254470795620957E-2</v>
      </c>
      <c r="U29" s="75">
        <f t="shared" si="4"/>
        <v>3.1281995971547041E-3</v>
      </c>
      <c r="V29" s="75">
        <f t="shared" si="4"/>
        <v>3.5965660425798431E-3</v>
      </c>
    </row>
    <row r="31" spans="1:22" x14ac:dyDescent="0.2">
      <c r="B31" s="2" t="s">
        <v>165</v>
      </c>
      <c r="G31" s="5">
        <f>+Model!Q38</f>
        <v>9016</v>
      </c>
      <c r="H31" s="5">
        <f>+Model!R38</f>
        <v>9962</v>
      </c>
      <c r="I31" s="5">
        <f>+Model!S38</f>
        <v>10234</v>
      </c>
      <c r="J31" s="5">
        <f>+Model!T38</f>
        <v>10523</v>
      </c>
      <c r="K31" s="5">
        <f>+Model!U38</f>
        <v>-15751</v>
      </c>
      <c r="L31" s="5">
        <f>+Model!V38</f>
        <v>2736</v>
      </c>
      <c r="M31" s="5">
        <f ca="1">M32*M25</f>
        <v>10097.973213197969</v>
      </c>
      <c r="N31" s="5">
        <f t="shared" ref="N31:V31" ca="1" si="5">N32*N25</f>
        <v>9677.9712131883261</v>
      </c>
      <c r="O31" s="5">
        <f t="shared" ca="1" si="5"/>
        <v>9762.3807484347344</v>
      </c>
      <c r="P31" s="5">
        <f t="shared" ca="1" si="5"/>
        <v>9851.2926169864131</v>
      </c>
      <c r="Q31" s="5">
        <f t="shared" ca="1" si="5"/>
        <v>9944.9538432935351</v>
      </c>
      <c r="R31" s="5">
        <f t="shared" ca="1" si="5"/>
        <v>10043.62512582252</v>
      </c>
      <c r="S31" s="5">
        <f t="shared" ca="1" si="5"/>
        <v>10147.581594479801</v>
      </c>
      <c r="T31" s="5">
        <f t="shared" ca="1" si="5"/>
        <v>10860.494569255365</v>
      </c>
      <c r="U31" s="5">
        <f t="shared" ca="1" si="5"/>
        <v>10894.468363991811</v>
      </c>
      <c r="V31" s="5">
        <f t="shared" ca="1" si="5"/>
        <v>10933.651038961703</v>
      </c>
    </row>
    <row r="32" spans="1:22" x14ac:dyDescent="0.2">
      <c r="B32" s="71" t="s">
        <v>173</v>
      </c>
      <c r="G32" s="74">
        <f>G31/G25</f>
        <v>0.34841751362213547</v>
      </c>
      <c r="H32" s="74">
        <f t="shared" ref="H32:L32" si="6">H31/H25</f>
        <v>0.38648355058969586</v>
      </c>
      <c r="I32" s="74">
        <f t="shared" si="6"/>
        <v>0.39845818408347611</v>
      </c>
      <c r="J32" s="74">
        <f t="shared" si="6"/>
        <v>0.38050985355270295</v>
      </c>
      <c r="K32" s="74">
        <f t="shared" si="6"/>
        <v>-0.57731920976432205</v>
      </c>
      <c r="L32" s="74">
        <f t="shared" si="6"/>
        <v>0.1057718328372057</v>
      </c>
      <c r="M32" s="74" cm="1">
        <f t="array" aca="1" ref="M32" ca="1">OFFSET(M32,$E$12,,)</f>
        <v>0.39035532994923861</v>
      </c>
      <c r="N32" s="74" cm="1">
        <f t="array" aca="1" ref="N32" ca="1">OFFSET(N32,$E$12,,)</f>
        <v>0.39</v>
      </c>
      <c r="O32" s="74" cm="1">
        <f t="array" aca="1" ref="O32" ca="1">OFFSET(O32,$E$12,,)</f>
        <v>0.39</v>
      </c>
      <c r="P32" s="74" cm="1">
        <f t="array" aca="1" ref="P32" ca="1">OFFSET(P32,$E$12,,)</f>
        <v>0.38999999999999996</v>
      </c>
      <c r="Q32" s="74" cm="1">
        <f t="array" aca="1" ref="Q32" ca="1">OFFSET(Q32,$E$12,,)</f>
        <v>0.39</v>
      </c>
      <c r="R32" s="74" cm="1">
        <f t="array" aca="1" ref="R32" ca="1">OFFSET(R32,$E$12,,)</f>
        <v>0.39</v>
      </c>
      <c r="S32" s="74" cm="1">
        <f t="array" aca="1" ref="S32" ca="1">OFFSET(S32,$E$12,,)</f>
        <v>0.39</v>
      </c>
      <c r="T32" s="74" cm="1">
        <f t="array" aca="1" ref="T32" ca="1">OFFSET(T32,$E$12,,)</f>
        <v>0.39</v>
      </c>
      <c r="U32" s="74" cm="1">
        <f t="array" aca="1" ref="U32" ca="1">OFFSET(U32,$E$12,,)</f>
        <v>0.39000000000000007</v>
      </c>
      <c r="V32" s="74" cm="1">
        <f t="array" aca="1" ref="V32" ca="1">OFFSET(V32,$E$12,,)</f>
        <v>0.39</v>
      </c>
    </row>
    <row r="33" spans="2:22" x14ac:dyDescent="0.2">
      <c r="B33" s="71" t="s">
        <v>158</v>
      </c>
      <c r="M33" s="75">
        <f>+M34-2%</f>
        <v>0.37035532994923859</v>
      </c>
      <c r="N33" s="75">
        <f t="shared" ref="N33:V33" si="7">+N34-2%</f>
        <v>0.37</v>
      </c>
      <c r="O33" s="75">
        <f t="shared" si="7"/>
        <v>0.37</v>
      </c>
      <c r="P33" s="75">
        <f t="shared" si="7"/>
        <v>0.36999999999999994</v>
      </c>
      <c r="Q33" s="75">
        <f t="shared" si="7"/>
        <v>0.37</v>
      </c>
      <c r="R33" s="75">
        <f t="shared" si="7"/>
        <v>0.37</v>
      </c>
      <c r="S33" s="75">
        <f t="shared" si="7"/>
        <v>0.37</v>
      </c>
      <c r="T33" s="75">
        <f t="shared" si="7"/>
        <v>0.37</v>
      </c>
      <c r="U33" s="75">
        <f t="shared" si="7"/>
        <v>0.37000000000000005</v>
      </c>
      <c r="V33" s="75">
        <f t="shared" si="7"/>
        <v>0.37</v>
      </c>
    </row>
    <row r="34" spans="2:22" x14ac:dyDescent="0.2">
      <c r="B34" s="71" t="s">
        <v>171</v>
      </c>
      <c r="M34" s="75">
        <f>+Model!W62</f>
        <v>0.39035532994923861</v>
      </c>
      <c r="N34" s="75">
        <f>+Model!X62</f>
        <v>0.39</v>
      </c>
      <c r="O34" s="75">
        <f>+Model!Y62</f>
        <v>0.39</v>
      </c>
      <c r="P34" s="75">
        <f>+Model!Z62</f>
        <v>0.38999999999999996</v>
      </c>
      <c r="Q34" s="75">
        <f>+Model!AA62</f>
        <v>0.39</v>
      </c>
      <c r="R34" s="75">
        <f>+Model!AB62</f>
        <v>0.39</v>
      </c>
      <c r="S34" s="75">
        <f>+Model!AC62</f>
        <v>0.39</v>
      </c>
      <c r="T34" s="75">
        <f>+Model!AD62</f>
        <v>0.39</v>
      </c>
      <c r="U34" s="75">
        <f>+Model!AE62</f>
        <v>0.39000000000000007</v>
      </c>
      <c r="V34" s="75">
        <f>+Model!AF62</f>
        <v>0.39</v>
      </c>
    </row>
    <row r="35" spans="2:22" x14ac:dyDescent="0.2">
      <c r="B35" s="71" t="s">
        <v>172</v>
      </c>
      <c r="M35" s="75">
        <f>+M34+2%</f>
        <v>0.41035532994923862</v>
      </c>
      <c r="N35" s="75">
        <f t="shared" ref="N35:V35" si="8">+N34+2%</f>
        <v>0.41000000000000003</v>
      </c>
      <c r="O35" s="75">
        <f t="shared" si="8"/>
        <v>0.41000000000000003</v>
      </c>
      <c r="P35" s="75">
        <f t="shared" si="8"/>
        <v>0.41</v>
      </c>
      <c r="Q35" s="75">
        <f t="shared" si="8"/>
        <v>0.41000000000000003</v>
      </c>
      <c r="R35" s="75">
        <f t="shared" si="8"/>
        <v>0.41000000000000003</v>
      </c>
      <c r="S35" s="75">
        <f t="shared" si="8"/>
        <v>0.41000000000000003</v>
      </c>
      <c r="T35" s="75">
        <f t="shared" si="8"/>
        <v>0.41000000000000003</v>
      </c>
      <c r="U35" s="75">
        <f t="shared" si="8"/>
        <v>0.41000000000000009</v>
      </c>
      <c r="V35" s="75">
        <f t="shared" si="8"/>
        <v>0.41000000000000003</v>
      </c>
    </row>
    <row r="37" spans="2:22" x14ac:dyDescent="0.2">
      <c r="B37" s="2" t="s">
        <v>174</v>
      </c>
      <c r="G37" s="5">
        <f>+Model!Q42</f>
        <v>2063</v>
      </c>
      <c r="H37" s="5">
        <f>+Model!R42</f>
        <v>2108</v>
      </c>
      <c r="I37" s="5">
        <f>+Model!S42</f>
        <v>2189</v>
      </c>
      <c r="J37" s="5">
        <f>+Model!T42</f>
        <v>2478</v>
      </c>
      <c r="K37" s="5">
        <f>+Model!U42</f>
        <v>-2872</v>
      </c>
      <c r="L37" s="5">
        <f>+Model!V42</f>
        <v>357</v>
      </c>
      <c r="M37" s="5">
        <f ca="1">M38*M31</f>
        <v>2144.7566597460745</v>
      </c>
      <c r="N37" s="5">
        <f t="shared" ref="N37:V37" ca="1" si="9">N38*N31</f>
        <v>2096.661441812018</v>
      </c>
      <c r="O37" s="5">
        <f t="shared" ca="1" si="9"/>
        <v>2157.2471111498244</v>
      </c>
      <c r="P37" s="5">
        <f t="shared" ca="1" si="9"/>
        <v>2220.4323462125581</v>
      </c>
      <c r="Q37" s="5">
        <f t="shared" ca="1" si="9"/>
        <v>2286.3739830758213</v>
      </c>
      <c r="R37" s="5">
        <f t="shared" ca="1" si="9"/>
        <v>2355.2399755893803</v>
      </c>
      <c r="S37" s="5">
        <f t="shared" ca="1" si="9"/>
        <v>2427.2102271852664</v>
      </c>
      <c r="T37" s="5">
        <f t="shared" ca="1" si="9"/>
        <v>2649.6872491500044</v>
      </c>
      <c r="U37" s="5">
        <f t="shared" ca="1" si="9"/>
        <v>2711.1355197300895</v>
      </c>
      <c r="V37" s="5">
        <f t="shared" ca="1" si="9"/>
        <v>2775.3040236307265</v>
      </c>
    </row>
    <row r="38" spans="2:22" x14ac:dyDescent="0.2">
      <c r="B38" s="72" t="s">
        <v>175</v>
      </c>
      <c r="G38" s="74">
        <f t="shared" ref="G38:L38" si="10">G37/G31</f>
        <v>0.22881543921916592</v>
      </c>
      <c r="H38" s="74">
        <f t="shared" si="10"/>
        <v>0.21160409556313994</v>
      </c>
      <c r="I38" s="74">
        <f t="shared" si="10"/>
        <v>0.21389486026968926</v>
      </c>
      <c r="J38" s="74">
        <f t="shared" si="10"/>
        <v>0.23548417751591752</v>
      </c>
      <c r="K38" s="74">
        <f t="shared" si="10"/>
        <v>0.18233762935686623</v>
      </c>
      <c r="L38" s="74">
        <f t="shared" si="10"/>
        <v>0.13048245614035087</v>
      </c>
      <c r="M38" s="74">
        <f>+Model!W64</f>
        <v>0.21239476620346892</v>
      </c>
      <c r="N38" s="74">
        <f>+Model!X64</f>
        <v>0.2166426615275383</v>
      </c>
      <c r="O38" s="74">
        <f>+Model!Y64</f>
        <v>0.22097551475808908</v>
      </c>
      <c r="P38" s="74">
        <f>+Model!Z64</f>
        <v>0.22539502505325087</v>
      </c>
      <c r="Q38" s="74">
        <f>+Model!AA64</f>
        <v>0.22990292555431591</v>
      </c>
      <c r="R38" s="74">
        <f>+Model!AB64</f>
        <v>0.23450098406540223</v>
      </c>
      <c r="S38" s="74">
        <f>+Model!AC64</f>
        <v>0.23919100374671029</v>
      </c>
      <c r="T38" s="74">
        <f>+Model!AD64</f>
        <v>0.24397482382164451</v>
      </c>
      <c r="U38" s="74">
        <f>+Model!AE64</f>
        <v>0.24885432029807741</v>
      </c>
      <c r="V38" s="74">
        <f>+Model!AF64</f>
        <v>0.25383140670403898</v>
      </c>
    </row>
    <row r="39" spans="2:22" x14ac:dyDescent="0.2">
      <c r="B39" s="72"/>
    </row>
    <row r="40" spans="2:22" x14ac:dyDescent="0.2">
      <c r="B40" s="76" t="s">
        <v>176</v>
      </c>
      <c r="C40" s="77"/>
      <c r="D40" s="77"/>
      <c r="E40" s="77"/>
      <c r="F40" s="77"/>
      <c r="G40" s="78">
        <f t="shared" ref="G40:V40" si="11">G31-G37</f>
        <v>6953</v>
      </c>
      <c r="H40" s="78">
        <f t="shared" si="11"/>
        <v>7854</v>
      </c>
      <c r="I40" s="78">
        <f t="shared" si="11"/>
        <v>8045</v>
      </c>
      <c r="J40" s="78">
        <f t="shared" si="11"/>
        <v>8045</v>
      </c>
      <c r="K40" s="78">
        <f t="shared" si="11"/>
        <v>-12879</v>
      </c>
      <c r="L40" s="78">
        <f t="shared" si="11"/>
        <v>2379</v>
      </c>
      <c r="M40" s="78">
        <f t="shared" ca="1" si="11"/>
        <v>7953.2165534518945</v>
      </c>
      <c r="N40" s="78">
        <f t="shared" ca="1" si="11"/>
        <v>7581.3097713763082</v>
      </c>
      <c r="O40" s="78">
        <f t="shared" ca="1" si="11"/>
        <v>7605.13363728491</v>
      </c>
      <c r="P40" s="78">
        <f t="shared" ca="1" si="11"/>
        <v>7630.8602707738555</v>
      </c>
      <c r="Q40" s="78">
        <f t="shared" ca="1" si="11"/>
        <v>7658.5798602177138</v>
      </c>
      <c r="R40" s="78">
        <f t="shared" ca="1" si="11"/>
        <v>7688.3851502331399</v>
      </c>
      <c r="S40" s="78">
        <f t="shared" ca="1" si="11"/>
        <v>7720.371367294535</v>
      </c>
      <c r="T40" s="78">
        <f t="shared" ca="1" si="11"/>
        <v>8210.8073201053594</v>
      </c>
      <c r="U40" s="78">
        <f t="shared" ca="1" si="11"/>
        <v>8183.3328442617221</v>
      </c>
      <c r="V40" s="79">
        <f t="shared" ca="1" si="11"/>
        <v>8158.3470153309772</v>
      </c>
    </row>
    <row r="42" spans="2:22" x14ac:dyDescent="0.2">
      <c r="B42" s="2" t="s">
        <v>374</v>
      </c>
      <c r="G42" s="5">
        <f>Model!Q109</f>
        <v>1512</v>
      </c>
      <c r="H42" s="5">
        <f>Model!R109</f>
        <v>1450</v>
      </c>
      <c r="I42" s="5">
        <f>Model!S109</f>
        <v>1076</v>
      </c>
      <c r="J42" s="5">
        <f>Model!T109</f>
        <v>1305</v>
      </c>
      <c r="K42" s="5">
        <f>Model!U109</f>
        <v>28614</v>
      </c>
      <c r="L42" s="5">
        <f>Model!V109</f>
        <v>3101</v>
      </c>
      <c r="M42" s="5">
        <f ca="1">M43*M25</f>
        <v>1448.6455199999998</v>
      </c>
      <c r="N42" s="5">
        <f t="shared" ref="N42:V42" ca="1" si="12">N43*N25</f>
        <v>1389.6574049706314</v>
      </c>
      <c r="O42" s="5">
        <f t="shared" ca="1" si="12"/>
        <v>1401.7777484931926</v>
      </c>
      <c r="P42" s="5">
        <f t="shared" ca="1" si="12"/>
        <v>1414.5445809006135</v>
      </c>
      <c r="Q42" s="5">
        <f t="shared" ca="1" si="12"/>
        <v>1427.9933723703537</v>
      </c>
      <c r="R42" s="5">
        <f t="shared" ca="1" si="12"/>
        <v>1442.1615565283619</v>
      </c>
      <c r="S42" s="5">
        <f t="shared" ca="1" si="12"/>
        <v>1457.0886392073562</v>
      </c>
      <c r="T42" s="5">
        <f t="shared" ca="1" si="12"/>
        <v>1559.4556304571804</v>
      </c>
      <c r="U42" s="5">
        <f t="shared" ca="1" si="12"/>
        <v>1564.3339189321573</v>
      </c>
      <c r="V42" s="5">
        <f t="shared" ca="1" si="12"/>
        <v>1569.9601491842445</v>
      </c>
    </row>
    <row r="43" spans="2:22" x14ac:dyDescent="0.2">
      <c r="B43" s="71" t="s">
        <v>173</v>
      </c>
      <c r="C43" s="73"/>
      <c r="D43" s="73"/>
      <c r="E43" s="73"/>
      <c r="F43" s="73"/>
      <c r="G43" s="80">
        <f t="shared" ref="G43:L43" si="13">G42/G25</f>
        <v>5.8430266259612784E-2</v>
      </c>
      <c r="H43" s="80">
        <f t="shared" si="13"/>
        <v>5.6253879577901927E-2</v>
      </c>
      <c r="I43" s="80">
        <f t="shared" si="13"/>
        <v>4.1893786014639466E-2</v>
      </c>
      <c r="J43" s="80">
        <f t="shared" si="13"/>
        <v>4.7188573494847223E-2</v>
      </c>
      <c r="K43" s="80">
        <f t="shared" si="13"/>
        <v>1.0487849576659458</v>
      </c>
      <c r="L43" s="80">
        <f t="shared" si="13"/>
        <v>0.11988247574129199</v>
      </c>
      <c r="M43" s="81">
        <v>5.6000000000000001E-2</v>
      </c>
      <c r="N43" s="81">
        <v>5.6000000000000001E-2</v>
      </c>
      <c r="O43" s="81">
        <v>5.6000000000000001E-2</v>
      </c>
      <c r="P43" s="81">
        <v>5.6000000000000001E-2</v>
      </c>
      <c r="Q43" s="81">
        <v>5.6000000000000001E-2</v>
      </c>
      <c r="R43" s="81">
        <v>5.6000000000000001E-2</v>
      </c>
      <c r="S43" s="81">
        <v>5.6000000000000001E-2</v>
      </c>
      <c r="T43" s="81">
        <v>5.6000000000000001E-2</v>
      </c>
      <c r="U43" s="81">
        <v>5.6000000000000001E-2</v>
      </c>
      <c r="V43" s="81">
        <v>5.6000000000000001E-2</v>
      </c>
    </row>
    <row r="45" spans="2:22" x14ac:dyDescent="0.2">
      <c r="B45" s="2" t="s">
        <v>92</v>
      </c>
      <c r="G45" s="5">
        <f>+Model!Q123+Model!Q124+Model!Q125+Model!Q126</f>
        <v>-781</v>
      </c>
      <c r="H45" s="5">
        <f>+Model!R123+Model!R124+Model!R125+Model!R126</f>
        <v>-711</v>
      </c>
      <c r="I45" s="5">
        <f>+Model!S123+Model!S124+Model!S125+Model!S126</f>
        <v>-714</v>
      </c>
      <c r="J45" s="5">
        <f>+Model!T123+Model!T124+Model!T125+Model!T126</f>
        <v>-622</v>
      </c>
      <c r="K45" s="5">
        <f>+Model!U123+Model!U124+Model!U125+Model!U126</f>
        <v>-520</v>
      </c>
      <c r="L45" s="5">
        <f>+Model!V123+Model!V124+Model!V125+Model!V126</f>
        <v>-424</v>
      </c>
      <c r="M45" s="5">
        <f ca="1">M46*M25</f>
        <v>-517.37339999999995</v>
      </c>
      <c r="N45" s="5">
        <f t="shared" ref="N45:V45" ca="1" si="14">N46*N25</f>
        <v>-496.30621606093979</v>
      </c>
      <c r="O45" s="5">
        <f t="shared" ca="1" si="14"/>
        <v>-500.63491017614018</v>
      </c>
      <c r="P45" s="5">
        <f t="shared" ca="1" si="14"/>
        <v>-505.19449317879054</v>
      </c>
      <c r="Q45" s="5">
        <f t="shared" ca="1" si="14"/>
        <v>-509.99763298941201</v>
      </c>
      <c r="R45" s="5">
        <f t="shared" ca="1" si="14"/>
        <v>-515.05769876012926</v>
      </c>
      <c r="S45" s="5">
        <f t="shared" ca="1" si="14"/>
        <v>-520.3887997169129</v>
      </c>
      <c r="T45" s="5">
        <f t="shared" ca="1" si="14"/>
        <v>-556.94843944899299</v>
      </c>
      <c r="U45" s="5">
        <f t="shared" ca="1" si="14"/>
        <v>-558.69068533291329</v>
      </c>
      <c r="V45" s="5">
        <f t="shared" ca="1" si="14"/>
        <v>-560.70005328008733</v>
      </c>
    </row>
    <row r="46" spans="2:22" x14ac:dyDescent="0.2">
      <c r="B46" s="71" t="s">
        <v>173</v>
      </c>
      <c r="G46" s="80">
        <f t="shared" ref="G46:L46" si="15">G45/G25</f>
        <v>-3.0181242029601575E-2</v>
      </c>
      <c r="H46" s="80">
        <f t="shared" si="15"/>
        <v>-2.7583798882681563E-2</v>
      </c>
      <c r="I46" s="80">
        <f t="shared" si="15"/>
        <v>-2.7799408191870423E-2</v>
      </c>
      <c r="J46" s="80">
        <f t="shared" si="15"/>
        <v>-2.2491412041222202E-2</v>
      </c>
      <c r="K46" s="80">
        <f t="shared" si="15"/>
        <v>-1.9059487593006633E-2</v>
      </c>
      <c r="L46" s="80">
        <f t="shared" si="15"/>
        <v>-1.6391541346116673E-2</v>
      </c>
      <c r="M46" s="81">
        <v>-0.02</v>
      </c>
      <c r="N46" s="81">
        <v>-0.02</v>
      </c>
      <c r="O46" s="81">
        <v>-0.02</v>
      </c>
      <c r="P46" s="81">
        <v>-0.02</v>
      </c>
      <c r="Q46" s="81">
        <v>-0.02</v>
      </c>
      <c r="R46" s="81">
        <v>-0.02</v>
      </c>
      <c r="S46" s="81">
        <v>-0.02</v>
      </c>
      <c r="T46" s="81">
        <v>-0.02</v>
      </c>
      <c r="U46" s="81">
        <v>-0.02</v>
      </c>
      <c r="V46" s="81">
        <v>-0.02</v>
      </c>
    </row>
    <row r="48" spans="2:22" x14ac:dyDescent="0.2">
      <c r="B48" s="2" t="s">
        <v>88</v>
      </c>
      <c r="G48" s="5">
        <f>+Model!Q117</f>
        <v>314</v>
      </c>
      <c r="H48" s="5">
        <f>+Model!R117</f>
        <v>109</v>
      </c>
      <c r="I48" s="5">
        <f>+Model!S117</f>
        <v>-62</v>
      </c>
      <c r="J48" s="5">
        <f>+Model!T117</f>
        <v>103</v>
      </c>
      <c r="K48" s="5">
        <f>+Model!U117</f>
        <v>-469</v>
      </c>
      <c r="L48" s="5">
        <f>+Model!V117</f>
        <v>5776</v>
      </c>
      <c r="M48" s="5">
        <f ca="1">M49*M25</f>
        <v>25.868669999999995</v>
      </c>
      <c r="N48" s="5">
        <f t="shared" ref="N48:V48" ca="1" si="16">N49*N25</f>
        <v>24.815310803046987</v>
      </c>
      <c r="O48" s="5">
        <f t="shared" ca="1" si="16"/>
        <v>25.03174550880701</v>
      </c>
      <c r="P48" s="5">
        <f t="shared" ca="1" si="16"/>
        <v>25.259724658939525</v>
      </c>
      <c r="Q48" s="5">
        <f t="shared" ca="1" si="16"/>
        <v>25.499881649470602</v>
      </c>
      <c r="R48" s="5">
        <f t="shared" ca="1" si="16"/>
        <v>25.75288493800646</v>
      </c>
      <c r="S48" s="5">
        <f t="shared" ca="1" si="16"/>
        <v>26.019439985845647</v>
      </c>
      <c r="T48" s="5">
        <f t="shared" ca="1" si="16"/>
        <v>27.847421972449652</v>
      </c>
      <c r="U48" s="5">
        <f t="shared" ca="1" si="16"/>
        <v>27.934534266645663</v>
      </c>
      <c r="V48" s="5">
        <f t="shared" ca="1" si="16"/>
        <v>28.035002664004367</v>
      </c>
    </row>
    <row r="49" spans="2:24" x14ac:dyDescent="0.2">
      <c r="B49" s="71" t="s">
        <v>173</v>
      </c>
      <c r="G49" s="80">
        <f t="shared" ref="G49:L49" si="17">G48/G25</f>
        <v>1.2134327781427522E-2</v>
      </c>
      <c r="H49" s="80">
        <f t="shared" si="17"/>
        <v>4.2287399130974549E-3</v>
      </c>
      <c r="I49" s="80">
        <f t="shared" si="17"/>
        <v>-2.4139542127394487E-3</v>
      </c>
      <c r="J49" s="80">
        <f t="shared" si="17"/>
        <v>3.7244621225818115E-3</v>
      </c>
      <c r="K49" s="80">
        <f t="shared" si="17"/>
        <v>-1.7190191694461752E-2</v>
      </c>
      <c r="L49" s="80">
        <f t="shared" si="17"/>
        <v>0.22329609154521204</v>
      </c>
      <c r="M49" s="81">
        <v>1E-3</v>
      </c>
      <c r="N49" s="81">
        <v>1E-3</v>
      </c>
      <c r="O49" s="81">
        <v>1E-3</v>
      </c>
      <c r="P49" s="81">
        <v>1E-3</v>
      </c>
      <c r="Q49" s="81">
        <v>1E-3</v>
      </c>
      <c r="R49" s="81">
        <v>1E-3</v>
      </c>
      <c r="S49" s="81">
        <v>1E-3</v>
      </c>
      <c r="T49" s="81">
        <v>1E-3</v>
      </c>
      <c r="U49" s="81">
        <v>1E-3</v>
      </c>
      <c r="V49" s="81">
        <v>1E-3</v>
      </c>
    </row>
    <row r="51" spans="2:24" x14ac:dyDescent="0.2">
      <c r="B51" s="82" t="s">
        <v>177</v>
      </c>
      <c r="C51" s="83"/>
      <c r="D51" s="83"/>
      <c r="E51" s="83"/>
      <c r="F51" s="83"/>
      <c r="G51" s="84">
        <f>G40+G42+G45+G48</f>
        <v>7998</v>
      </c>
      <c r="H51" s="84">
        <f t="shared" ref="H51:U51" si="18">H40+H42+H45+H48</f>
        <v>8702</v>
      </c>
      <c r="I51" s="84">
        <f t="shared" si="18"/>
        <v>8345</v>
      </c>
      <c r="J51" s="84">
        <f t="shared" si="18"/>
        <v>8831</v>
      </c>
      <c r="K51" s="84">
        <f t="shared" si="18"/>
        <v>14746</v>
      </c>
      <c r="L51" s="84">
        <f t="shared" si="18"/>
        <v>10832</v>
      </c>
      <c r="M51" s="84">
        <f ca="1">M40+M42+M45+M48</f>
        <v>8910.357343451893</v>
      </c>
      <c r="N51" s="84">
        <f t="shared" ca="1" si="18"/>
        <v>8499.4762710890463</v>
      </c>
      <c r="O51" s="84">
        <f t="shared" ca="1" si="18"/>
        <v>8531.3082211107685</v>
      </c>
      <c r="P51" s="84">
        <f t="shared" ca="1" si="18"/>
        <v>8565.4700831546179</v>
      </c>
      <c r="Q51" s="84">
        <f t="shared" ca="1" si="18"/>
        <v>8602.0754812481246</v>
      </c>
      <c r="R51" s="84">
        <f t="shared" ca="1" si="18"/>
        <v>8641.2418929393807</v>
      </c>
      <c r="S51" s="84">
        <f t="shared" ca="1" si="18"/>
        <v>8683.0906467708246</v>
      </c>
      <c r="T51" s="84">
        <f t="shared" ca="1" si="18"/>
        <v>9241.1619330859958</v>
      </c>
      <c r="U51" s="84">
        <f t="shared" ca="1" si="18"/>
        <v>9216.9106121276127</v>
      </c>
      <c r="V51" s="85">
        <f ca="1">V40+V42+V45+V48</f>
        <v>9195.6421138991391</v>
      </c>
    </row>
    <row r="52" spans="2:24" x14ac:dyDescent="0.2">
      <c r="B52" s="86" t="s">
        <v>178</v>
      </c>
      <c r="C52" s="87"/>
      <c r="D52" s="87"/>
      <c r="E52" s="87"/>
      <c r="F52" s="87"/>
      <c r="G52" s="88"/>
      <c r="H52" s="88"/>
      <c r="I52" s="88"/>
      <c r="J52" s="88"/>
      <c r="K52" s="88"/>
      <c r="L52" s="88"/>
      <c r="M52" s="88">
        <f ca="1">(M51/(1+$E$18)^M53)*M53</f>
        <v>4836.3694907666695</v>
      </c>
      <c r="N52" s="88">
        <f ca="1">N51/(1+$E$18)^N53</f>
        <v>7646.0864199563766</v>
      </c>
      <c r="O52" s="88">
        <f t="shared" ref="O52:U52" ca="1" si="19">O51/(1+$E$18)^O53</f>
        <v>7172.637647920893</v>
      </c>
      <c r="P52" s="88">
        <f t="shared" ca="1" si="19"/>
        <v>6730.2420506746348</v>
      </c>
      <c r="Q52" s="88">
        <f t="shared" ca="1" si="19"/>
        <v>6316.8265580803072</v>
      </c>
      <c r="R52" s="88">
        <f t="shared" ca="1" si="19"/>
        <v>5930.4560025400669</v>
      </c>
      <c r="S52" s="88">
        <f t="shared" ca="1" si="19"/>
        <v>5569.3239861669817</v>
      </c>
      <c r="T52" s="88">
        <f t="shared" ca="1" si="19"/>
        <v>5539.5049006579266</v>
      </c>
      <c r="U52" s="88">
        <f t="shared" ca="1" si="19"/>
        <v>5163.5212467125639</v>
      </c>
      <c r="V52" s="89">
        <f ca="1">V51/(1+$E$18)^V53</f>
        <v>4814.5851908548248</v>
      </c>
    </row>
    <row r="53" spans="2:24" x14ac:dyDescent="0.2">
      <c r="B53" s="2" t="s">
        <v>179</v>
      </c>
      <c r="M53" s="50">
        <f ca="1">YEARFRAC(E4,E5)</f>
        <v>0.56388888888888888</v>
      </c>
      <c r="N53" s="50">
        <f ca="1">M53+1</f>
        <v>1.5638888888888889</v>
      </c>
      <c r="O53" s="50">
        <f ca="1">N53+1</f>
        <v>2.5638888888888891</v>
      </c>
      <c r="P53" s="50">
        <f t="shared" ref="P53:V53" ca="1" si="20">O53+1</f>
        <v>3.5638888888888891</v>
      </c>
      <c r="Q53" s="50">
        <f t="shared" ca="1" si="20"/>
        <v>4.5638888888888891</v>
      </c>
      <c r="R53" s="50">
        <f t="shared" ca="1" si="20"/>
        <v>5.5638888888888891</v>
      </c>
      <c r="S53" s="50">
        <f t="shared" ca="1" si="20"/>
        <v>6.5638888888888891</v>
      </c>
      <c r="T53" s="50">
        <f t="shared" ca="1" si="20"/>
        <v>7.5638888888888891</v>
      </c>
      <c r="U53" s="50">
        <f t="shared" ca="1" si="20"/>
        <v>8.56388888888889</v>
      </c>
      <c r="V53" s="50">
        <f t="shared" ca="1" si="20"/>
        <v>9.56388888888889</v>
      </c>
    </row>
    <row r="54" spans="2:24" x14ac:dyDescent="0.2">
      <c r="B54" s="2" t="s">
        <v>180</v>
      </c>
      <c r="N54" s="51"/>
      <c r="O54" s="51"/>
      <c r="P54" s="51"/>
      <c r="Q54" s="51"/>
      <c r="V54" s="5">
        <f ca="1">SUM(M52:V52)</f>
        <v>59719.553494331238</v>
      </c>
    </row>
    <row r="55" spans="2:24" x14ac:dyDescent="0.2">
      <c r="B55" s="2" t="s">
        <v>181</v>
      </c>
      <c r="N55" s="51"/>
      <c r="O55" s="51"/>
      <c r="P55" s="51"/>
      <c r="Q55" s="51"/>
      <c r="V55" s="5">
        <f ca="1">+(V40*(1+E19))*(1-(E19/E20))/(E18-E19)</f>
        <v>122073.04422939682</v>
      </c>
      <c r="X55" s="35" t="s">
        <v>375</v>
      </c>
    </row>
    <row r="56" spans="2:24" x14ac:dyDescent="0.2">
      <c r="B56" s="24" t="s">
        <v>182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90"/>
      <c r="O56" s="90"/>
      <c r="P56" s="90"/>
      <c r="Q56" s="90"/>
      <c r="R56" s="90"/>
      <c r="S56" s="90"/>
      <c r="T56" s="90"/>
      <c r="U56" s="90"/>
      <c r="V56" s="91">
        <f ca="1">V55/(1+E18)^V53</f>
        <v>63914.087093610258</v>
      </c>
    </row>
    <row r="57" spans="2:24" x14ac:dyDescent="0.2">
      <c r="B57" s="92" t="s">
        <v>183</v>
      </c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3"/>
      <c r="O57" s="93"/>
      <c r="P57" s="93"/>
      <c r="Q57" s="93"/>
      <c r="R57" s="93"/>
      <c r="S57" s="93"/>
      <c r="T57" s="93"/>
      <c r="U57" s="93"/>
      <c r="V57" s="94">
        <f ca="1">V54+V56</f>
        <v>123633.6405879415</v>
      </c>
    </row>
    <row r="58" spans="2:24" x14ac:dyDescent="0.2">
      <c r="B58" s="2" t="s">
        <v>376</v>
      </c>
      <c r="N58" s="51"/>
      <c r="O58" s="51"/>
      <c r="P58" s="51"/>
      <c r="Q58" s="51"/>
      <c r="V58" s="95">
        <f>+Main!H6</f>
        <v>3827</v>
      </c>
    </row>
    <row r="59" spans="2:24" x14ac:dyDescent="0.2">
      <c r="B59" s="24" t="s">
        <v>377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90"/>
      <c r="O59" s="90"/>
      <c r="P59" s="90"/>
      <c r="Q59" s="90"/>
      <c r="R59" s="90"/>
      <c r="S59" s="90"/>
      <c r="T59" s="90"/>
      <c r="U59" s="90"/>
      <c r="V59" s="91">
        <f>+Main!H7</f>
        <v>35070</v>
      </c>
    </row>
    <row r="60" spans="2:24" x14ac:dyDescent="0.2">
      <c r="B60" s="2" t="s">
        <v>184</v>
      </c>
      <c r="N60" s="51"/>
      <c r="O60" s="51"/>
      <c r="P60" s="51"/>
      <c r="Q60" s="51"/>
      <c r="V60" s="95">
        <f ca="1">V57+V58-V59</f>
        <v>92390.640587941496</v>
      </c>
    </row>
    <row r="61" spans="2:24" x14ac:dyDescent="0.2">
      <c r="B61" s="24" t="s">
        <v>185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90"/>
      <c r="O61" s="90"/>
      <c r="P61" s="90"/>
      <c r="Q61" s="90"/>
      <c r="R61" s="90"/>
      <c r="S61" s="90"/>
      <c r="T61" s="90"/>
      <c r="U61" s="90"/>
      <c r="V61" s="91">
        <f>+Main!H4</f>
        <v>2187</v>
      </c>
    </row>
    <row r="62" spans="2:24" x14ac:dyDescent="0.2">
      <c r="B62" s="2" t="s">
        <v>151</v>
      </c>
      <c r="V62" s="95">
        <f ca="1">V60/V61</f>
        <v>42.245377497915634</v>
      </c>
    </row>
    <row r="66" spans="1:22" x14ac:dyDescent="0.2">
      <c r="A66" s="8" t="s">
        <v>7</v>
      </c>
      <c r="B66" s="65" t="s">
        <v>186</v>
      </c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8" spans="1:22" x14ac:dyDescent="0.2">
      <c r="B68" s="96"/>
      <c r="C68" s="103" t="s">
        <v>167</v>
      </c>
      <c r="D68" s="103"/>
      <c r="E68" s="103"/>
      <c r="F68" s="103"/>
      <c r="G68" s="103"/>
      <c r="H68" s="103"/>
      <c r="I68" s="103"/>
      <c r="J68" s="104"/>
      <c r="M68" s="96"/>
      <c r="N68" s="105" t="s">
        <v>378</v>
      </c>
      <c r="O68" s="105"/>
      <c r="P68" s="105"/>
      <c r="Q68" s="105"/>
      <c r="R68" s="105"/>
      <c r="S68" s="105"/>
      <c r="T68" s="105"/>
      <c r="U68" s="106"/>
    </row>
    <row r="69" spans="1:22" x14ac:dyDescent="0.2">
      <c r="B69" s="107" t="s">
        <v>166</v>
      </c>
      <c r="C69" s="97">
        <f ca="1">+J4</f>
        <v>42.245377497915634</v>
      </c>
      <c r="D69" s="98">
        <v>-5.0000000000000001E-3</v>
      </c>
      <c r="E69" s="98">
        <v>0</v>
      </c>
      <c r="F69" s="98">
        <v>5.0000000000000001E-3</v>
      </c>
      <c r="G69" s="98">
        <v>0.01</v>
      </c>
      <c r="H69" s="98">
        <v>1.4999999999999999E-2</v>
      </c>
      <c r="I69" s="98">
        <v>0.02</v>
      </c>
      <c r="J69" s="98">
        <v>2.5000000000000001E-2</v>
      </c>
      <c r="M69" s="107" t="s">
        <v>166</v>
      </c>
      <c r="N69" s="97">
        <f ca="1">+J4</f>
        <v>42.245377497915634</v>
      </c>
      <c r="O69" s="98">
        <f t="shared" ref="O69:P69" si="21">+P69-1%</f>
        <v>6.0000000000000005E-2</v>
      </c>
      <c r="P69" s="98">
        <f t="shared" si="21"/>
        <v>7.0000000000000007E-2</v>
      </c>
      <c r="Q69" s="98">
        <f>+R69-1%</f>
        <v>0.08</v>
      </c>
      <c r="R69" s="98">
        <v>0.09</v>
      </c>
      <c r="S69" s="98">
        <f>+R69+1%</f>
        <v>9.9999999999999992E-2</v>
      </c>
      <c r="T69" s="98">
        <f t="shared" ref="T69:U69" si="22">+S69+1%</f>
        <v>0.10999999999999999</v>
      </c>
      <c r="U69" s="98">
        <f t="shared" si="22"/>
        <v>0.11999999999999998</v>
      </c>
    </row>
    <row r="70" spans="1:22" x14ac:dyDescent="0.2">
      <c r="B70" s="107"/>
      <c r="C70" s="99">
        <f>+C71-1%</f>
        <v>0.04</v>
      </c>
      <c r="D70" s="49">
        <f t="dataTable" ref="D70:J76" dt2D="1" dtr="1" r1="E19" r2="E18" ca="1"/>
        <v>76.959557683234934</v>
      </c>
      <c r="E70" s="49">
        <v>81.216381659468041</v>
      </c>
      <c r="F70" s="49">
        <v>86.648749166046997</v>
      </c>
      <c r="G70" s="100">
        <v>93.844431968144747</v>
      </c>
      <c r="H70" s="49">
        <v>103.86141924307252</v>
      </c>
      <c r="I70" s="49">
        <v>118.8156893454528</v>
      </c>
      <c r="J70" s="49">
        <v>143.64452510273821</v>
      </c>
      <c r="M70" s="107"/>
      <c r="N70" s="99">
        <f>+N71-1%</f>
        <v>0.04</v>
      </c>
      <c r="O70" s="49">
        <f t="dataTable" ref="O70:U76" dt2D="1" dtr="1" r1="E20" r2="E18" ca="1"/>
        <v>89.049570760714886</v>
      </c>
      <c r="P70" s="49">
        <v>91.10451127818483</v>
      </c>
      <c r="Q70" s="49">
        <v>92.645716666287285</v>
      </c>
      <c r="R70" s="100">
        <v>93.844431968144747</v>
      </c>
      <c r="S70" s="49">
        <v>94.803404209630727</v>
      </c>
      <c r="T70" s="49">
        <v>95.588017861755617</v>
      </c>
      <c r="U70" s="49">
        <v>96.241862571859684</v>
      </c>
    </row>
    <row r="71" spans="1:22" x14ac:dyDescent="0.2">
      <c r="B71" s="107"/>
      <c r="C71" s="99">
        <f>+C72-1%</f>
        <v>0.05</v>
      </c>
      <c r="D71" s="49">
        <v>60.332220782386521</v>
      </c>
      <c r="E71" s="49">
        <v>62.447117337667514</v>
      </c>
      <c r="F71" s="49">
        <v>65.003109636321824</v>
      </c>
      <c r="G71" s="100">
        <v>68.165608582114473</v>
      </c>
      <c r="H71" s="49">
        <v>72.194545595247561</v>
      </c>
      <c r="I71" s="49">
        <v>77.52313970939133</v>
      </c>
      <c r="J71" s="49">
        <v>84.93118518515216</v>
      </c>
      <c r="M71" s="107"/>
      <c r="N71" s="99">
        <f>+N72-1%</f>
        <v>0.05</v>
      </c>
      <c r="O71" s="49">
        <v>64.883974402062535</v>
      </c>
      <c r="P71" s="49">
        <v>66.290389050656216</v>
      </c>
      <c r="Q71" s="49">
        <v>67.345200037101492</v>
      </c>
      <c r="R71" s="100">
        <v>68.165608582114473</v>
      </c>
      <c r="S71" s="49">
        <v>68.821935418124866</v>
      </c>
      <c r="T71" s="49">
        <v>69.358930102133357</v>
      </c>
      <c r="U71" s="49">
        <v>69.806425672140435</v>
      </c>
    </row>
    <row r="72" spans="1:22" x14ac:dyDescent="0.2">
      <c r="B72" s="107"/>
      <c r="C72" s="99">
        <f>+C73-1%</f>
        <v>6.0000000000000005E-2</v>
      </c>
      <c r="D72" s="100">
        <v>48.817745284431403</v>
      </c>
      <c r="E72" s="100">
        <v>49.904326046081756</v>
      </c>
      <c r="F72" s="100">
        <v>51.166884746211778</v>
      </c>
      <c r="G72" s="100">
        <v>52.658214766365361</v>
      </c>
      <c r="H72" s="100">
        <v>54.454573213217003</v>
      </c>
      <c r="I72" s="100">
        <v>56.670345746778509</v>
      </c>
      <c r="J72" s="100">
        <v>59.485281261354118</v>
      </c>
      <c r="M72" s="107"/>
      <c r="N72" s="99">
        <f>+N73-1%</f>
        <v>6.0000000000000005E-2</v>
      </c>
      <c r="O72" s="100">
        <v>50.260432346118421</v>
      </c>
      <c r="P72" s="100">
        <v>51.288053383367114</v>
      </c>
      <c r="Q72" s="100">
        <v>52.058769161303623</v>
      </c>
      <c r="R72" s="100">
        <v>52.658214766365361</v>
      </c>
      <c r="S72" s="100">
        <v>53.137771250414751</v>
      </c>
      <c r="T72" s="100">
        <v>53.53013564645515</v>
      </c>
      <c r="U72" s="100">
        <v>53.857105976488825</v>
      </c>
    </row>
    <row r="73" spans="1:22" x14ac:dyDescent="0.2">
      <c r="B73" s="107"/>
      <c r="C73" s="99">
        <v>7.0000000000000007E-2</v>
      </c>
      <c r="D73" s="49">
        <v>40.371823536246886</v>
      </c>
      <c r="E73" s="49">
        <v>40.92262566618038</v>
      </c>
      <c r="F73" s="49">
        <v>41.541473202842582</v>
      </c>
      <c r="G73" s="100">
        <v>42.245377497915634</v>
      </c>
      <c r="H73" s="49">
        <v>43.057535849147968</v>
      </c>
      <c r="I73" s="49">
        <v>44.010424473387367</v>
      </c>
      <c r="J73" s="49">
        <v>45.150953461636163</v>
      </c>
      <c r="M73" s="107"/>
      <c r="N73" s="99">
        <v>7.0000000000000007E-2</v>
      </c>
      <c r="O73" s="49">
        <v>40.418843230265601</v>
      </c>
      <c r="P73" s="49">
        <v>41.201643630687038</v>
      </c>
      <c r="Q73" s="49">
        <v>41.788743931003133</v>
      </c>
      <c r="R73" s="100">
        <v>42.245377497915634</v>
      </c>
      <c r="S73" s="49">
        <v>42.610684351445649</v>
      </c>
      <c r="T73" s="49">
        <v>42.909571777061103</v>
      </c>
      <c r="U73" s="49">
        <v>43.158644631740657</v>
      </c>
    </row>
    <row r="74" spans="1:22" x14ac:dyDescent="0.2">
      <c r="B74" s="107"/>
      <c r="C74" s="99">
        <f>+C73+1%</f>
        <v>0.08</v>
      </c>
      <c r="D74" s="49">
        <v>33.912060854225224</v>
      </c>
      <c r="E74" s="49">
        <v>34.168996025149028</v>
      </c>
      <c r="F74" s="49">
        <v>34.446953164602952</v>
      </c>
      <c r="G74" s="100">
        <v>34.75043698012918</v>
      </c>
      <c r="H74" s="49">
        <v>35.085338243129009</v>
      </c>
      <c r="I74" s="49">
        <v>35.459511315470834</v>
      </c>
      <c r="J74" s="49">
        <v>35.88366669061157</v>
      </c>
      <c r="M74" s="107"/>
      <c r="N74" s="99">
        <f>+N73+1%</f>
        <v>0.08</v>
      </c>
      <c r="O74" s="49">
        <v>33.31810682273904</v>
      </c>
      <c r="P74" s="49">
        <v>33.931962604477675</v>
      </c>
      <c r="Q74" s="49">
        <v>34.392354440781645</v>
      </c>
      <c r="R74" s="100">
        <v>34.75043698012918</v>
      </c>
      <c r="S74" s="49">
        <v>35.036903011607208</v>
      </c>
      <c r="T74" s="49">
        <v>35.271284310089229</v>
      </c>
      <c r="U74" s="49">
        <v>35.46660205882425</v>
      </c>
    </row>
    <row r="75" spans="1:22" x14ac:dyDescent="0.2">
      <c r="B75" s="107"/>
      <c r="C75" s="99">
        <f>+C74+1%</f>
        <v>0.09</v>
      </c>
      <c r="D75" s="49">
        <v>28.811719972142431</v>
      </c>
      <c r="E75" s="49">
        <v>28.902614558614424</v>
      </c>
      <c r="F75" s="49">
        <v>28.993509145086428</v>
      </c>
      <c r="G75" s="100">
        <v>29.084403731558428</v>
      </c>
      <c r="H75" s="49">
        <v>29.175298318030425</v>
      </c>
      <c r="I75" s="49">
        <v>29.266192904502429</v>
      </c>
      <c r="J75" s="49">
        <v>29.357087490974422</v>
      </c>
      <c r="M75" s="107"/>
      <c r="N75" s="99">
        <f>+N74+1%</f>
        <v>0.09</v>
      </c>
      <c r="O75" s="49">
        <v>27.936859577349434</v>
      </c>
      <c r="P75" s="49">
        <v>28.428664214867577</v>
      </c>
      <c r="Q75" s="49">
        <v>28.797517693006178</v>
      </c>
      <c r="R75" s="100">
        <v>29.084403731558428</v>
      </c>
      <c r="S75" s="49">
        <v>29.313912562400226</v>
      </c>
      <c r="T75" s="49">
        <v>29.501692514907145</v>
      </c>
      <c r="U75" s="49">
        <v>29.658175808662921</v>
      </c>
    </row>
    <row r="76" spans="1:22" x14ac:dyDescent="0.2">
      <c r="B76" s="108"/>
      <c r="C76" s="99">
        <f>+C75+1%</f>
        <v>9.9999999999999992E-2</v>
      </c>
      <c r="D76" s="49">
        <v>24.682752535264644</v>
      </c>
      <c r="E76" s="49">
        <v>24.678786226226855</v>
      </c>
      <c r="F76" s="49">
        <v>24.665634780469972</v>
      </c>
      <c r="G76" s="100">
        <v>24.641767341874154</v>
      </c>
      <c r="H76" s="49">
        <v>24.605292852879582</v>
      </c>
      <c r="I76" s="49">
        <v>24.553847491536494</v>
      </c>
      <c r="J76" s="49">
        <v>24.484437083375184</v>
      </c>
      <c r="M76" s="108"/>
      <c r="N76" s="99">
        <f>+N75+1%</f>
        <v>9.9999999999999992E-2</v>
      </c>
      <c r="O76" s="49">
        <v>23.707040511968483</v>
      </c>
      <c r="P76" s="49">
        <v>24.107637724785203</v>
      </c>
      <c r="Q76" s="49">
        <v>24.408085634397739</v>
      </c>
      <c r="R76" s="100">
        <v>24.641767341874154</v>
      </c>
      <c r="S76" s="49">
        <v>24.828712707855288</v>
      </c>
      <c r="T76" s="49">
        <v>24.981668007294399</v>
      </c>
      <c r="U76" s="49">
        <v>25.109130756826982</v>
      </c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3" operator="lessThan">
      <formula>$J$3</formula>
    </cfRule>
    <cfRule type="cellIs" dxfId="2" priority="4" operator="greaterThan">
      <formula>$J$3</formula>
    </cfRule>
  </conditionalFormatting>
  <conditionalFormatting sqref="O70:U76">
    <cfRule type="cellIs" dxfId="1" priority="1" operator="lessThan">
      <formula>$J$3</formula>
    </cfRule>
    <cfRule type="cellIs" dxfId="0" priority="2" operator="greaterThan">
      <formula>$J$3</formula>
    </cfRule>
  </conditionalFormatting>
  <dataValidations count="1">
    <dataValidation type="list" allowBlank="1" showInputMessage="1" showErrorMessage="1" sqref="E11:E15" xr:uid="{B2A6B458-245E-406E-964E-4E444EBDAF3B}">
      <formula1>"1,2,3"</formula1>
    </dataValidation>
  </dataValidations>
  <hyperlinks>
    <hyperlink ref="A1" location="Main!A1" display="Main" xr:uid="{C5B508B1-5D28-48F9-A1FF-D4CCE42365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Products</vt:lpstr>
      <vt:lpstr>Model</vt:lpstr>
      <vt:lpstr>Ratios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cp:lastPrinted>2024-08-05T16:52:26Z</cp:lastPrinted>
  <dcterms:created xsi:type="dcterms:W3CDTF">2024-07-25T14:14:38Z</dcterms:created>
  <dcterms:modified xsi:type="dcterms:W3CDTF">2026-07-23T09:20:44Z</dcterms:modified>
</cp:coreProperties>
</file>