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B4D76769-9489-4E01-8D4B-4A68DA1C5BAD}" xr6:coauthVersionLast="47" xr6:coauthVersionMax="47" xr10:uidLastSave="{00000000-0000-0000-0000-000000000000}"/>
  <bookViews>
    <workbookView xWindow="-120" yWindow="-120" windowWidth="38640" windowHeight="21120" xr2:uid="{00BE0985-5336-41E3-B925-F565FA10FCAA}"/>
  </bookViews>
  <sheets>
    <sheet name="Main" sheetId="1" r:id="rId1"/>
    <sheet name="Brands" sheetId="6" r:id="rId2"/>
    <sheet name="Macro" sheetId="9" r:id="rId3"/>
    <sheet name="Model" sheetId="2" r:id="rId4"/>
    <sheet name="Quart" sheetId="10" r:id="rId5"/>
    <sheet name="Ratios" sheetId="7" r:id="rId6"/>
    <sheet name="DCF" sheetId="5" r:id="rId7"/>
    <sheet name="CoC" sheetId="8" r:id="rId8"/>
    <sheet name="TradingComps" sheetId="3" r:id="rId9"/>
  </sheets>
  <definedNames>
    <definedName name="WACC">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7" l="1"/>
  <c r="K60" i="7"/>
  <c r="K59" i="7"/>
  <c r="K58" i="7"/>
  <c r="K56" i="7"/>
  <c r="K55" i="7"/>
  <c r="K54" i="7"/>
  <c r="K53" i="7"/>
  <c r="K51" i="7"/>
  <c r="K52" i="7" s="1"/>
  <c r="K46" i="7"/>
  <c r="K47" i="7" s="1"/>
  <c r="K45" i="7"/>
  <c r="K44" i="7"/>
  <c r="K43" i="7"/>
  <c r="K42" i="7"/>
  <c r="K38" i="7"/>
  <c r="K37" i="7"/>
  <c r="K36" i="7"/>
  <c r="K35" i="7"/>
  <c r="K29" i="7"/>
  <c r="K32" i="7" s="1"/>
  <c r="K28" i="7"/>
  <c r="K30" i="7" s="1"/>
  <c r="K25" i="7"/>
  <c r="K24" i="7"/>
  <c r="K23" i="7"/>
  <c r="K22" i="7"/>
  <c r="K21" i="7"/>
  <c r="K14" i="7"/>
  <c r="K12" i="7"/>
  <c r="K15" i="7" s="1"/>
  <c r="K17" i="7" s="1"/>
  <c r="K11" i="7"/>
  <c r="K18" i="7" s="1"/>
  <c r="K10" i="7"/>
  <c r="K7" i="7"/>
  <c r="K6" i="7"/>
  <c r="K5" i="7"/>
  <c r="K4" i="7"/>
  <c r="R10" i="10"/>
  <c r="R9" i="10"/>
  <c r="R8" i="10"/>
  <c r="R7" i="10"/>
  <c r="R6" i="10"/>
  <c r="R5" i="10"/>
  <c r="R4" i="10"/>
  <c r="H36" i="2"/>
  <c r="H34" i="2"/>
  <c r="H32" i="2"/>
  <c r="H30" i="2"/>
  <c r="H35" i="2"/>
  <c r="H33" i="2"/>
  <c r="H31" i="2"/>
  <c r="H29" i="2"/>
  <c r="H127" i="2"/>
  <c r="H125" i="2"/>
  <c r="H124" i="2"/>
  <c r="H123" i="2"/>
  <c r="H122" i="2"/>
  <c r="H121" i="2"/>
  <c r="H120" i="2"/>
  <c r="H119" i="2"/>
  <c r="H118" i="2"/>
  <c r="H116" i="2"/>
  <c r="H115" i="2"/>
  <c r="H114" i="2"/>
  <c r="H113" i="2"/>
  <c r="H112" i="2"/>
  <c r="H111" i="2"/>
  <c r="H110" i="2"/>
  <c r="H105" i="2"/>
  <c r="H108" i="2"/>
  <c r="H107" i="2"/>
  <c r="H103" i="2"/>
  <c r="H102" i="2"/>
  <c r="H101" i="2"/>
  <c r="H100" i="2"/>
  <c r="H99" i="2"/>
  <c r="H98" i="2"/>
  <c r="H96" i="2"/>
  <c r="H95" i="2"/>
  <c r="H94" i="2"/>
  <c r="H93" i="2"/>
  <c r="H92" i="2"/>
  <c r="H91" i="2"/>
  <c r="H90" i="2"/>
  <c r="H89" i="2"/>
  <c r="H158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3" i="2"/>
  <c r="H142" i="2"/>
  <c r="H141" i="2"/>
  <c r="H140" i="2"/>
  <c r="H139" i="2"/>
  <c r="H157" i="2" s="1"/>
  <c r="H159" i="2" s="1"/>
  <c r="H138" i="2"/>
  <c r="H137" i="2"/>
  <c r="H136" i="2"/>
  <c r="H135" i="2"/>
  <c r="H134" i="2"/>
  <c r="H133" i="2"/>
  <c r="H132" i="2"/>
  <c r="H68" i="2"/>
  <c r="H65" i="2"/>
  <c r="H63" i="2"/>
  <c r="H62" i="2"/>
  <c r="H61" i="2"/>
  <c r="H59" i="2"/>
  <c r="H57" i="2"/>
  <c r="H55" i="2"/>
  <c r="H54" i="2"/>
  <c r="H53" i="2"/>
  <c r="H52" i="2"/>
  <c r="H51" i="2"/>
  <c r="H50" i="2"/>
  <c r="H48" i="2"/>
  <c r="H47" i="2"/>
  <c r="H45" i="2"/>
  <c r="H43" i="2"/>
  <c r="H42" i="2"/>
  <c r="H41" i="2"/>
  <c r="H40" i="2"/>
  <c r="H39" i="2"/>
  <c r="H38" i="2"/>
  <c r="H27" i="2"/>
  <c r="H26" i="2"/>
  <c r="H24" i="2"/>
  <c r="H23" i="2"/>
  <c r="H22" i="2"/>
  <c r="H21" i="2"/>
  <c r="H20" i="2"/>
  <c r="H18" i="2"/>
  <c r="H16" i="2"/>
  <c r="H15" i="2"/>
  <c r="H14" i="2"/>
  <c r="H13" i="2"/>
  <c r="H12" i="2"/>
  <c r="AB147" i="2"/>
  <c r="AB154" i="2" s="1"/>
  <c r="AB142" i="2"/>
  <c r="AB141" i="2"/>
  <c r="AB140" i="2"/>
  <c r="AB144" i="2" s="1"/>
  <c r="AB139" i="2"/>
  <c r="H6" i="1"/>
  <c r="V59" i="5" s="1"/>
  <c r="AB126" i="2"/>
  <c r="AB128" i="2" s="1"/>
  <c r="AB117" i="2"/>
  <c r="AB109" i="2"/>
  <c r="AB104" i="2"/>
  <c r="AB106" i="2" s="1"/>
  <c r="AB97" i="2"/>
  <c r="AB49" i="2"/>
  <c r="AB46" i="2"/>
  <c r="AB56" i="2" s="1"/>
  <c r="AB58" i="2" s="1"/>
  <c r="AB60" i="2" s="1"/>
  <c r="AB64" i="2" s="1"/>
  <c r="AB66" i="2" s="1"/>
  <c r="AB68" i="2" s="1"/>
  <c r="AB36" i="2"/>
  <c r="AB34" i="2"/>
  <c r="AB30" i="2"/>
  <c r="AB27" i="2"/>
  <c r="AB26" i="2"/>
  <c r="P9" i="10"/>
  <c r="P8" i="10"/>
  <c r="P7" i="10"/>
  <c r="P6" i="10"/>
  <c r="P5" i="10"/>
  <c r="P4" i="10"/>
  <c r="G146" i="2"/>
  <c r="G154" i="2" s="1"/>
  <c r="G142" i="2"/>
  <c r="G141" i="2"/>
  <c r="G140" i="2"/>
  <c r="G139" i="2"/>
  <c r="D69" i="2"/>
  <c r="G36" i="2"/>
  <c r="G34" i="2"/>
  <c r="G32" i="2"/>
  <c r="G30" i="2"/>
  <c r="G27" i="2"/>
  <c r="G26" i="2"/>
  <c r="G17" i="2"/>
  <c r="V28" i="5"/>
  <c r="V26" i="5" s="1" a="1"/>
  <c r="V26" i="5" s="1"/>
  <c r="U28" i="5"/>
  <c r="U26" i="5" s="1" a="1"/>
  <c r="U26" i="5" s="1"/>
  <c r="T28" i="5"/>
  <c r="T26" i="5" s="1" a="1"/>
  <c r="T26" i="5" s="1"/>
  <c r="S28" i="5"/>
  <c r="S26" i="5" s="1" a="1"/>
  <c r="S26" i="5" s="1"/>
  <c r="R28" i="5"/>
  <c r="R26" i="5" s="1" a="1"/>
  <c r="R26" i="5" s="1"/>
  <c r="N33" i="5"/>
  <c r="V29" i="5"/>
  <c r="AC85" i="2"/>
  <c r="N34" i="5" s="1"/>
  <c r="N32" i="5" s="1" a="1"/>
  <c r="N32" i="5" s="1"/>
  <c r="O49" i="5"/>
  <c r="P49" i="5" s="1"/>
  <c r="Q49" i="5" s="1"/>
  <c r="R49" i="5" s="1"/>
  <c r="S49" i="5" s="1"/>
  <c r="T49" i="5" s="1"/>
  <c r="U49" i="5" s="1"/>
  <c r="V49" i="5" s="1"/>
  <c r="N49" i="5"/>
  <c r="O46" i="5"/>
  <c r="P46" i="5" s="1"/>
  <c r="Q46" i="5" s="1"/>
  <c r="R46" i="5" s="1"/>
  <c r="S46" i="5" s="1"/>
  <c r="T46" i="5" s="1"/>
  <c r="U46" i="5" s="1"/>
  <c r="V46" i="5" s="1"/>
  <c r="N46" i="5"/>
  <c r="O43" i="5"/>
  <c r="P43" i="5" s="1"/>
  <c r="Q43" i="5" s="1"/>
  <c r="R43" i="5" s="1"/>
  <c r="S43" i="5" s="1"/>
  <c r="T43" i="5" s="1"/>
  <c r="U43" i="5" s="1"/>
  <c r="V43" i="5" s="1"/>
  <c r="N43" i="5"/>
  <c r="V34" i="5"/>
  <c r="V32" i="5" s="1" a="1"/>
  <c r="V32" i="5" s="1"/>
  <c r="U34" i="5"/>
  <c r="U32" i="5" s="1" a="1"/>
  <c r="U32" i="5" s="1"/>
  <c r="T34" i="5"/>
  <c r="T32" i="5" s="1" a="1"/>
  <c r="T32" i="5" s="1"/>
  <c r="M34" i="5"/>
  <c r="M32" i="5" s="1" a="1"/>
  <c r="M32" i="5" s="1"/>
  <c r="V58" i="5"/>
  <c r="V61" i="5"/>
  <c r="L42" i="5"/>
  <c r="K42" i="5"/>
  <c r="J42" i="5"/>
  <c r="I42" i="5"/>
  <c r="H42" i="5"/>
  <c r="G42" i="5"/>
  <c r="L48" i="5"/>
  <c r="K48" i="5"/>
  <c r="J48" i="5"/>
  <c r="I48" i="5"/>
  <c r="H48" i="5"/>
  <c r="G48" i="5"/>
  <c r="J45" i="5"/>
  <c r="I45" i="5"/>
  <c r="H45" i="5"/>
  <c r="G45" i="5"/>
  <c r="L37" i="5"/>
  <c r="K37" i="5"/>
  <c r="J37" i="5"/>
  <c r="I37" i="5"/>
  <c r="H37" i="5"/>
  <c r="G37" i="5"/>
  <c r="J31" i="5"/>
  <c r="I31" i="5"/>
  <c r="H31" i="5"/>
  <c r="H40" i="5" s="1"/>
  <c r="G31" i="5"/>
  <c r="J3" i="5"/>
  <c r="O3" i="5" s="1"/>
  <c r="H24" i="5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E20" i="5"/>
  <c r="E19" i="5"/>
  <c r="E18" i="5"/>
  <c r="O4" i="5"/>
  <c r="E4" i="5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K31" i="7" l="1"/>
  <c r="K16" i="7"/>
  <c r="K13" i="7"/>
  <c r="AB157" i="2"/>
  <c r="AB159" i="2" s="1"/>
  <c r="V35" i="5"/>
  <c r="R27" i="5"/>
  <c r="U35" i="5"/>
  <c r="G18" i="2"/>
  <c r="J40" i="5"/>
  <c r="J51" i="5" s="1"/>
  <c r="V27" i="5"/>
  <c r="R29" i="5"/>
  <c r="T35" i="5"/>
  <c r="T27" i="5"/>
  <c r="I40" i="5"/>
  <c r="I51" i="5" s="1"/>
  <c r="S29" i="5"/>
  <c r="AD85" i="2"/>
  <c r="S27" i="5"/>
  <c r="U27" i="5"/>
  <c r="T29" i="5"/>
  <c r="U29" i="5"/>
  <c r="U33" i="5"/>
  <c r="J38" i="5"/>
  <c r="M33" i="5"/>
  <c r="V33" i="5"/>
  <c r="H38" i="5"/>
  <c r="I38" i="5"/>
  <c r="T33" i="5"/>
  <c r="M35" i="5"/>
  <c r="N35" i="5"/>
  <c r="H51" i="5"/>
  <c r="G38" i="5"/>
  <c r="G40" i="5"/>
  <c r="G51" i="5" s="1"/>
  <c r="O5" i="5"/>
  <c r="AE85" i="2" l="1"/>
  <c r="O34" i="5"/>
  <c r="AB161" i="2"/>
  <c r="Y161" i="2"/>
  <c r="X161" i="2"/>
  <c r="W161" i="2"/>
  <c r="V161" i="2"/>
  <c r="U161" i="2"/>
  <c r="T161" i="2"/>
  <c r="S161" i="2"/>
  <c r="R161" i="2"/>
  <c r="O161" i="2"/>
  <c r="N161" i="2"/>
  <c r="H161" i="2"/>
  <c r="G161" i="2"/>
  <c r="F161" i="2"/>
  <c r="J142" i="2"/>
  <c r="J141" i="2"/>
  <c r="J140" i="2"/>
  <c r="K142" i="2"/>
  <c r="K141" i="2"/>
  <c r="K140" i="2"/>
  <c r="K144" i="2" s="1"/>
  <c r="J137" i="2"/>
  <c r="J139" i="2" s="1"/>
  <c r="J161" i="2" s="1"/>
  <c r="K137" i="2"/>
  <c r="K139" i="2" s="1"/>
  <c r="K161" i="2" s="1"/>
  <c r="J121" i="2"/>
  <c r="J126" i="2" s="1"/>
  <c r="J128" i="2" s="1"/>
  <c r="K121" i="2"/>
  <c r="K126" i="2"/>
  <c r="K128" i="2" s="1"/>
  <c r="J109" i="2"/>
  <c r="J99" i="2"/>
  <c r="J104" i="2" s="1"/>
  <c r="J106" i="2" s="1"/>
  <c r="K99" i="2"/>
  <c r="J49" i="2"/>
  <c r="K49" i="2"/>
  <c r="K46" i="2"/>
  <c r="K79" i="2" s="1"/>
  <c r="J46" i="2"/>
  <c r="J56" i="2" s="1"/>
  <c r="J58" i="2" s="1"/>
  <c r="J60" i="2" s="1"/>
  <c r="J64" i="2" s="1"/>
  <c r="J66" i="2" s="1"/>
  <c r="J68" i="2" s="1"/>
  <c r="L159" i="2"/>
  <c r="M154" i="2"/>
  <c r="L154" i="2"/>
  <c r="K154" i="2"/>
  <c r="J154" i="2"/>
  <c r="L142" i="2"/>
  <c r="L141" i="2"/>
  <c r="L144" i="2" s="1"/>
  <c r="M142" i="2"/>
  <c r="M141" i="2"/>
  <c r="L137" i="2"/>
  <c r="L139" i="2" s="1"/>
  <c r="L161" i="2" s="1"/>
  <c r="M137" i="2"/>
  <c r="M139" i="2" s="1"/>
  <c r="M161" i="2" s="1"/>
  <c r="L120" i="2"/>
  <c r="L126" i="2" s="1"/>
  <c r="L128" i="2" s="1"/>
  <c r="M120" i="2"/>
  <c r="L99" i="2"/>
  <c r="L104" i="2" s="1"/>
  <c r="M99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L72" i="2"/>
  <c r="K72" i="2"/>
  <c r="L49" i="2"/>
  <c r="L46" i="2"/>
  <c r="L79" i="2" s="1"/>
  <c r="M49" i="2"/>
  <c r="M46" i="2"/>
  <c r="M56" i="2" s="1"/>
  <c r="N16" i="2"/>
  <c r="N14" i="2"/>
  <c r="N13" i="2"/>
  <c r="N12" i="2"/>
  <c r="O16" i="2"/>
  <c r="O14" i="2"/>
  <c r="O13" i="2"/>
  <c r="O12" i="2"/>
  <c r="O17" i="2" s="1"/>
  <c r="M17" i="2"/>
  <c r="M18" i="2" s="1"/>
  <c r="L17" i="2"/>
  <c r="L18" i="2" s="1"/>
  <c r="N159" i="2"/>
  <c r="O159" i="2"/>
  <c r="N154" i="2"/>
  <c r="N142" i="2"/>
  <c r="N141" i="2"/>
  <c r="N140" i="2"/>
  <c r="O142" i="2"/>
  <c r="O141" i="2"/>
  <c r="O140" i="2"/>
  <c r="O144" i="2" s="1"/>
  <c r="N139" i="2"/>
  <c r="N126" i="2"/>
  <c r="M126" i="2"/>
  <c r="M128" i="2" s="1"/>
  <c r="N117" i="2"/>
  <c r="M117" i="2"/>
  <c r="L117" i="2"/>
  <c r="K117" i="2"/>
  <c r="J117" i="2"/>
  <c r="N109" i="2"/>
  <c r="M109" i="2"/>
  <c r="L109" i="2"/>
  <c r="K109" i="2"/>
  <c r="N97" i="2"/>
  <c r="M97" i="2"/>
  <c r="L97" i="2"/>
  <c r="K97" i="2"/>
  <c r="J97" i="2"/>
  <c r="O104" i="2"/>
  <c r="O106" i="2" s="1"/>
  <c r="N104" i="2"/>
  <c r="M104" i="2"/>
  <c r="M106" i="2" s="1"/>
  <c r="K104" i="2"/>
  <c r="K106" i="2" s="1"/>
  <c r="N49" i="2"/>
  <c r="N46" i="2"/>
  <c r="N79" i="2" s="1"/>
  <c r="O49" i="2"/>
  <c r="N24" i="2"/>
  <c r="O24" i="2"/>
  <c r="O54" i="2"/>
  <c r="O42" i="2"/>
  <c r="F65" i="2"/>
  <c r="F63" i="2"/>
  <c r="F62" i="2"/>
  <c r="F61" i="2"/>
  <c r="F59" i="2"/>
  <c r="F57" i="2"/>
  <c r="F55" i="2"/>
  <c r="F54" i="2"/>
  <c r="F53" i="2"/>
  <c r="F52" i="2"/>
  <c r="F51" i="2"/>
  <c r="F50" i="2"/>
  <c r="F48" i="2"/>
  <c r="F47" i="2"/>
  <c r="F45" i="2"/>
  <c r="F43" i="2"/>
  <c r="F42" i="2"/>
  <c r="F41" i="2"/>
  <c r="F36" i="2" s="1"/>
  <c r="F40" i="2"/>
  <c r="F34" i="2" s="1"/>
  <c r="F39" i="2"/>
  <c r="F38" i="2"/>
  <c r="F16" i="2"/>
  <c r="F15" i="2"/>
  <c r="F14" i="2"/>
  <c r="F13" i="2"/>
  <c r="F12" i="2"/>
  <c r="F35" i="2"/>
  <c r="F33" i="2"/>
  <c r="F31" i="2"/>
  <c r="F29" i="2"/>
  <c r="S18" i="10"/>
  <c r="R18" i="10"/>
  <c r="Q18" i="10"/>
  <c r="P18" i="10"/>
  <c r="S17" i="10"/>
  <c r="R17" i="10"/>
  <c r="Q17" i="10"/>
  <c r="P17" i="10"/>
  <c r="S16" i="10"/>
  <c r="R16" i="10"/>
  <c r="Q16" i="10"/>
  <c r="P16" i="10"/>
  <c r="R15" i="10"/>
  <c r="Q15" i="10"/>
  <c r="P15" i="10"/>
  <c r="R14" i="10"/>
  <c r="Q14" i="10"/>
  <c r="P14" i="10"/>
  <c r="R13" i="10"/>
  <c r="Q13" i="10"/>
  <c r="P13" i="10"/>
  <c r="S12" i="10"/>
  <c r="R12" i="10"/>
  <c r="Q12" i="10"/>
  <c r="P12" i="10"/>
  <c r="P154" i="2"/>
  <c r="O154" i="2"/>
  <c r="P159" i="2"/>
  <c r="P142" i="2"/>
  <c r="P141" i="2"/>
  <c r="P140" i="2"/>
  <c r="P144" i="2" s="1"/>
  <c r="Q142" i="2"/>
  <c r="Q141" i="2"/>
  <c r="Q140" i="2"/>
  <c r="Q144" i="2" s="1"/>
  <c r="P139" i="2"/>
  <c r="O139" i="2"/>
  <c r="P126" i="2"/>
  <c r="O126" i="2"/>
  <c r="Y128" i="2"/>
  <c r="X128" i="2"/>
  <c r="W128" i="2"/>
  <c r="V128" i="2"/>
  <c r="U128" i="2"/>
  <c r="T128" i="2"/>
  <c r="O117" i="2"/>
  <c r="O109" i="2"/>
  <c r="P104" i="2"/>
  <c r="Q104" i="2"/>
  <c r="P97" i="2"/>
  <c r="O97" i="2"/>
  <c r="O84" i="2"/>
  <c r="N84" i="2"/>
  <c r="Q83" i="2"/>
  <c r="P83" i="2"/>
  <c r="O83" i="2"/>
  <c r="N83" i="2"/>
  <c r="Q82" i="2"/>
  <c r="P82" i="2"/>
  <c r="O82" i="2"/>
  <c r="N82" i="2"/>
  <c r="Q81" i="2"/>
  <c r="P81" i="2"/>
  <c r="O81" i="2"/>
  <c r="N81" i="2"/>
  <c r="Q80" i="2"/>
  <c r="P80" i="2"/>
  <c r="O80" i="2"/>
  <c r="N80" i="2"/>
  <c r="Q78" i="2"/>
  <c r="P78" i="2"/>
  <c r="O78" i="2"/>
  <c r="N78" i="2"/>
  <c r="O77" i="2"/>
  <c r="N77" i="2"/>
  <c r="Q76" i="2"/>
  <c r="P76" i="2"/>
  <c r="O76" i="2"/>
  <c r="N76" i="2"/>
  <c r="Q75" i="2"/>
  <c r="P75" i="2"/>
  <c r="O75" i="2"/>
  <c r="N75" i="2"/>
  <c r="Q74" i="2"/>
  <c r="P74" i="2"/>
  <c r="O74" i="2"/>
  <c r="N74" i="2"/>
  <c r="Q73" i="2"/>
  <c r="P73" i="2"/>
  <c r="O73" i="2"/>
  <c r="N73" i="2"/>
  <c r="P49" i="2"/>
  <c r="Q49" i="2"/>
  <c r="P42" i="2"/>
  <c r="P84" i="2" s="1"/>
  <c r="Q42" i="2"/>
  <c r="P24" i="2"/>
  <c r="Q24" i="2"/>
  <c r="Q54" i="2"/>
  <c r="R36" i="2"/>
  <c r="Q36" i="2"/>
  <c r="P36" i="2"/>
  <c r="O36" i="2"/>
  <c r="N36" i="2"/>
  <c r="R34" i="2"/>
  <c r="Q34" i="2"/>
  <c r="P34" i="2"/>
  <c r="O34" i="2"/>
  <c r="N34" i="2"/>
  <c r="R32" i="2"/>
  <c r="Q32" i="2"/>
  <c r="P32" i="2"/>
  <c r="O32" i="2"/>
  <c r="N32" i="2"/>
  <c r="R30" i="2"/>
  <c r="Q30" i="2"/>
  <c r="P30" i="2"/>
  <c r="O30" i="2"/>
  <c r="N30" i="2"/>
  <c r="P17" i="2"/>
  <c r="Q17" i="2"/>
  <c r="Q18" i="2" s="1"/>
  <c r="R24" i="2"/>
  <c r="S27" i="2"/>
  <c r="R27" i="2"/>
  <c r="S26" i="2"/>
  <c r="R26" i="2"/>
  <c r="S24" i="2"/>
  <c r="R154" i="2"/>
  <c r="Q154" i="2"/>
  <c r="S154" i="2"/>
  <c r="R142" i="2"/>
  <c r="S142" i="2"/>
  <c r="R141" i="2"/>
  <c r="S141" i="2"/>
  <c r="R140" i="2"/>
  <c r="S140" i="2"/>
  <c r="S144" i="2" s="1"/>
  <c r="Q139" i="2"/>
  <c r="R139" i="2"/>
  <c r="S139" i="2"/>
  <c r="R104" i="2"/>
  <c r="R109" i="2"/>
  <c r="Q109" i="2"/>
  <c r="P109" i="2"/>
  <c r="R117" i="2"/>
  <c r="Q117" i="2"/>
  <c r="P117" i="2"/>
  <c r="R126" i="2"/>
  <c r="R128" i="2" s="1"/>
  <c r="Q126" i="2"/>
  <c r="Q128" i="2" s="1"/>
  <c r="S126" i="2"/>
  <c r="S117" i="2"/>
  <c r="S109" i="2"/>
  <c r="S104" i="2"/>
  <c r="R97" i="2"/>
  <c r="Q97" i="2"/>
  <c r="S97" i="2"/>
  <c r="T85" i="2"/>
  <c r="T84" i="2"/>
  <c r="T83" i="2"/>
  <c r="S83" i="2"/>
  <c r="R83" i="2"/>
  <c r="T82" i="2"/>
  <c r="S82" i="2"/>
  <c r="R82" i="2"/>
  <c r="T81" i="2"/>
  <c r="S81" i="2"/>
  <c r="R81" i="2"/>
  <c r="T80" i="2"/>
  <c r="S80" i="2"/>
  <c r="R80" i="2"/>
  <c r="S79" i="2"/>
  <c r="R79" i="2"/>
  <c r="T78" i="2"/>
  <c r="S78" i="2"/>
  <c r="R78" i="2"/>
  <c r="T76" i="2"/>
  <c r="S76" i="2"/>
  <c r="R76" i="2"/>
  <c r="T75" i="2"/>
  <c r="S75" i="2"/>
  <c r="R75" i="2"/>
  <c r="T74" i="2"/>
  <c r="S74" i="2"/>
  <c r="R74" i="2"/>
  <c r="T73" i="2"/>
  <c r="S73" i="2"/>
  <c r="R73" i="2"/>
  <c r="R49" i="2"/>
  <c r="S49" i="2"/>
  <c r="S46" i="2"/>
  <c r="R46" i="2"/>
  <c r="Q46" i="2"/>
  <c r="Q79" i="2" s="1"/>
  <c r="P46" i="2"/>
  <c r="O46" i="2"/>
  <c r="O79" i="2" s="1"/>
  <c r="R42" i="2"/>
  <c r="S42" i="2"/>
  <c r="S77" i="2" s="1"/>
  <c r="S36" i="2"/>
  <c r="T36" i="2"/>
  <c r="S34" i="2"/>
  <c r="S32" i="2"/>
  <c r="S30" i="2"/>
  <c r="R17" i="2"/>
  <c r="S17" i="2"/>
  <c r="O18" i="10"/>
  <c r="O17" i="10"/>
  <c r="O16" i="10"/>
  <c r="O15" i="10"/>
  <c r="O14" i="10"/>
  <c r="O13" i="10"/>
  <c r="O12" i="10"/>
  <c r="O10" i="10"/>
  <c r="C8" i="1"/>
  <c r="J45" i="7"/>
  <c r="J46" i="7" s="1"/>
  <c r="J12" i="7"/>
  <c r="J11" i="7"/>
  <c r="J13" i="7" s="1"/>
  <c r="AA36" i="2"/>
  <c r="AA34" i="2"/>
  <c r="AA32" i="2"/>
  <c r="AA146" i="2"/>
  <c r="AA154" i="2" s="1"/>
  <c r="AA142" i="2"/>
  <c r="AA140" i="2"/>
  <c r="L45" i="5" s="1"/>
  <c r="AA139" i="2"/>
  <c r="AA126" i="2"/>
  <c r="AA117" i="2"/>
  <c r="AA109" i="2"/>
  <c r="Y106" i="2"/>
  <c r="X106" i="2"/>
  <c r="W106" i="2"/>
  <c r="V106" i="2"/>
  <c r="U106" i="2"/>
  <c r="T106" i="2"/>
  <c r="C104" i="2"/>
  <c r="AA104" i="2"/>
  <c r="AA97" i="2"/>
  <c r="J10" i="7" s="1"/>
  <c r="AA49" i="2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F9" i="10"/>
  <c r="F8" i="10"/>
  <c r="F7" i="10"/>
  <c r="F6" i="10"/>
  <c r="F5" i="10"/>
  <c r="F4" i="10"/>
  <c r="L18" i="10"/>
  <c r="K18" i="10"/>
  <c r="L17" i="10"/>
  <c r="K17" i="10"/>
  <c r="L16" i="10"/>
  <c r="K16" i="10"/>
  <c r="L15" i="10"/>
  <c r="K15" i="10"/>
  <c r="L14" i="10"/>
  <c r="K14" i="10"/>
  <c r="L13" i="10"/>
  <c r="K13" i="10"/>
  <c r="L12" i="10"/>
  <c r="K12" i="10"/>
  <c r="J9" i="10"/>
  <c r="J8" i="10"/>
  <c r="J7" i="10"/>
  <c r="N15" i="10" s="1"/>
  <c r="J6" i="10"/>
  <c r="N14" i="10" s="1"/>
  <c r="J5" i="10"/>
  <c r="N13" i="10" s="1"/>
  <c r="J4" i="10"/>
  <c r="N12" i="10" s="1"/>
  <c r="M12" i="10"/>
  <c r="I12" i="10"/>
  <c r="I17" i="10"/>
  <c r="I16" i="10"/>
  <c r="I15" i="10"/>
  <c r="I14" i="10"/>
  <c r="I13" i="10"/>
  <c r="M18" i="10"/>
  <c r="M17" i="10"/>
  <c r="M16" i="10"/>
  <c r="M15" i="10"/>
  <c r="M14" i="10"/>
  <c r="M13" i="10"/>
  <c r="E10" i="10"/>
  <c r="I18" i="10" s="1"/>
  <c r="D10" i="10"/>
  <c r="C10" i="10"/>
  <c r="G10" i="10"/>
  <c r="N10" i="10"/>
  <c r="L10" i="10"/>
  <c r="K10" i="10"/>
  <c r="I10" i="10"/>
  <c r="H10" i="10"/>
  <c r="M10" i="10"/>
  <c r="AA30" i="2"/>
  <c r="AF17" i="2"/>
  <c r="AE17" i="2"/>
  <c r="AD17" i="2"/>
  <c r="AC17" i="2"/>
  <c r="AB17" i="2"/>
  <c r="H17" i="2" s="1"/>
  <c r="AA17" i="2"/>
  <c r="F17" i="2" s="1"/>
  <c r="AA77" i="2"/>
  <c r="AA82" i="2"/>
  <c r="AA73" i="2"/>
  <c r="AF86" i="2"/>
  <c r="AE86" i="2"/>
  <c r="AD86" i="2"/>
  <c r="AC86" i="2"/>
  <c r="AB86" i="2"/>
  <c r="AA81" i="2"/>
  <c r="AA74" i="2"/>
  <c r="AF8" i="2"/>
  <c r="AF9" i="2" s="1"/>
  <c r="AF44" i="2" s="1"/>
  <c r="AF38" i="2" s="1"/>
  <c r="AE8" i="2"/>
  <c r="AE9" i="2" s="1"/>
  <c r="AE44" i="2" s="1"/>
  <c r="AD8" i="2"/>
  <c r="AD9" i="2" s="1"/>
  <c r="AD44" i="2" s="1"/>
  <c r="AD23" i="2" s="1"/>
  <c r="AC8" i="2"/>
  <c r="AC9" i="2" s="1"/>
  <c r="AC44" i="2" s="1"/>
  <c r="AC79" i="2" s="1"/>
  <c r="AB8" i="2"/>
  <c r="AB9" i="2" s="1"/>
  <c r="AA8" i="2"/>
  <c r="U8" i="2"/>
  <c r="V8" i="2"/>
  <c r="Z8" i="2"/>
  <c r="Y8" i="2"/>
  <c r="X8" i="2"/>
  <c r="W8" i="2"/>
  <c r="M85" i="2" l="1"/>
  <c r="M58" i="2"/>
  <c r="M60" i="2" s="1"/>
  <c r="J144" i="2"/>
  <c r="AA161" i="2"/>
  <c r="Q161" i="2"/>
  <c r="N56" i="2"/>
  <c r="K56" i="2"/>
  <c r="N128" i="2"/>
  <c r="M72" i="2"/>
  <c r="M144" i="2"/>
  <c r="M157" i="2" s="1"/>
  <c r="M159" i="2" s="1"/>
  <c r="P128" i="2"/>
  <c r="P161" i="2"/>
  <c r="F30" i="2"/>
  <c r="L56" i="2"/>
  <c r="L106" i="2"/>
  <c r="O32" i="5" a="1"/>
  <c r="O32" i="5" s="1"/>
  <c r="O33" i="5"/>
  <c r="O35" i="5"/>
  <c r="F32" i="2"/>
  <c r="AF85" i="2"/>
  <c r="P34" i="5"/>
  <c r="J157" i="2"/>
  <c r="K157" i="2"/>
  <c r="K158" i="2" s="1"/>
  <c r="J159" i="2" s="1"/>
  <c r="L157" i="2"/>
  <c r="L158" i="2" s="1"/>
  <c r="K159" i="2" s="1"/>
  <c r="N17" i="2"/>
  <c r="N18" i="2"/>
  <c r="N72" i="2"/>
  <c r="O18" i="2"/>
  <c r="O72" i="2"/>
  <c r="P72" i="2"/>
  <c r="N144" i="2"/>
  <c r="N157" i="2" s="1"/>
  <c r="N158" i="2" s="1"/>
  <c r="O128" i="2"/>
  <c r="N106" i="2"/>
  <c r="AA128" i="2"/>
  <c r="Q157" i="2"/>
  <c r="Q159" i="2" s="1"/>
  <c r="P106" i="2"/>
  <c r="R144" i="2"/>
  <c r="R157" i="2" s="1"/>
  <c r="P157" i="2"/>
  <c r="Y71" i="2"/>
  <c r="O157" i="2"/>
  <c r="O56" i="2"/>
  <c r="Q72" i="2"/>
  <c r="P18" i="2"/>
  <c r="S128" i="2"/>
  <c r="P77" i="2"/>
  <c r="Q106" i="2"/>
  <c r="S106" i="2"/>
  <c r="S157" i="2"/>
  <c r="P56" i="2"/>
  <c r="P85" i="2" s="1"/>
  <c r="J35" i="7"/>
  <c r="R56" i="2"/>
  <c r="R58" i="2" s="1"/>
  <c r="R60" i="2" s="1"/>
  <c r="Q84" i="2"/>
  <c r="S56" i="2"/>
  <c r="S85" i="2" s="1"/>
  <c r="Q77" i="2"/>
  <c r="S18" i="2"/>
  <c r="Q56" i="2"/>
  <c r="P79" i="2"/>
  <c r="R72" i="2"/>
  <c r="R106" i="2"/>
  <c r="R77" i="2"/>
  <c r="J15" i="10"/>
  <c r="R18" i="2"/>
  <c r="S72" i="2"/>
  <c r="R84" i="2"/>
  <c r="S84" i="2"/>
  <c r="T77" i="2"/>
  <c r="AA106" i="2"/>
  <c r="J44" i="7" s="1"/>
  <c r="F10" i="10"/>
  <c r="X71" i="2"/>
  <c r="J16" i="10"/>
  <c r="J17" i="10"/>
  <c r="AA144" i="2"/>
  <c r="AA157" i="2" s="1"/>
  <c r="N17" i="10"/>
  <c r="Z71" i="2"/>
  <c r="W71" i="2"/>
  <c r="J12" i="10"/>
  <c r="N16" i="10"/>
  <c r="AA71" i="2"/>
  <c r="J10" i="10"/>
  <c r="N18" i="10" s="1"/>
  <c r="J13" i="10"/>
  <c r="J14" i="10"/>
  <c r="AD79" i="2"/>
  <c r="AB80" i="2"/>
  <c r="AB32" i="2"/>
  <c r="AC39" i="2"/>
  <c r="AC81" i="2" s="1"/>
  <c r="AF79" i="2"/>
  <c r="AF42" i="2"/>
  <c r="AF84" i="2" s="1"/>
  <c r="AB82" i="2"/>
  <c r="AF20" i="2"/>
  <c r="AD41" i="2"/>
  <c r="AE41" i="2"/>
  <c r="AE38" i="2"/>
  <c r="AE80" i="2" s="1"/>
  <c r="AF41" i="2"/>
  <c r="AE24" i="2"/>
  <c r="AD42" i="2"/>
  <c r="AD40" i="2"/>
  <c r="AD82" i="2" s="1"/>
  <c r="AD26" i="2"/>
  <c r="AD18" i="2" s="1"/>
  <c r="AF24" i="2"/>
  <c r="AE40" i="2"/>
  <c r="AE26" i="2"/>
  <c r="AE27" i="2" s="1"/>
  <c r="AE21" i="2"/>
  <c r="AF78" i="2"/>
  <c r="Q28" i="5" s="1"/>
  <c r="AF43" i="2"/>
  <c r="AD39" i="2"/>
  <c r="AD32" i="2" s="1"/>
  <c r="AF39" i="2"/>
  <c r="AF32" i="2" s="1"/>
  <c r="AF26" i="2"/>
  <c r="AF27" i="2" s="1"/>
  <c r="AE23" i="2"/>
  <c r="AB76" i="2"/>
  <c r="AE39" i="2"/>
  <c r="AD22" i="2"/>
  <c r="AF23" i="2"/>
  <c r="AD78" i="2"/>
  <c r="O28" i="5" s="1"/>
  <c r="AC41" i="2"/>
  <c r="AE42" i="2"/>
  <c r="AE22" i="2"/>
  <c r="AC20" i="2"/>
  <c r="AF30" i="2"/>
  <c r="AC40" i="2"/>
  <c r="AC21" i="2"/>
  <c r="AD20" i="2"/>
  <c r="AC23" i="2"/>
  <c r="AC43" i="2"/>
  <c r="AE20" i="2"/>
  <c r="AF21" i="2"/>
  <c r="AD43" i="2"/>
  <c r="AB84" i="2"/>
  <c r="AC38" i="2"/>
  <c r="AC80" i="2" s="1"/>
  <c r="AF40" i="2"/>
  <c r="AB18" i="2"/>
  <c r="AC24" i="2"/>
  <c r="AD21" i="2"/>
  <c r="AF22" i="2"/>
  <c r="AE43" i="2"/>
  <c r="AC42" i="2"/>
  <c r="AC84" i="2" s="1"/>
  <c r="AD38" i="2"/>
  <c r="AC26" i="2"/>
  <c r="AC27" i="2" s="1"/>
  <c r="AC22" i="2"/>
  <c r="AD24" i="2"/>
  <c r="AF72" i="2"/>
  <c r="AE72" i="2"/>
  <c r="AD72" i="2"/>
  <c r="AC72" i="2"/>
  <c r="AB72" i="2"/>
  <c r="AF80" i="2"/>
  <c r="AE79" i="2"/>
  <c r="AE78" i="2"/>
  <c r="P28" i="5" s="1"/>
  <c r="AC78" i="2"/>
  <c r="N28" i="5" s="1"/>
  <c r="AA84" i="2"/>
  <c r="AA76" i="2"/>
  <c r="AA83" i="2"/>
  <c r="AA75" i="2"/>
  <c r="AA80" i="2"/>
  <c r="AB79" i="2"/>
  <c r="AF71" i="2"/>
  <c r="AB71" i="2"/>
  <c r="V71" i="2"/>
  <c r="AE71" i="2"/>
  <c r="AD71" i="2"/>
  <c r="AC71" i="2"/>
  <c r="F32" i="8"/>
  <c r="H45" i="7"/>
  <c r="H46" i="7" s="1"/>
  <c r="G45" i="7"/>
  <c r="G46" i="7" s="1"/>
  <c r="F45" i="7"/>
  <c r="F46" i="7" s="1"/>
  <c r="E45" i="7"/>
  <c r="E46" i="7" s="1"/>
  <c r="D45" i="7"/>
  <c r="D46" i="7" s="1"/>
  <c r="C45" i="7"/>
  <c r="I45" i="7"/>
  <c r="I46" i="7" s="1"/>
  <c r="H44" i="7"/>
  <c r="G44" i="7"/>
  <c r="F44" i="7"/>
  <c r="E44" i="7"/>
  <c r="D44" i="7"/>
  <c r="C44" i="7"/>
  <c r="C43" i="7"/>
  <c r="N3" i="7"/>
  <c r="O3" i="7"/>
  <c r="C42" i="7"/>
  <c r="D37" i="7"/>
  <c r="H37" i="7"/>
  <c r="G37" i="7"/>
  <c r="F37" i="7"/>
  <c r="E37" i="7"/>
  <c r="H35" i="7"/>
  <c r="G35" i="7"/>
  <c r="F35" i="7"/>
  <c r="E35" i="7"/>
  <c r="D35" i="7"/>
  <c r="C35" i="7"/>
  <c r="O39" i="7"/>
  <c r="N39" i="7"/>
  <c r="C21" i="7"/>
  <c r="C12" i="7"/>
  <c r="C11" i="7"/>
  <c r="C13" i="7" s="1"/>
  <c r="C10" i="7"/>
  <c r="C6" i="7"/>
  <c r="C4" i="7"/>
  <c r="C5" i="7" s="1"/>
  <c r="C55" i="7" s="1"/>
  <c r="H12" i="7"/>
  <c r="G12" i="7"/>
  <c r="F12" i="7"/>
  <c r="E12" i="7"/>
  <c r="D12" i="7"/>
  <c r="I12" i="7"/>
  <c r="J15" i="7" s="1"/>
  <c r="I11" i="7"/>
  <c r="H11" i="7"/>
  <c r="G11" i="7"/>
  <c r="F11" i="7"/>
  <c r="E11" i="7"/>
  <c r="D11" i="7"/>
  <c r="D13" i="7" s="1"/>
  <c r="H10" i="7"/>
  <c r="G10" i="7"/>
  <c r="F10" i="7"/>
  <c r="E10" i="7"/>
  <c r="D10" i="7"/>
  <c r="AG85" i="2" l="1"/>
  <c r="Q34" i="5"/>
  <c r="P32" i="5" a="1"/>
  <c r="P32" i="5" s="1"/>
  <c r="P35" i="5"/>
  <c r="P33" i="5"/>
  <c r="K85" i="2"/>
  <c r="K58" i="2"/>
  <c r="K60" i="2" s="1"/>
  <c r="O85" i="2"/>
  <c r="O58" i="2"/>
  <c r="O60" i="2" s="1"/>
  <c r="J158" i="2"/>
  <c r="L58" i="2"/>
  <c r="L60" i="2" s="1"/>
  <c r="L85" i="2"/>
  <c r="M86" i="2"/>
  <c r="M64" i="2"/>
  <c r="M66" i="2" s="1"/>
  <c r="M68" i="2" s="1"/>
  <c r="N85" i="2"/>
  <c r="N58" i="2"/>
  <c r="N60" i="2" s="1"/>
  <c r="Q29" i="5"/>
  <c r="Q26" i="5" a="1"/>
  <c r="Q26" i="5" s="1"/>
  <c r="Q27" i="5"/>
  <c r="P26" i="5" a="1"/>
  <c r="P26" i="5" s="1"/>
  <c r="P27" i="5"/>
  <c r="P29" i="5"/>
  <c r="N29" i="5"/>
  <c r="N26" i="5" a="1"/>
  <c r="N26" i="5" s="1"/>
  <c r="N27" i="5"/>
  <c r="O26" i="5" a="1"/>
  <c r="O26" i="5" s="1"/>
  <c r="O29" i="5"/>
  <c r="O27" i="5"/>
  <c r="S58" i="2"/>
  <c r="S60" i="2" s="1"/>
  <c r="S86" i="2" s="1"/>
  <c r="R85" i="2"/>
  <c r="P58" i="2"/>
  <c r="P60" i="2" s="1"/>
  <c r="Q85" i="2"/>
  <c r="Q58" i="2"/>
  <c r="Q60" i="2" s="1"/>
  <c r="P86" i="2"/>
  <c r="P64" i="2"/>
  <c r="P66" i="2" s="1"/>
  <c r="P68" i="2" s="1"/>
  <c r="R86" i="2"/>
  <c r="R64" i="2"/>
  <c r="R66" i="2" s="1"/>
  <c r="R68" i="2" s="1"/>
  <c r="AB77" i="2"/>
  <c r="J18" i="10"/>
  <c r="G13" i="7"/>
  <c r="H13" i="7"/>
  <c r="I13" i="7"/>
  <c r="E13" i="7"/>
  <c r="F13" i="7"/>
  <c r="AB74" i="2"/>
  <c r="AB81" i="2"/>
  <c r="AD74" i="2"/>
  <c r="AB73" i="2"/>
  <c r="AF77" i="2"/>
  <c r="AC32" i="2"/>
  <c r="AC74" i="2"/>
  <c r="AD77" i="2"/>
  <c r="AE18" i="2"/>
  <c r="AD27" i="2"/>
  <c r="AE73" i="2"/>
  <c r="AF18" i="2"/>
  <c r="AF74" i="2"/>
  <c r="AB75" i="2"/>
  <c r="AF73" i="2"/>
  <c r="AC18" i="2"/>
  <c r="AE77" i="2"/>
  <c r="AE34" i="2"/>
  <c r="AE82" i="2"/>
  <c r="AF76" i="2"/>
  <c r="AF83" i="2"/>
  <c r="AF36" i="2"/>
  <c r="AE84" i="2"/>
  <c r="AE76" i="2"/>
  <c r="AE83" i="2"/>
  <c r="AE36" i="2"/>
  <c r="AF81" i="2"/>
  <c r="AE74" i="2"/>
  <c r="AD81" i="2"/>
  <c r="AC77" i="2"/>
  <c r="AE30" i="2"/>
  <c r="AD84" i="2"/>
  <c r="AB83" i="2"/>
  <c r="AE75" i="2"/>
  <c r="AD34" i="2"/>
  <c r="AD76" i="2"/>
  <c r="AC83" i="2"/>
  <c r="AC76" i="2"/>
  <c r="AC36" i="2"/>
  <c r="AE32" i="2"/>
  <c r="AE81" i="2"/>
  <c r="AD83" i="2"/>
  <c r="AD36" i="2"/>
  <c r="AC75" i="2"/>
  <c r="AC82" i="2"/>
  <c r="AD75" i="2"/>
  <c r="AC34" i="2"/>
  <c r="AF82" i="2"/>
  <c r="AF34" i="2"/>
  <c r="AD73" i="2"/>
  <c r="AD30" i="2"/>
  <c r="AD80" i="2"/>
  <c r="AC73" i="2"/>
  <c r="AC30" i="2"/>
  <c r="AF75" i="2"/>
  <c r="G23" i="7"/>
  <c r="D23" i="7"/>
  <c r="F23" i="7"/>
  <c r="O45" i="7"/>
  <c r="C54" i="7"/>
  <c r="C53" i="7"/>
  <c r="C36" i="7"/>
  <c r="E23" i="7"/>
  <c r="N12" i="7"/>
  <c r="H23" i="7"/>
  <c r="C46" i="7"/>
  <c r="C47" i="7" s="1"/>
  <c r="C56" i="7"/>
  <c r="N45" i="7"/>
  <c r="F15" i="7"/>
  <c r="O11" i="7"/>
  <c r="N11" i="7"/>
  <c r="O12" i="7"/>
  <c r="I15" i="7"/>
  <c r="E15" i="7"/>
  <c r="D15" i="7"/>
  <c r="G15" i="7"/>
  <c r="H15" i="7"/>
  <c r="C7" i="7"/>
  <c r="H6" i="7"/>
  <c r="G6" i="7"/>
  <c r="F6" i="7"/>
  <c r="E6" i="7"/>
  <c r="D6" i="7"/>
  <c r="I6" i="7"/>
  <c r="J5" i="7"/>
  <c r="H4" i="7"/>
  <c r="H5" i="7" s="1"/>
  <c r="G4" i="7"/>
  <c r="G5" i="7" s="1"/>
  <c r="F4" i="7"/>
  <c r="F5" i="7" s="1"/>
  <c r="E4" i="7"/>
  <c r="E5" i="7" s="1"/>
  <c r="D4" i="7"/>
  <c r="D5" i="7" s="1"/>
  <c r="I4" i="7"/>
  <c r="I5" i="7" s="1"/>
  <c r="C36" i="2"/>
  <c r="C34" i="2"/>
  <c r="C32" i="2"/>
  <c r="C30" i="2"/>
  <c r="C17" i="2"/>
  <c r="E72" i="2" s="1"/>
  <c r="D31" i="2"/>
  <c r="D29" i="2"/>
  <c r="D24" i="2"/>
  <c r="D23" i="2"/>
  <c r="D22" i="2"/>
  <c r="D21" i="2"/>
  <c r="D20" i="2"/>
  <c r="D16" i="2"/>
  <c r="D15" i="2"/>
  <c r="D14" i="2"/>
  <c r="D13" i="2"/>
  <c r="D12" i="2"/>
  <c r="Y36" i="2"/>
  <c r="Y34" i="2"/>
  <c r="Y32" i="2"/>
  <c r="W36" i="2"/>
  <c r="W34" i="2"/>
  <c r="W32" i="2"/>
  <c r="W30" i="2"/>
  <c r="T58" i="2"/>
  <c r="C37" i="7" s="1"/>
  <c r="T24" i="2"/>
  <c r="T32" i="2"/>
  <c r="T34" i="2"/>
  <c r="T30" i="2"/>
  <c r="T27" i="2"/>
  <c r="T26" i="2"/>
  <c r="U36" i="2"/>
  <c r="U34" i="2"/>
  <c r="U32" i="2"/>
  <c r="U24" i="2"/>
  <c r="V24" i="2"/>
  <c r="T66" i="2"/>
  <c r="T68" i="2" s="1"/>
  <c r="U66" i="2"/>
  <c r="U68" i="2" s="1"/>
  <c r="V66" i="2"/>
  <c r="V36" i="2"/>
  <c r="V34" i="2"/>
  <c r="V32" i="2"/>
  <c r="U30" i="2"/>
  <c r="V30" i="2"/>
  <c r="W66" i="2"/>
  <c r="W68" i="2" s="1"/>
  <c r="X66" i="2"/>
  <c r="X36" i="2"/>
  <c r="X34" i="2"/>
  <c r="X32" i="2"/>
  <c r="X30" i="2"/>
  <c r="Y30" i="2"/>
  <c r="W17" i="2"/>
  <c r="W18" i="2" s="1"/>
  <c r="X17" i="2"/>
  <c r="Z36" i="2"/>
  <c r="Z34" i="2"/>
  <c r="Z32" i="2"/>
  <c r="Z30" i="2"/>
  <c r="H72" i="2"/>
  <c r="G72" i="2"/>
  <c r="Y17" i="2"/>
  <c r="V17" i="2"/>
  <c r="U17" i="2"/>
  <c r="T17" i="2"/>
  <c r="T72" i="2" s="1"/>
  <c r="Z17" i="2"/>
  <c r="AA72" i="2" s="1"/>
  <c r="E36" i="2"/>
  <c r="E34" i="2"/>
  <c r="E32" i="2"/>
  <c r="E30" i="2"/>
  <c r="J54" i="7" l="1"/>
  <c r="J55" i="7"/>
  <c r="J53" i="7"/>
  <c r="N86" i="2"/>
  <c r="N64" i="2"/>
  <c r="N66" i="2" s="1"/>
  <c r="N68" i="2" s="1"/>
  <c r="O86" i="2"/>
  <c r="O64" i="2"/>
  <c r="O66" i="2" s="1"/>
  <c r="O68" i="2" s="1"/>
  <c r="L86" i="2"/>
  <c r="L64" i="2"/>
  <c r="L66" i="2" s="1"/>
  <c r="L68" i="2" s="1"/>
  <c r="K64" i="2"/>
  <c r="K66" i="2" s="1"/>
  <c r="K68" i="2" s="1"/>
  <c r="K86" i="2"/>
  <c r="Q33" i="5"/>
  <c r="Q32" i="5" a="1"/>
  <c r="Q32" i="5" s="1"/>
  <c r="Q35" i="5"/>
  <c r="R34" i="5"/>
  <c r="AH85" i="2"/>
  <c r="S34" i="5" s="1"/>
  <c r="S64" i="2"/>
  <c r="S66" i="2" s="1"/>
  <c r="S68" i="2" s="1"/>
  <c r="Q86" i="2"/>
  <c r="Q64" i="2"/>
  <c r="Q66" i="2" s="1"/>
  <c r="Q68" i="2" s="1"/>
  <c r="O13" i="7"/>
  <c r="N13" i="7"/>
  <c r="J6" i="7"/>
  <c r="O6" i="7" s="1"/>
  <c r="F36" i="8"/>
  <c r="O46" i="7"/>
  <c r="N46" i="7"/>
  <c r="U72" i="2"/>
  <c r="D17" i="2"/>
  <c r="F72" i="2" s="1"/>
  <c r="D51" i="7"/>
  <c r="D52" i="7" s="1"/>
  <c r="O5" i="7"/>
  <c r="D53" i="7"/>
  <c r="D54" i="7"/>
  <c r="D55" i="7"/>
  <c r="E36" i="7"/>
  <c r="E38" i="7"/>
  <c r="E51" i="7"/>
  <c r="E52" i="7" s="1"/>
  <c r="E53" i="7"/>
  <c r="E54" i="7"/>
  <c r="E55" i="7"/>
  <c r="F36" i="7"/>
  <c r="F38" i="7"/>
  <c r="N5" i="7"/>
  <c r="V68" i="2"/>
  <c r="E28" i="7"/>
  <c r="E22" i="7"/>
  <c r="F51" i="7"/>
  <c r="F52" i="7" s="1"/>
  <c r="F53" i="7"/>
  <c r="F54" i="7"/>
  <c r="F55" i="7"/>
  <c r="G36" i="7"/>
  <c r="G38" i="7"/>
  <c r="X68" i="2"/>
  <c r="G28" i="7"/>
  <c r="G22" i="7"/>
  <c r="D28" i="7"/>
  <c r="D22" i="7"/>
  <c r="G53" i="7"/>
  <c r="G54" i="7"/>
  <c r="G55" i="7"/>
  <c r="G51" i="7"/>
  <c r="G52" i="7" s="1"/>
  <c r="H38" i="7"/>
  <c r="H36" i="7"/>
  <c r="F28" i="7"/>
  <c r="F22" i="7"/>
  <c r="H53" i="7"/>
  <c r="H54" i="7"/>
  <c r="H55" i="7"/>
  <c r="C51" i="7"/>
  <c r="T60" i="2"/>
  <c r="C59" i="7"/>
  <c r="C58" i="7"/>
  <c r="C61" i="7"/>
  <c r="O4" i="7"/>
  <c r="D38" i="7"/>
  <c r="D36" i="7"/>
  <c r="C38" i="7"/>
  <c r="N4" i="7"/>
  <c r="O15" i="7"/>
  <c r="N15" i="7"/>
  <c r="G7" i="7"/>
  <c r="H7" i="7"/>
  <c r="I7" i="7"/>
  <c r="D7" i="7"/>
  <c r="F7" i="7"/>
  <c r="E7" i="7"/>
  <c r="T18" i="2"/>
  <c r="Z72" i="2"/>
  <c r="X72" i="2"/>
  <c r="Y72" i="2"/>
  <c r="Z18" i="2"/>
  <c r="Y18" i="2"/>
  <c r="X18" i="2"/>
  <c r="W72" i="2"/>
  <c r="V72" i="2"/>
  <c r="E146" i="2"/>
  <c r="E154" i="2" s="1"/>
  <c r="H144" i="2"/>
  <c r="G144" i="2"/>
  <c r="G157" i="2" s="1"/>
  <c r="F144" i="2"/>
  <c r="D144" i="2"/>
  <c r="C144" i="2"/>
  <c r="E142" i="2"/>
  <c r="E144" i="2" s="1"/>
  <c r="E139" i="2"/>
  <c r="E161" i="2" s="1"/>
  <c r="Z139" i="2"/>
  <c r="H126" i="2"/>
  <c r="G126" i="2"/>
  <c r="F126" i="2"/>
  <c r="D126" i="2"/>
  <c r="C126" i="2"/>
  <c r="E126" i="2"/>
  <c r="H117" i="2"/>
  <c r="G117" i="2"/>
  <c r="F117" i="2"/>
  <c r="D117" i="2"/>
  <c r="C117" i="2"/>
  <c r="E117" i="2"/>
  <c r="H109" i="2"/>
  <c r="G109" i="2"/>
  <c r="F109" i="2"/>
  <c r="D109" i="2"/>
  <c r="C109" i="2"/>
  <c r="E109" i="2"/>
  <c r="H104" i="2"/>
  <c r="G104" i="2"/>
  <c r="F104" i="2"/>
  <c r="D104" i="2"/>
  <c r="E104" i="2"/>
  <c r="H97" i="2"/>
  <c r="G97" i="2"/>
  <c r="F97" i="2"/>
  <c r="D97" i="2"/>
  <c r="C97" i="2"/>
  <c r="C106" i="2" s="1"/>
  <c r="E97" i="2"/>
  <c r="H84" i="2"/>
  <c r="G84" i="2"/>
  <c r="F84" i="2"/>
  <c r="C84" i="2"/>
  <c r="H83" i="2"/>
  <c r="G83" i="2"/>
  <c r="F83" i="2"/>
  <c r="C83" i="2"/>
  <c r="H82" i="2"/>
  <c r="G82" i="2"/>
  <c r="F82" i="2"/>
  <c r="C82" i="2"/>
  <c r="H81" i="2"/>
  <c r="G81" i="2"/>
  <c r="F81" i="2"/>
  <c r="C81" i="2"/>
  <c r="E84" i="2"/>
  <c r="E83" i="2"/>
  <c r="E82" i="2"/>
  <c r="E81" i="2"/>
  <c r="H80" i="2"/>
  <c r="G80" i="2"/>
  <c r="F80" i="2"/>
  <c r="C80" i="2"/>
  <c r="E80" i="2"/>
  <c r="H77" i="2"/>
  <c r="G77" i="2"/>
  <c r="E77" i="2"/>
  <c r="H76" i="2"/>
  <c r="G76" i="2"/>
  <c r="E76" i="2"/>
  <c r="H75" i="2"/>
  <c r="G75" i="2"/>
  <c r="E75" i="2"/>
  <c r="H74" i="2"/>
  <c r="G74" i="2"/>
  <c r="E74" i="2"/>
  <c r="H73" i="2"/>
  <c r="G73" i="2"/>
  <c r="E73" i="2"/>
  <c r="D65" i="2"/>
  <c r="D63" i="2"/>
  <c r="D62" i="2"/>
  <c r="D61" i="2"/>
  <c r="D59" i="2"/>
  <c r="D57" i="2"/>
  <c r="D54" i="2"/>
  <c r="D53" i="2"/>
  <c r="D52" i="2"/>
  <c r="D51" i="2"/>
  <c r="D50" i="2"/>
  <c r="D48" i="2"/>
  <c r="D47" i="2"/>
  <c r="D45" i="2"/>
  <c r="H49" i="2"/>
  <c r="G49" i="2"/>
  <c r="F49" i="2"/>
  <c r="E49" i="2"/>
  <c r="C49" i="2"/>
  <c r="D43" i="2"/>
  <c r="D42" i="2"/>
  <c r="F77" i="2" s="1"/>
  <c r="D41" i="2"/>
  <c r="D40" i="2"/>
  <c r="D39" i="2"/>
  <c r="D38" i="2"/>
  <c r="H56" i="2"/>
  <c r="H58" i="2" s="1"/>
  <c r="H60" i="2" s="1"/>
  <c r="H64" i="2" s="1"/>
  <c r="H66" i="2" s="1"/>
  <c r="G56" i="2"/>
  <c r="G58" i="2" s="1"/>
  <c r="G60" i="2" s="1"/>
  <c r="G64" i="2" s="1"/>
  <c r="G66" i="2" s="1"/>
  <c r="G68" i="2" s="1"/>
  <c r="F56" i="2"/>
  <c r="F58" i="2" s="1"/>
  <c r="F60" i="2" s="1"/>
  <c r="F64" i="2" s="1"/>
  <c r="F66" i="2" s="1"/>
  <c r="C56" i="2"/>
  <c r="C58" i="2" s="1"/>
  <c r="C60" i="2" s="1"/>
  <c r="C64" i="2" s="1"/>
  <c r="C66" i="2" s="1"/>
  <c r="C69" i="2" s="1"/>
  <c r="E56" i="2"/>
  <c r="E58" i="2" s="1"/>
  <c r="E60" i="2" s="1"/>
  <c r="E64" i="2" s="1"/>
  <c r="E66" i="2" s="1"/>
  <c r="E69" i="2" s="1"/>
  <c r="H44" i="2"/>
  <c r="H46" i="2" s="1"/>
  <c r="H79" i="2" s="1"/>
  <c r="F44" i="2"/>
  <c r="F46" i="2" s="1"/>
  <c r="F79" i="2" s="1"/>
  <c r="E44" i="2"/>
  <c r="C44" i="2"/>
  <c r="F20" i="8"/>
  <c r="F8" i="8"/>
  <c r="F22" i="8" s="1"/>
  <c r="E2" i="7"/>
  <c r="F2" i="7" s="1"/>
  <c r="G2" i="7" s="1"/>
  <c r="H2" i="7" s="1"/>
  <c r="I2" i="7" s="1"/>
  <c r="J2" i="7" s="1"/>
  <c r="K2" i="7" s="1"/>
  <c r="S32" i="5" l="1" a="1"/>
  <c r="S32" i="5" s="1"/>
  <c r="S35" i="5"/>
  <c r="S33" i="5"/>
  <c r="I55" i="7"/>
  <c r="R32" i="5" a="1"/>
  <c r="R32" i="5" s="1"/>
  <c r="R35" i="5"/>
  <c r="R33" i="5"/>
  <c r="T86" i="2"/>
  <c r="C14" i="7" s="1"/>
  <c r="C17" i="7" s="1"/>
  <c r="E128" i="2"/>
  <c r="D128" i="2"/>
  <c r="H128" i="2"/>
  <c r="C128" i="2"/>
  <c r="F128" i="2"/>
  <c r="G128" i="2"/>
  <c r="E106" i="2"/>
  <c r="D106" i="2"/>
  <c r="F106" i="2"/>
  <c r="G106" i="2"/>
  <c r="H106" i="2"/>
  <c r="J7" i="7"/>
  <c r="N7" i="7" s="1"/>
  <c r="J36" i="7"/>
  <c r="N6" i="7"/>
  <c r="E30" i="7"/>
  <c r="F30" i="7"/>
  <c r="F73" i="2"/>
  <c r="D30" i="2"/>
  <c r="H60" i="7"/>
  <c r="H59" i="7"/>
  <c r="H58" i="7"/>
  <c r="F76" i="2"/>
  <c r="D36" i="2"/>
  <c r="E59" i="7"/>
  <c r="E58" i="7"/>
  <c r="E60" i="7"/>
  <c r="F59" i="7"/>
  <c r="F58" i="7"/>
  <c r="F60" i="7"/>
  <c r="G60" i="7"/>
  <c r="G59" i="7"/>
  <c r="G58" i="7"/>
  <c r="D59" i="7"/>
  <c r="D58" i="7"/>
  <c r="D60" i="7"/>
  <c r="C27" i="2"/>
  <c r="D27" i="2" s="1"/>
  <c r="C26" i="2"/>
  <c r="I60" i="7"/>
  <c r="F74" i="2"/>
  <c r="D32" i="2"/>
  <c r="D30" i="7"/>
  <c r="G30" i="7"/>
  <c r="F75" i="2"/>
  <c r="D34" i="2"/>
  <c r="D49" i="2"/>
  <c r="E27" i="2"/>
  <c r="E26" i="2"/>
  <c r="E18" i="2" s="1"/>
  <c r="E157" i="2"/>
  <c r="E159" i="2" s="1"/>
  <c r="D84" i="2"/>
  <c r="E46" i="2"/>
  <c r="E79" i="2" s="1"/>
  <c r="C46" i="2"/>
  <c r="C79" i="2" s="1"/>
  <c r="D82" i="2"/>
  <c r="D83" i="2"/>
  <c r="C85" i="2"/>
  <c r="H78" i="2"/>
  <c r="D80" i="2"/>
  <c r="C86" i="2"/>
  <c r="H85" i="2"/>
  <c r="E86" i="2"/>
  <c r="D81" i="2"/>
  <c r="F85" i="2"/>
  <c r="F86" i="2"/>
  <c r="G86" i="2"/>
  <c r="H86" i="2"/>
  <c r="E85" i="2"/>
  <c r="E78" i="2"/>
  <c r="D44" i="2"/>
  <c r="D46" i="2" s="1"/>
  <c r="D79" i="2" s="1"/>
  <c r="O7" i="7" l="1"/>
  <c r="J60" i="7"/>
  <c r="C18" i="2"/>
  <c r="D26" i="2"/>
  <c r="D18" i="2" s="1"/>
  <c r="F78" i="2"/>
  <c r="N22" i="3" l="1"/>
  <c r="M22" i="3"/>
  <c r="L22" i="3"/>
  <c r="K22" i="3"/>
  <c r="I22" i="3"/>
  <c r="H22" i="3"/>
  <c r="E22" i="3"/>
  <c r="C22" i="3"/>
  <c r="N21" i="3"/>
  <c r="M21" i="3"/>
  <c r="L21" i="3"/>
  <c r="K21" i="3"/>
  <c r="I21" i="3"/>
  <c r="H21" i="3"/>
  <c r="E21" i="3"/>
  <c r="C21" i="3"/>
  <c r="J20" i="3"/>
  <c r="G20" i="3"/>
  <c r="O20" i="3" s="1"/>
  <c r="G19" i="3"/>
  <c r="O19" i="3" s="1"/>
  <c r="F18" i="3"/>
  <c r="G18" i="3" s="1"/>
  <c r="O18" i="3" s="1"/>
  <c r="F17" i="3"/>
  <c r="G17" i="3" s="1"/>
  <c r="O17" i="3" s="1"/>
  <c r="F15" i="3"/>
  <c r="G15" i="3" s="1"/>
  <c r="O15" i="3" s="1"/>
  <c r="G14" i="3"/>
  <c r="O14" i="3" s="1"/>
  <c r="F13" i="3"/>
  <c r="J12" i="3"/>
  <c r="G12" i="3"/>
  <c r="O12" i="3" s="1"/>
  <c r="J11" i="3"/>
  <c r="G11" i="3"/>
  <c r="O11" i="3" s="1"/>
  <c r="D10" i="3"/>
  <c r="D21" i="3" s="1"/>
  <c r="F9" i="3"/>
  <c r="O8" i="3"/>
  <c r="J8" i="3"/>
  <c r="G7" i="3"/>
  <c r="O6" i="3"/>
  <c r="O24" i="3" l="1"/>
  <c r="J21" i="3"/>
  <c r="F22" i="3"/>
  <c r="F21" i="3"/>
  <c r="J22" i="3"/>
  <c r="L24" i="3"/>
  <c r="G13" i="3"/>
  <c r="O13" i="3" s="1"/>
  <c r="D22" i="3"/>
  <c r="O10" i="3"/>
  <c r="O7" i="3"/>
  <c r="G9" i="3"/>
  <c r="O9" i="3" s="1"/>
  <c r="O21" i="3" l="1"/>
  <c r="G22" i="3"/>
  <c r="O22" i="3"/>
  <c r="G21" i="3"/>
  <c r="H4" i="1" l="1"/>
  <c r="F35" i="8" s="1"/>
  <c r="F37" i="8" s="1"/>
  <c r="F41" i="8" s="1"/>
  <c r="Z158" i="2"/>
  <c r="Z146" i="2"/>
  <c r="Z142" i="2"/>
  <c r="Z140" i="2"/>
  <c r="Z126" i="2"/>
  <c r="Z117" i="2"/>
  <c r="Z109" i="2"/>
  <c r="Z104" i="2"/>
  <c r="Z97" i="2"/>
  <c r="I10" i="7" s="1"/>
  <c r="Y66" i="2"/>
  <c r="Z49" i="2"/>
  <c r="Z44" i="2"/>
  <c r="K25" i="5" s="1"/>
  <c r="X86" i="2"/>
  <c r="G14" i="7" s="1"/>
  <c r="W86" i="2"/>
  <c r="F14" i="7" s="1"/>
  <c r="V86" i="2"/>
  <c r="E14" i="7" s="1"/>
  <c r="U86" i="2"/>
  <c r="D14" i="7" s="1"/>
  <c r="Y86" i="2"/>
  <c r="H14" i="7" s="1"/>
  <c r="Z84" i="2"/>
  <c r="Z83" i="2"/>
  <c r="Z82" i="2"/>
  <c r="Z81" i="2"/>
  <c r="Z80" i="2"/>
  <c r="X84" i="2"/>
  <c r="W84" i="2"/>
  <c r="V84" i="2"/>
  <c r="U84" i="2"/>
  <c r="X83" i="2"/>
  <c r="W83" i="2"/>
  <c r="V83" i="2"/>
  <c r="U83" i="2"/>
  <c r="X82" i="2"/>
  <c r="W82" i="2"/>
  <c r="V82" i="2"/>
  <c r="U82" i="2"/>
  <c r="X81" i="2"/>
  <c r="W81" i="2"/>
  <c r="V81" i="2"/>
  <c r="U81" i="2"/>
  <c r="X80" i="2"/>
  <c r="W80" i="2"/>
  <c r="V80" i="2"/>
  <c r="U80" i="2"/>
  <c r="Y84" i="2"/>
  <c r="Y83" i="2"/>
  <c r="Y82" i="2"/>
  <c r="Y81" i="2"/>
  <c r="Y80" i="2"/>
  <c r="Z77" i="2"/>
  <c r="Z76" i="2"/>
  <c r="Z75" i="2"/>
  <c r="Z74" i="2"/>
  <c r="Z73" i="2"/>
  <c r="Y77" i="2"/>
  <c r="X77" i="2"/>
  <c r="W77" i="2"/>
  <c r="V77" i="2"/>
  <c r="U77" i="2"/>
  <c r="Y76" i="2"/>
  <c r="X76" i="2"/>
  <c r="W76" i="2"/>
  <c r="V76" i="2"/>
  <c r="U76" i="2"/>
  <c r="Y75" i="2"/>
  <c r="X75" i="2"/>
  <c r="W75" i="2"/>
  <c r="V75" i="2"/>
  <c r="U75" i="2"/>
  <c r="Y74" i="2"/>
  <c r="X74" i="2"/>
  <c r="W74" i="2"/>
  <c r="V74" i="2"/>
  <c r="U74" i="2"/>
  <c r="X73" i="2"/>
  <c r="W73" i="2"/>
  <c r="V73" i="2"/>
  <c r="U73" i="2"/>
  <c r="Y73" i="2"/>
  <c r="X49" i="2"/>
  <c r="W49" i="2"/>
  <c r="V49" i="2"/>
  <c r="U49" i="2"/>
  <c r="T49" i="2"/>
  <c r="Y49" i="2"/>
  <c r="Y44" i="2"/>
  <c r="X44" i="2"/>
  <c r="W44" i="2"/>
  <c r="V44" i="2"/>
  <c r="U44" i="2"/>
  <c r="U9" i="2" s="1"/>
  <c r="U10" i="2" s="1"/>
  <c r="T46" i="2"/>
  <c r="T79" i="2" s="1"/>
  <c r="K43" i="5" l="1"/>
  <c r="K49" i="5"/>
  <c r="V9" i="2"/>
  <c r="V10" i="2" s="1"/>
  <c r="G25" i="5"/>
  <c r="X9" i="2"/>
  <c r="X10" i="2" s="1"/>
  <c r="I25" i="5"/>
  <c r="Y9" i="2"/>
  <c r="Y10" i="2" s="1"/>
  <c r="J25" i="5"/>
  <c r="K45" i="5"/>
  <c r="K46" i="5" s="1"/>
  <c r="Z161" i="2"/>
  <c r="W9" i="2"/>
  <c r="W10" i="2" s="1"/>
  <c r="H25" i="5"/>
  <c r="Z128" i="2"/>
  <c r="Z106" i="2"/>
  <c r="Z9" i="2"/>
  <c r="Z10" i="2" s="1"/>
  <c r="E42" i="7"/>
  <c r="E21" i="7"/>
  <c r="E43" i="7"/>
  <c r="V26" i="2"/>
  <c r="V18" i="2" s="1"/>
  <c r="V27" i="2"/>
  <c r="E56" i="7"/>
  <c r="E61" i="7"/>
  <c r="I35" i="7"/>
  <c r="I54" i="7"/>
  <c r="I53" i="7"/>
  <c r="I36" i="7"/>
  <c r="F21" i="7"/>
  <c r="F42" i="7"/>
  <c r="F43" i="7"/>
  <c r="F56" i="7"/>
  <c r="F61" i="7"/>
  <c r="G21" i="7"/>
  <c r="G43" i="7"/>
  <c r="G42" i="7"/>
  <c r="G56" i="7"/>
  <c r="G61" i="7"/>
  <c r="I42" i="7"/>
  <c r="I43" i="7"/>
  <c r="I56" i="7"/>
  <c r="I61" i="7"/>
  <c r="H24" i="7"/>
  <c r="H18" i="7" s="1"/>
  <c r="H25" i="7"/>
  <c r="H29" i="7"/>
  <c r="H17" i="7"/>
  <c r="H16" i="7"/>
  <c r="O10" i="7"/>
  <c r="N10" i="7"/>
  <c r="E29" i="7"/>
  <c r="E24" i="7"/>
  <c r="E18" i="7" s="1"/>
  <c r="E25" i="7"/>
  <c r="E16" i="7"/>
  <c r="E17" i="7"/>
  <c r="F29" i="7"/>
  <c r="F25" i="7"/>
  <c r="F16" i="7"/>
  <c r="F24" i="7"/>
  <c r="F18" i="7" s="1"/>
  <c r="F17" i="7"/>
  <c r="G24" i="7"/>
  <c r="G18" i="7" s="1"/>
  <c r="G29" i="7"/>
  <c r="G25" i="7"/>
  <c r="G16" i="7"/>
  <c r="G17" i="7"/>
  <c r="H43" i="7"/>
  <c r="H21" i="7"/>
  <c r="H42" i="7"/>
  <c r="H56" i="7"/>
  <c r="H61" i="7"/>
  <c r="Y68" i="2"/>
  <c r="D68" i="2" s="1"/>
  <c r="H28" i="7"/>
  <c r="H22" i="7"/>
  <c r="H51" i="7"/>
  <c r="H52" i="7" s="1"/>
  <c r="Z154" i="2"/>
  <c r="D42" i="7"/>
  <c r="D21" i="7"/>
  <c r="D43" i="7"/>
  <c r="U27" i="2"/>
  <c r="U26" i="2"/>
  <c r="U18" i="2" s="1"/>
  <c r="D56" i="7"/>
  <c r="D61" i="7"/>
  <c r="D25" i="7"/>
  <c r="D24" i="7"/>
  <c r="D29" i="7"/>
  <c r="D16" i="7"/>
  <c r="D17" i="7"/>
  <c r="U46" i="2"/>
  <c r="U79" i="2" s="1"/>
  <c r="Z46" i="2"/>
  <c r="Z79" i="2" s="1"/>
  <c r="Z144" i="2"/>
  <c r="I21" i="7"/>
  <c r="I44" i="7"/>
  <c r="V46" i="2"/>
  <c r="V79" i="2" s="1"/>
  <c r="H7" i="1"/>
  <c r="Y78" i="2"/>
  <c r="Z78" i="2"/>
  <c r="Y85" i="2"/>
  <c r="W46" i="2"/>
  <c r="W79" i="2" s="1"/>
  <c r="X46" i="2"/>
  <c r="X79" i="2" s="1"/>
  <c r="U85" i="2"/>
  <c r="V85" i="2"/>
  <c r="U78" i="2"/>
  <c r="W85" i="2"/>
  <c r="V78" i="2"/>
  <c r="X85" i="2"/>
  <c r="Y46" i="2"/>
  <c r="Y79" i="2" s="1"/>
  <c r="W78" i="2"/>
  <c r="X78" i="2"/>
  <c r="J26" i="5" l="1"/>
  <c r="J46" i="5"/>
  <c r="J32" i="5"/>
  <c r="J49" i="5"/>
  <c r="J43" i="5"/>
  <c r="G46" i="5"/>
  <c r="G49" i="5"/>
  <c r="G32" i="5"/>
  <c r="G43" i="5"/>
  <c r="H49" i="5"/>
  <c r="H46" i="5"/>
  <c r="H43" i="5"/>
  <c r="H26" i="5"/>
  <c r="H32" i="5"/>
  <c r="I46" i="5"/>
  <c r="I43" i="5"/>
  <c r="I26" i="5"/>
  <c r="I49" i="5"/>
  <c r="I32" i="5"/>
  <c r="K26" i="5"/>
  <c r="Z157" i="2"/>
  <c r="Z159" i="2" s="1"/>
  <c r="AA158" i="2" s="1"/>
  <c r="AA159" i="2" s="1"/>
  <c r="H47" i="7"/>
  <c r="E31" i="7"/>
  <c r="G47" i="7"/>
  <c r="N21" i="7"/>
  <c r="O35" i="7"/>
  <c r="N35" i="7"/>
  <c r="F47" i="7"/>
  <c r="N36" i="7"/>
  <c r="O36" i="7"/>
  <c r="N44" i="7"/>
  <c r="O44" i="7"/>
  <c r="H30" i="7"/>
  <c r="E32" i="7"/>
  <c r="D31" i="7"/>
  <c r="D32" i="7"/>
  <c r="D47" i="7"/>
  <c r="O42" i="7"/>
  <c r="N42" i="7"/>
  <c r="F32" i="7"/>
  <c r="F31" i="7"/>
  <c r="I47" i="7"/>
  <c r="G31" i="7"/>
  <c r="G32" i="7"/>
  <c r="H31" i="7"/>
  <c r="H32" i="7"/>
  <c r="O43" i="7"/>
  <c r="N43" i="7"/>
  <c r="O21" i="7"/>
  <c r="E47" i="7"/>
  <c r="Z56" i="2"/>
  <c r="Z85" i="2" s="1"/>
  <c r="Z58" i="2" l="1"/>
  <c r="Z55" i="2"/>
  <c r="D55" i="2" s="1"/>
  <c r="D56" i="2" s="1"/>
  <c r="N47" i="7"/>
  <c r="O47" i="7"/>
  <c r="Z60" i="2" l="1"/>
  <c r="Z64" i="2" s="1"/>
  <c r="Z66" i="2" s="1"/>
  <c r="K31" i="5"/>
  <c r="I58" i="7"/>
  <c r="I59" i="7"/>
  <c r="I23" i="7"/>
  <c r="O23" i="7" s="1"/>
  <c r="I38" i="7"/>
  <c r="O38" i="7" s="1"/>
  <c r="I37" i="7"/>
  <c r="O37" i="7" s="1"/>
  <c r="Z68" i="2"/>
  <c r="I22" i="7"/>
  <c r="I51" i="7"/>
  <c r="I52" i="7" s="1"/>
  <c r="I28" i="7"/>
  <c r="Z86" i="2"/>
  <c r="I14" i="7" s="1"/>
  <c r="D58" i="2"/>
  <c r="D60" i="2" s="1"/>
  <c r="D85" i="2"/>
  <c r="K40" i="5" l="1"/>
  <c r="K51" i="5" s="1"/>
  <c r="K32" i="5"/>
  <c r="K38" i="5"/>
  <c r="N38" i="7"/>
  <c r="N23" i="7"/>
  <c r="N37" i="7"/>
  <c r="I25" i="7"/>
  <c r="I24" i="7"/>
  <c r="I18" i="7" s="1"/>
  <c r="I16" i="7"/>
  <c r="I17" i="7"/>
  <c r="N14" i="7"/>
  <c r="I29" i="7"/>
  <c r="O14" i="7"/>
  <c r="I30" i="7"/>
  <c r="O28" i="7"/>
  <c r="N28" i="7"/>
  <c r="N22" i="7"/>
  <c r="O22" i="7"/>
  <c r="D64" i="2"/>
  <c r="D66" i="2" s="1"/>
  <c r="D86" i="2"/>
  <c r="O18" i="7" l="1"/>
  <c r="N18" i="7"/>
  <c r="I32" i="7"/>
  <c r="I31" i="7"/>
  <c r="O29" i="7"/>
  <c r="N29" i="7"/>
  <c r="N17" i="7"/>
  <c r="O17" i="7"/>
  <c r="N16" i="7"/>
  <c r="O16" i="7"/>
  <c r="O24" i="7"/>
  <c r="N24" i="7"/>
  <c r="N25" i="7"/>
  <c r="O25" i="7"/>
  <c r="N30" i="7"/>
  <c r="O30" i="7"/>
  <c r="O31" i="7" l="1"/>
  <c r="N31" i="7"/>
  <c r="N32" i="7"/>
  <c r="O32" i="7"/>
  <c r="AA44" i="2" l="1"/>
  <c r="L25" i="5" s="1"/>
  <c r="L26" i="5" l="1"/>
  <c r="L49" i="5"/>
  <c r="L43" i="5"/>
  <c r="L46" i="5"/>
  <c r="AA46" i="2"/>
  <c r="AA56" i="2" s="1"/>
  <c r="AA85" i="2" s="1"/>
  <c r="AA22" i="2"/>
  <c r="F22" i="2" s="1"/>
  <c r="AA20" i="2"/>
  <c r="F20" i="2" s="1"/>
  <c r="J43" i="7"/>
  <c r="J42" i="7"/>
  <c r="J21" i="7"/>
  <c r="J56" i="7"/>
  <c r="AA26" i="2"/>
  <c r="F26" i="2" s="1"/>
  <c r="F18" i="2" s="1"/>
  <c r="AA24" i="2"/>
  <c r="F24" i="2" s="1"/>
  <c r="AA23" i="2"/>
  <c r="F23" i="2" s="1"/>
  <c r="J61" i="7"/>
  <c r="AA78" i="2"/>
  <c r="AA9" i="2"/>
  <c r="AA10" i="2" s="1"/>
  <c r="AA21" i="2"/>
  <c r="F21" i="2" s="1"/>
  <c r="AB78" i="2"/>
  <c r="M28" i="5" s="1"/>
  <c r="M26" i="5" l="1" a="1"/>
  <c r="M26" i="5" s="1"/>
  <c r="M25" i="5" s="1"/>
  <c r="M29" i="5"/>
  <c r="M27" i="5"/>
  <c r="J47" i="7"/>
  <c r="AA18" i="2"/>
  <c r="AA79" i="2"/>
  <c r="AA58" i="2"/>
  <c r="L31" i="5" s="1"/>
  <c r="AA27" i="2"/>
  <c r="F27" i="2" s="1"/>
  <c r="L40" i="5" l="1"/>
  <c r="L51" i="5" s="1"/>
  <c r="L38" i="5"/>
  <c r="L32" i="5"/>
  <c r="M31" i="5"/>
  <c r="M37" i="5" s="1"/>
  <c r="M40" i="5" s="1"/>
  <c r="M45" i="5"/>
  <c r="M48" i="5"/>
  <c r="M42" i="5"/>
  <c r="N25" i="5"/>
  <c r="AA60" i="2"/>
  <c r="J37" i="7"/>
  <c r="J23" i="7"/>
  <c r="J38" i="7"/>
  <c r="J59" i="7"/>
  <c r="J58" i="7"/>
  <c r="O25" i="5" l="1"/>
  <c r="N45" i="5"/>
  <c r="N42" i="5"/>
  <c r="N31" i="5"/>
  <c r="N37" i="5" s="1"/>
  <c r="N40" i="5" s="1"/>
  <c r="N48" i="5"/>
  <c r="M51" i="5"/>
  <c r="M52" i="5" s="1"/>
  <c r="AA86" i="2"/>
  <c r="J14" i="7" s="1"/>
  <c r="AA64" i="2"/>
  <c r="AA66" i="2" s="1"/>
  <c r="N51" i="5" l="1"/>
  <c r="N52" i="5" s="1"/>
  <c r="O42" i="5"/>
  <c r="O45" i="5"/>
  <c r="P25" i="5"/>
  <c r="O31" i="5"/>
  <c r="O37" i="5" s="1"/>
  <c r="O40" i="5" s="1"/>
  <c r="O48" i="5"/>
  <c r="J28" i="7"/>
  <c r="AA68" i="2"/>
  <c r="F68" i="2" s="1"/>
  <c r="J22" i="7"/>
  <c r="J51" i="7"/>
  <c r="J52" i="7" s="1"/>
  <c r="J25" i="7"/>
  <c r="J24" i="7"/>
  <c r="J18" i="7" s="1"/>
  <c r="J29" i="7"/>
  <c r="J16" i="7"/>
  <c r="J17" i="7"/>
  <c r="O51" i="5" l="1"/>
  <c r="O52" i="5" s="1"/>
  <c r="P48" i="5"/>
  <c r="P45" i="5"/>
  <c r="Q25" i="5"/>
  <c r="P42" i="5"/>
  <c r="P31" i="5"/>
  <c r="P37" i="5" s="1"/>
  <c r="P40" i="5" s="1"/>
  <c r="J30" i="7"/>
  <c r="J32" i="7"/>
  <c r="J31" i="7"/>
  <c r="P51" i="5" l="1"/>
  <c r="P52" i="5" s="1"/>
  <c r="R25" i="5"/>
  <c r="Q31" i="5"/>
  <c r="Q37" i="5" s="1"/>
  <c r="Q40" i="5" s="1"/>
  <c r="Q42" i="5"/>
  <c r="Q45" i="5"/>
  <c r="Q48" i="5"/>
  <c r="G46" i="2"/>
  <c r="G79" i="2" s="1"/>
  <c r="G85" i="2"/>
  <c r="G78" i="2"/>
  <c r="Q51" i="5" l="1"/>
  <c r="Q52" i="5" s="1"/>
  <c r="R42" i="5"/>
  <c r="S25" i="5"/>
  <c r="R48" i="5"/>
  <c r="R45" i="5"/>
  <c r="R31" i="5"/>
  <c r="R37" i="5" s="1"/>
  <c r="R40" i="5" s="1"/>
  <c r="R51" i="5" l="1"/>
  <c r="R52" i="5" s="1"/>
  <c r="S42" i="5"/>
  <c r="S48" i="5"/>
  <c r="S45" i="5"/>
  <c r="T25" i="5"/>
  <c r="S31" i="5"/>
  <c r="S37" i="5" s="1"/>
  <c r="S40" i="5" s="1"/>
  <c r="S51" i="5" l="1"/>
  <c r="S52" i="5" s="1"/>
  <c r="T42" i="5"/>
  <c r="U25" i="5"/>
  <c r="T45" i="5"/>
  <c r="T31" i="5"/>
  <c r="T37" i="5" s="1"/>
  <c r="T40" i="5" s="1"/>
  <c r="T48" i="5"/>
  <c r="T51" i="5" l="1"/>
  <c r="T52" i="5" s="1"/>
  <c r="U48" i="5"/>
  <c r="U42" i="5"/>
  <c r="V25" i="5"/>
  <c r="U31" i="5"/>
  <c r="U37" i="5" s="1"/>
  <c r="U40" i="5" s="1"/>
  <c r="U45" i="5"/>
  <c r="U51" i="5" l="1"/>
  <c r="U52" i="5" s="1"/>
  <c r="V42" i="5"/>
  <c r="V45" i="5"/>
  <c r="V48" i="5"/>
  <c r="V31" i="5"/>
  <c r="V37" i="5" s="1"/>
  <c r="V40" i="5" s="1"/>
  <c r="V51" i="5" l="1"/>
  <c r="V52" i="5" s="1"/>
  <c r="V54" i="5" s="1"/>
  <c r="V55" i="5"/>
  <c r="V56" i="5" s="1"/>
  <c r="V57" i="5" l="1"/>
  <c r="V60" i="5" s="1"/>
  <c r="V62" i="5" s="1"/>
  <c r="J4" i="5" s="1"/>
  <c r="N69" i="5" l="1"/>
  <c r="C69" i="5"/>
  <c r="J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tc={78FF4F1F-E06E-4976-91F9-4EAD7FDAAE3C}</author>
    <author>tc={8BF4635B-3E6F-4A45-8114-1A9B38703F6D}</author>
    <author>Oscar Settje</author>
    <author>tc={7C746E7C-F353-4F9F-A4AC-F81C32DCA15C}</author>
    <author>tc={B079696C-F2C9-4E96-8939-EDE574EEFB24}</author>
  </authors>
  <commentList>
    <comment ref="S42" authorId="0" shapeId="0" xr:uid="{78FF4F1F-E06E-4976-91F9-4EAD7FDAAE3C}">
      <text>
        <t>[Threaded comment]
Your version of Excel allows you to read this threaded comment; however, any edits to it will get removed if the file is opened in a newer version of Excel. Learn more: https://go.microsoft.com/fwlink/?linkid=870924
Comment:
    Sports and Lifestyle activities (Puma etc)</t>
      </text>
    </comment>
    <comment ref="G44" authorId="1" shapeId="0" xr:uid="{8BF4635B-3E6F-4A45-8114-1A9B38703F6D}">
      <text>
        <t>[Threaded comment]
Your version of Excel allows you to read this threaded comment; however, any edits to it will get removed if the file is opened in a newer version of Excel. Learn more: https://go.microsoft.com/fwlink/?linkid=870924
Comment:
    7613 Analyst Consesnus</t>
      </text>
    </comment>
    <comment ref="T44" authorId="2" shapeId="0" xr:uid="{15E1B754-A810-4E26-8F4A-D1C5B14C523B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New Accounting Standart
Restated Rev: 10.816</t>
        </r>
      </text>
    </comment>
    <comment ref="N78" authorId="3" shapeId="0" xr:uid="{7C746E7C-F353-4F9F-A4AC-F81C32DCA15C}">
      <text>
        <t>[Threaded comment]
Your version of Excel allows you to read this threaded comment; however, any edits to it will get removed if the file is opened in a newer version of Excel. Learn more: https://go.microsoft.com/fwlink/?linkid=870924
Comment:
    Divestures of Fnac. Conforama, Redvat and CFAO</t>
      </text>
    </comment>
    <comment ref="AB105" authorId="4" shapeId="0" xr:uid="{B079696C-F2C9-4E96-8939-EDE574EE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Kering Beauty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tc={03B45DC8-9325-42B7-8AA9-B57F9493EAB8}</author>
    <author>tc={AB67C310-CB2C-4A4B-BCC4-F1B9C1CD3E61}</author>
  </authors>
  <commentList>
    <comment ref="P10" authorId="0" shapeId="0" xr:uid="{03B45DC8-9325-42B7-8AA9-B57F9493EAB8}">
      <text>
        <t>[Threaded comment]
Your version of Excel allows you to read this threaded comment; however, any edits to it will get removed if the file is opened in a newer version of Excel. Learn more: https://go.microsoft.com/fwlink/?linkid=870924
Comment:
    Analysist Consensus 3730</t>
      </text>
    </comment>
    <comment ref="S18" authorId="1" shapeId="0" xr:uid="{AB67C310-CB2C-4A4B-BCC4-F1B9C1CD3E61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constant fx 0%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K8" authorId="0" shapeId="0" xr:uid="{4FACF708-819B-4637-A261-38FE60F4918A}">
      <text>
        <r>
          <rPr>
            <b/>
            <sz val="9"/>
            <color indexed="81"/>
            <rFont val="Segoe UI"/>
            <family val="2"/>
          </rPr>
          <t>Oscar Settje:</t>
        </r>
        <r>
          <rPr>
            <sz val="9"/>
            <color indexed="81"/>
            <rFont val="Segoe UI"/>
            <family val="2"/>
          </rPr>
          <t xml:space="preserve">
Aus Mittelwert ausgenommen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<sst xmlns="http://schemas.openxmlformats.org/spreadsheetml/2006/main" count="713" uniqueCount="553">
  <si>
    <t>Kering</t>
  </si>
  <si>
    <t>Investors</t>
  </si>
  <si>
    <t>Capital Structure</t>
  </si>
  <si>
    <t>Price</t>
  </si>
  <si>
    <t>Shares out.</t>
  </si>
  <si>
    <t>MC</t>
  </si>
  <si>
    <t>Cash</t>
  </si>
  <si>
    <t>Debt</t>
  </si>
  <si>
    <t>EV</t>
  </si>
  <si>
    <t xml:space="preserve">Brands </t>
  </si>
  <si>
    <t xml:space="preserve">Products </t>
  </si>
  <si>
    <t>Gucci</t>
  </si>
  <si>
    <t xml:space="preserve">Yves Saint Laurent </t>
  </si>
  <si>
    <t xml:space="preserve">Bottega Veneta </t>
  </si>
  <si>
    <t>Kering Eyewear and Corporate</t>
  </si>
  <si>
    <t>Eyeware</t>
  </si>
  <si>
    <t>Other Houeses:</t>
  </si>
  <si>
    <t xml:space="preserve">Balenciaga </t>
  </si>
  <si>
    <t>Alexander Mcqueen</t>
  </si>
  <si>
    <t>Brioni</t>
  </si>
  <si>
    <t>Boucheron</t>
  </si>
  <si>
    <t>Pomellato</t>
  </si>
  <si>
    <t>Dodo</t>
  </si>
  <si>
    <t>Qeelin</t>
  </si>
  <si>
    <t>Competitors</t>
  </si>
  <si>
    <t>Leather Goods, Shoes, Appereal</t>
  </si>
  <si>
    <t>Appereal and other</t>
  </si>
  <si>
    <t>Fregrance and Jewelery</t>
  </si>
  <si>
    <t>Jewelery</t>
  </si>
  <si>
    <t>Main</t>
  </si>
  <si>
    <t>Revenue</t>
  </si>
  <si>
    <t>Bottega Veneta</t>
  </si>
  <si>
    <t>Other Houeses</t>
  </si>
  <si>
    <t xml:space="preserve">Elminations </t>
  </si>
  <si>
    <t xml:space="preserve">Total Revenue </t>
  </si>
  <si>
    <t>FY17</t>
  </si>
  <si>
    <t>FY18</t>
  </si>
  <si>
    <t>FY19</t>
  </si>
  <si>
    <t>FY20</t>
  </si>
  <si>
    <t>FY21</t>
  </si>
  <si>
    <t>FY22</t>
  </si>
  <si>
    <t>FY23</t>
  </si>
  <si>
    <t>FY24</t>
  </si>
  <si>
    <t xml:space="preserve">COGS </t>
  </si>
  <si>
    <t>Gross Profit</t>
  </si>
  <si>
    <t>Total Recuring Operating Income</t>
  </si>
  <si>
    <t xml:space="preserve">Operating Income </t>
  </si>
  <si>
    <t xml:space="preserve">Financial Result </t>
  </si>
  <si>
    <t>Pre Tax Income</t>
  </si>
  <si>
    <t xml:space="preserve">Income Tax Expenses </t>
  </si>
  <si>
    <t>Shares</t>
  </si>
  <si>
    <t>EPS</t>
  </si>
  <si>
    <t>x</t>
  </si>
  <si>
    <t>Q224</t>
  </si>
  <si>
    <t>Gross Margin</t>
  </si>
  <si>
    <t>Total Operating Margin</t>
  </si>
  <si>
    <t>Tax Rate</t>
  </si>
  <si>
    <t>Balance Sheet</t>
  </si>
  <si>
    <t>Goodwill</t>
  </si>
  <si>
    <t>Lease right-of-use assets</t>
  </si>
  <si>
    <t xml:space="preserve">Property, Plant and Equipment </t>
  </si>
  <si>
    <t>Non-current financial assets</t>
  </si>
  <si>
    <t>Deferred tax assets</t>
  </si>
  <si>
    <t xml:space="preserve">Other non-current assets </t>
  </si>
  <si>
    <t xml:space="preserve">Total non-current assets </t>
  </si>
  <si>
    <t xml:space="preserve">Inventories </t>
  </si>
  <si>
    <t xml:space="preserve">Current tax recivables </t>
  </si>
  <si>
    <t>Current financial assets</t>
  </si>
  <si>
    <t>Other current assets</t>
  </si>
  <si>
    <t xml:space="preserve">Cash and cash equivalents </t>
  </si>
  <si>
    <t xml:space="preserve">Total current assets </t>
  </si>
  <si>
    <t>Total Equity</t>
  </si>
  <si>
    <t>Non-current borrowings</t>
  </si>
  <si>
    <t>Non-current lease-liabilties</t>
  </si>
  <si>
    <t xml:space="preserve">Non-current financial liabilties </t>
  </si>
  <si>
    <t>Non-current provisions</t>
  </si>
  <si>
    <t>Deferred tax liabilities</t>
  </si>
  <si>
    <t>Other non-current liabilities</t>
  </si>
  <si>
    <t>Non-current liabilties</t>
  </si>
  <si>
    <t>Current borrowings</t>
  </si>
  <si>
    <t>Current lease liabilities</t>
  </si>
  <si>
    <t>Current financial liabilities</t>
  </si>
  <si>
    <t xml:space="preserve">Current provisions </t>
  </si>
  <si>
    <t xml:space="preserve">Current tax liabilities </t>
  </si>
  <si>
    <t xml:space="preserve">Other current liabilities </t>
  </si>
  <si>
    <t>Total current liabilities</t>
  </si>
  <si>
    <t>Total Equity and Liabilties</t>
  </si>
  <si>
    <t>Total Assets</t>
  </si>
  <si>
    <t>Cash Flow Statement</t>
  </si>
  <si>
    <t xml:space="preserve">Net Income from cont. Operations </t>
  </si>
  <si>
    <t>Depreciation &amp; Amortization</t>
  </si>
  <si>
    <t xml:space="preserve">Other non-cash (Income) expenses </t>
  </si>
  <si>
    <t xml:space="preserve">Interest paid </t>
  </si>
  <si>
    <t xml:space="preserve">Dividends received </t>
  </si>
  <si>
    <t xml:space="preserve">Current tax expenses </t>
  </si>
  <si>
    <t>Change in working capital requirements</t>
  </si>
  <si>
    <t xml:space="preserve">Income tax paid </t>
  </si>
  <si>
    <t>Interest and dividends received</t>
  </si>
  <si>
    <t>Increase/Decrease in share capital</t>
  </si>
  <si>
    <t xml:space="preserve">Divedends paid to shareholders </t>
  </si>
  <si>
    <t>Transactions with minority interests</t>
  </si>
  <si>
    <t>Issuance of bonds and bank debt</t>
  </si>
  <si>
    <t>Redemption of bonds and bank debt</t>
  </si>
  <si>
    <t>Issuance (redemption) of other borrowings</t>
  </si>
  <si>
    <t>Repayment of lease liabilities</t>
  </si>
  <si>
    <t>Interest paid and equivalent</t>
  </si>
  <si>
    <t xml:space="preserve">Net Change in Cash </t>
  </si>
  <si>
    <t>CFFO</t>
  </si>
  <si>
    <t>CFFI</t>
  </si>
  <si>
    <t>CFFF</t>
  </si>
  <si>
    <t>numbers in mio EUR</t>
  </si>
  <si>
    <t>KER.PA</t>
  </si>
  <si>
    <t>Notes:</t>
  </si>
  <si>
    <t>Disposal of Girard-Perregaux and Ulysse Nardin in 2022 (Watch-Makers)</t>
  </si>
  <si>
    <t>Revenue Stores &amp; E-Com</t>
  </si>
  <si>
    <t>Revenue Wholesale</t>
  </si>
  <si>
    <t>Date</t>
  </si>
  <si>
    <t xml:space="preserve">Company </t>
  </si>
  <si>
    <t>Multiples</t>
  </si>
  <si>
    <t xml:space="preserve">Name </t>
  </si>
  <si>
    <t xml:space="preserve">Revenue </t>
  </si>
  <si>
    <t xml:space="preserve">EBIT </t>
  </si>
  <si>
    <t>ROC</t>
  </si>
  <si>
    <t>P/CF</t>
  </si>
  <si>
    <t>EV/EBIT</t>
  </si>
  <si>
    <t>LVMH</t>
  </si>
  <si>
    <t>Hermés</t>
  </si>
  <si>
    <t>Richemont</t>
  </si>
  <si>
    <t>Pandora</t>
  </si>
  <si>
    <t>Capri Holdings (vormals Michael Kors)</t>
  </si>
  <si>
    <t>Moncler</t>
  </si>
  <si>
    <t>Hugo Boss</t>
  </si>
  <si>
    <t>Brunello Cucinelli</t>
  </si>
  <si>
    <t>Burbery</t>
  </si>
  <si>
    <t>Christian Dior</t>
  </si>
  <si>
    <t xml:space="preserve">Canada Goose Holdings </t>
  </si>
  <si>
    <t>n.a.</t>
  </si>
  <si>
    <t xml:space="preserve">Ralph Lauren </t>
  </si>
  <si>
    <t>Prada</t>
  </si>
  <si>
    <t>Salvatore Ferragamo</t>
  </si>
  <si>
    <t>Tod's S.p.A.</t>
  </si>
  <si>
    <t>Median</t>
  </si>
  <si>
    <t>Mittelwert</t>
  </si>
  <si>
    <t>Kering (onvista)</t>
  </si>
  <si>
    <t>Dividende</t>
  </si>
  <si>
    <t>P/R</t>
  </si>
  <si>
    <t>P/E</t>
  </si>
  <si>
    <t>PEG</t>
  </si>
  <si>
    <t>P/B</t>
  </si>
  <si>
    <t>Founded: 1963</t>
  </si>
  <si>
    <t>Ticker</t>
  </si>
  <si>
    <t>Share Price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</si>
  <si>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</si>
  <si>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</si>
  <si>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</si>
  <si>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</si>
  <si>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</si>
  <si>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</si>
  <si>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</si>
  <si>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</si>
  <si>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</si>
  <si>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</si>
  <si>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</si>
  <si>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>EBIT</t>
  </si>
  <si>
    <t>WACC</t>
  </si>
  <si>
    <t>TGR</t>
  </si>
  <si>
    <t>Probability</t>
  </si>
  <si>
    <t>ROIC</t>
  </si>
  <si>
    <t>Implied Share Price * p</t>
  </si>
  <si>
    <t>Valuation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</si>
  <si>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</si>
  <si>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</si>
  <si>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</si>
  <si>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</si>
  <si>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</si>
  <si>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</si>
  <si>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</si>
  <si>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</si>
  <si>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</si>
  <si>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CapEx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</si>
  <si>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</si>
  <si>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</si>
  <si>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</si>
  <si>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</si>
  <si>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</si>
  <si>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</si>
  <si>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</si>
  <si>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</si>
  <si>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</si>
  <si>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</si>
  <si>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</si>
  <si>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</si>
  <si>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</si>
  <si>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Ratios</t>
  </si>
  <si>
    <t>Shares o/s</t>
  </si>
  <si>
    <t>Market Cap</t>
  </si>
  <si>
    <t>Net Debt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</si>
  <si>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</si>
  <si>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</si>
  <si>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</si>
  <si>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</si>
  <si>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</si>
  <si>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</si>
  <si>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</si>
  <si>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</si>
  <si>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</si>
  <si>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</si>
  <si>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</si>
  <si>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</si>
  <si>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</si>
  <si>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</si>
  <si>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</si>
  <si>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</si>
  <si>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</si>
  <si>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</si>
  <si>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</si>
  <si>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=Revenue/Total Assets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</si>
  <si>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</si>
  <si>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</si>
  <si>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</si>
  <si>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</si>
  <si>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</si>
  <si>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</si>
  <si>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</si>
  <si>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</si>
  <si>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</si>
  <si>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</si>
  <si>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</si>
  <si>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</si>
  <si>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</si>
  <si>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</si>
  <si>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</si>
  <si>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</si>
  <si>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</si>
  <si>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</si>
  <si>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</si>
  <si>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</si>
  <si>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</si>
  <si>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</si>
  <si>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</si>
  <si>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</si>
  <si>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</si>
  <si>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</si>
  <si>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</si>
  <si>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</si>
  <si>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</si>
  <si>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</si>
  <si>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</si>
  <si>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</si>
  <si>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</si>
  <si>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</si>
  <si>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</si>
  <si>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</si>
  <si>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</si>
  <si>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</si>
  <si>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</si>
  <si>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</si>
  <si>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</si>
  <si>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</si>
  <si>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</si>
  <si>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</si>
  <si>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</si>
  <si>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</si>
  <si>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</si>
  <si>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</si>
  <si>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</si>
  <si>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</si>
  <si>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</si>
  <si>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</si>
  <si>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</si>
  <si>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</si>
  <si>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</si>
  <si>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</si>
  <si>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</si>
  <si>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</si>
  <si>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</si>
  <si>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=EV/EBIT</t>
  </si>
  <si>
    <t>EV/FCF</t>
  </si>
  <si>
    <t>=EV/FCF</t>
  </si>
  <si>
    <t>EV/Sales</t>
  </si>
  <si>
    <t>=EV/Revenue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</si>
  <si>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</si>
  <si>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</si>
  <si>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</si>
  <si>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</si>
  <si>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</si>
  <si>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</si>
  <si>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</si>
  <si>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</si>
  <si>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</si>
  <si>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</si>
  <si>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</si>
  <si>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</si>
  <si>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</si>
  <si>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</si>
  <si>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</si>
  <si>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</si>
  <si>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</si>
  <si>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</si>
  <si>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</si>
  <si>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</si>
  <si>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</si>
  <si>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</si>
  <si>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</si>
  <si>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</si>
  <si>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</si>
  <si>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</si>
  <si>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</si>
  <si>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</si>
  <si>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</si>
  <si>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Market Value of Debt</t>
  </si>
  <si>
    <t xml:space="preserve">Market Value of Equity </t>
  </si>
  <si>
    <t>Total  Enterprise Value</t>
  </si>
  <si>
    <t>Marginal Tax Rate</t>
  </si>
  <si>
    <t>=&gt; WACC = (D/D+E)*kd * (1-t) + (E/D+E) * ke</t>
  </si>
  <si>
    <t>GUCCI</t>
  </si>
  <si>
    <t>H123</t>
  </si>
  <si>
    <t>H223</t>
  </si>
  <si>
    <t>H124</t>
  </si>
  <si>
    <t>H224</t>
  </si>
  <si>
    <t>H125</t>
  </si>
  <si>
    <t>H225</t>
  </si>
  <si>
    <t>Yves Saint Laurent</t>
  </si>
  <si>
    <t>Personal Expenses</t>
  </si>
  <si>
    <t>Other reoccuring Opex and Income</t>
  </si>
  <si>
    <t>OpeEx</t>
  </si>
  <si>
    <t>Non-reoccuring Opex</t>
  </si>
  <si>
    <t>Discontinued Operations</t>
  </si>
  <si>
    <t>Net Income</t>
  </si>
  <si>
    <t>Net Income to minorities</t>
  </si>
  <si>
    <t>Net Income to company</t>
  </si>
  <si>
    <t xml:space="preserve">Brands/other Intangibles </t>
  </si>
  <si>
    <t>Equity Investments</t>
  </si>
  <si>
    <t>Trade receivables &amp; accrued income</t>
  </si>
  <si>
    <t xml:space="preserve">Equity to minority interests </t>
  </si>
  <si>
    <t>Equity to Group</t>
  </si>
  <si>
    <t>Non-current provisions for pensions &amp; other</t>
  </si>
  <si>
    <t>Trade payables &amp; accrued expenses</t>
  </si>
  <si>
    <t>Current provisions for pensions &amp; other</t>
  </si>
  <si>
    <t>Income from subsidiaries &amp; associates</t>
  </si>
  <si>
    <t xml:space="preserve">Income from other financial assets </t>
  </si>
  <si>
    <t>Acquisitions of Kering treasury shares</t>
  </si>
  <si>
    <t>Exchnage Rates</t>
  </si>
  <si>
    <t>Cash from disc. Operations</t>
  </si>
  <si>
    <t>Cash and cash equivalents BoP</t>
  </si>
  <si>
    <t>Cash and cash equivalents EoP</t>
  </si>
  <si>
    <t>% of Rev</t>
  </si>
  <si>
    <t>Total Stores</t>
  </si>
  <si>
    <t>RPS</t>
  </si>
  <si>
    <t>Europe Stores</t>
  </si>
  <si>
    <t>Japan Stores</t>
  </si>
  <si>
    <t>Asia Stores (excl. Japan)</t>
  </si>
  <si>
    <t>Rest of World</t>
  </si>
  <si>
    <t>Jan. 2024 -&gt; Acquistion of strategic Real Estate in New York 10.700 sqm for 885 mio EUR 715-175 Fith Evenue</t>
  </si>
  <si>
    <t>April 2024 -&gt; Acquistion of company that ownes real estate in  at 8 Via 11,800 sqm for 1,3 bil EUR
Montenapoleone in Milan</t>
  </si>
  <si>
    <t>Asia Revenue</t>
  </si>
  <si>
    <t>Western Europe Revenue</t>
  </si>
  <si>
    <t>North America Revenue</t>
  </si>
  <si>
    <t>Japan Revenue</t>
  </si>
  <si>
    <t>Rest of the World Revenue</t>
  </si>
  <si>
    <t>Wholesale Revenue</t>
  </si>
  <si>
    <t>Store Revenue</t>
  </si>
  <si>
    <t>Gucci Stores</t>
  </si>
  <si>
    <t>90% of Revenue in driectly operated stores</t>
  </si>
  <si>
    <t>10% of Revenue in Wholesale</t>
  </si>
  <si>
    <t>Gucci RPS</t>
  </si>
  <si>
    <t>Saint Laurent Stores</t>
  </si>
  <si>
    <t>Products:</t>
  </si>
  <si>
    <t>81% of Revenue in driectly operated stores</t>
  </si>
  <si>
    <t>19% of Revenue in Wholesale</t>
  </si>
  <si>
    <t>Saint Laurent RPS</t>
  </si>
  <si>
    <t>Bottega Stores</t>
  </si>
  <si>
    <t>Bottega RPS</t>
  </si>
  <si>
    <t>Bottega Venetta</t>
  </si>
  <si>
    <t>84% of Revenue in driectly operated stores</t>
  </si>
  <si>
    <t>16% of Revenue in Wholesale</t>
  </si>
  <si>
    <t>Other Houses</t>
  </si>
  <si>
    <t>73% of Revenue in driectly operated stores</t>
  </si>
  <si>
    <t>27% of Revenue in Wholesale</t>
  </si>
  <si>
    <t>Other</t>
  </si>
  <si>
    <t>Other Houes Stores</t>
  </si>
  <si>
    <t>Other Houes RPS</t>
  </si>
  <si>
    <t>Kering Eyewear</t>
  </si>
  <si>
    <t>Dual Tranche Bond: 1 bil EUR for 8-year matuiry 3,375% Coupon, 750 Mil for 12 year maturity 3,625% Coupon</t>
  </si>
  <si>
    <t>Valentino</t>
  </si>
  <si>
    <t>North America Stores</t>
  </si>
  <si>
    <t>Store Growth</t>
  </si>
  <si>
    <t>CFO: Armelle Poulou</t>
  </si>
  <si>
    <t>Invested Capital (excl. Intangibles)</t>
  </si>
  <si>
    <t>Average</t>
  </si>
  <si>
    <t>Expected Growth in NOPAT (excl. Int)</t>
  </si>
  <si>
    <t>Creative Director: Anthony Vaccarello</t>
  </si>
  <si>
    <t>CEO: Bartolomeo Rongone</t>
  </si>
  <si>
    <t>https://www.gq-magazin.de/artikel/gucci-sabato-de-sarno-spring-summer-2025</t>
  </si>
  <si>
    <t>Red -&gt; New main colour of GUCCI</t>
  </si>
  <si>
    <t xml:space="preserve">Contrast  to Allesandro Michele -&gt; less  loud </t>
  </si>
  <si>
    <t>https://www.vogue.de/artikel/gucci-kreativdirektor-sabato-de-sarno-interview</t>
  </si>
  <si>
    <t>GUCCI Design Idea</t>
  </si>
  <si>
    <t>https://bellevue.nzz.ch/mode-beauty/wer-ist-sabato-de-sarno-gucci-zeigt-film-ueber-neuen-chefdesigner-ld.1822928</t>
  </si>
  <si>
    <t>Gucci Collections:</t>
  </si>
  <si>
    <t>https://www.vogue.com/fashion-shows/designer/gucci</t>
  </si>
  <si>
    <t>next Collection</t>
  </si>
  <si>
    <t>50% Leather Goods</t>
  </si>
  <si>
    <t>21% Shoes</t>
  </si>
  <si>
    <t>17% Ready-to-Wear</t>
  </si>
  <si>
    <t>4% Wathches &amp; Jewelery</t>
  </si>
  <si>
    <t>8% other</t>
  </si>
  <si>
    <t>70% Leather Goods</t>
  </si>
  <si>
    <t>7% Shoes</t>
  </si>
  <si>
    <t>12% Ready-to-Wear</t>
  </si>
  <si>
    <t>11% other</t>
  </si>
  <si>
    <t>79% Leather Goods</t>
  </si>
  <si>
    <t>9% Shoes</t>
  </si>
  <si>
    <t>9% Ready-to-Wear</t>
  </si>
  <si>
    <t>3% other</t>
  </si>
  <si>
    <t>17% Leather Goods</t>
  </si>
  <si>
    <t>25% Shoes</t>
  </si>
  <si>
    <t>26% Ready-to-Wear</t>
  </si>
  <si>
    <t>28% Wathches &amp; Jewelery</t>
  </si>
  <si>
    <t>4% other</t>
  </si>
  <si>
    <t>Products: Eyewear</t>
  </si>
  <si>
    <t>Brands: Lindberg, Maui Jim, Zeal Optics, Gucci, Cartier, Saint Laurent, Bottega Veneta, Balenciaga, Chloé, Alexander Mcqueen, Montblanc, Dunhill, Alaïa, Puma</t>
  </si>
  <si>
    <t>CEO: Roberto Vedovotto</t>
  </si>
  <si>
    <t>Balenciaga</t>
  </si>
  <si>
    <t>Alexander McQueen</t>
  </si>
  <si>
    <t xml:space="preserve">Boucheron </t>
  </si>
  <si>
    <t>DoDo</t>
  </si>
  <si>
    <t>Queelin</t>
  </si>
  <si>
    <t>Kering Beatué</t>
  </si>
  <si>
    <t>Ready-to-Wear, Shoes, Leather Goods etc</t>
  </si>
  <si>
    <t>Suits, Shoes etc</t>
  </si>
  <si>
    <t>Creative Director: Demna Gvasalia</t>
  </si>
  <si>
    <t>Creative Director: Sean McGirr</t>
  </si>
  <si>
    <t>CEO: Gianfilippo Testa</t>
  </si>
  <si>
    <t>CEO: Mehdi Benabadji</t>
  </si>
  <si>
    <t>Creative Director: Justin O'Shea</t>
  </si>
  <si>
    <t>CEO: Helene Poulit-Duquesne</t>
  </si>
  <si>
    <t>CEO: Sabina Belli</t>
  </si>
  <si>
    <t>CEO: Christophe Artaux</t>
  </si>
  <si>
    <t>Creative Director: Dennis Chan</t>
  </si>
  <si>
    <t>Creative Dircetor: Vincenzo Castaldo</t>
  </si>
  <si>
    <t>Creative Dircetor: Claire Choisne</t>
  </si>
  <si>
    <t>Ginori 1735</t>
  </si>
  <si>
    <t>CEO: Massimiliano Righi</t>
  </si>
  <si>
    <t>Tabletop and Home Decor</t>
  </si>
  <si>
    <t>CEO: Raffaella Cornaggia</t>
  </si>
  <si>
    <t>Parfume for Bottega Veneta, Balenciaga, Alexander McQueen, Pomellato, Qeelin and Creed</t>
  </si>
  <si>
    <t>FY25</t>
  </si>
  <si>
    <t>FY26</t>
  </si>
  <si>
    <t>FY27</t>
  </si>
  <si>
    <t>FY28</t>
  </si>
  <si>
    <t>FY29</t>
  </si>
  <si>
    <t>FY30</t>
  </si>
  <si>
    <t>Luxury Eyewear Global Revenue</t>
  </si>
  <si>
    <t>Luxury Fashion Global Revenue</t>
  </si>
  <si>
    <t>Luxury Leather Goods Global Revenue</t>
  </si>
  <si>
    <t>Luxury Watches &amp; Jewelery Global Revenue</t>
  </si>
  <si>
    <t>Luxury Beauty Products Global Revenue</t>
  </si>
  <si>
    <t>Total Market</t>
  </si>
  <si>
    <t>https://www.statista.com/outlook/cmo/luxury-goods/worldwide#revenue</t>
  </si>
  <si>
    <t>Kering Revenue in USD</t>
  </si>
  <si>
    <t>Market Share in %</t>
  </si>
  <si>
    <t>EUR/USD</t>
  </si>
  <si>
    <t>Total Market Growth</t>
  </si>
  <si>
    <t>Q324</t>
  </si>
  <si>
    <t>Eliminations</t>
  </si>
  <si>
    <t>Q124</t>
  </si>
  <si>
    <t>Q123</t>
  </si>
  <si>
    <t>Q223</t>
  </si>
  <si>
    <t>Q323</t>
  </si>
  <si>
    <t>Q423</t>
  </si>
  <si>
    <t>Q424</t>
  </si>
  <si>
    <t>Saint Laurent</t>
  </si>
  <si>
    <t>Q324: Ewa Abrams appointed President of Kering Americas</t>
  </si>
  <si>
    <t>Boucheron fist Store in NY</t>
  </si>
  <si>
    <t>Q122</t>
  </si>
  <si>
    <t>Q322</t>
  </si>
  <si>
    <t>Q222</t>
  </si>
  <si>
    <t>Q422</t>
  </si>
  <si>
    <t>Revenues:</t>
  </si>
  <si>
    <t>Growth</t>
  </si>
  <si>
    <t>https://quartr.com/insights/company-research/house-of-pinault-the-history-and-business-of-kering-and-gucci?utm_source=edge&amp;utm_medium=email&amp;utm_campaign=edge_45</t>
  </si>
  <si>
    <t>15-01-25: Real Estate Deal with Adrian for these properties: Hôtel de Nocé, located 26, place Vendôme, and two buildings located on avenue Montaigne, at 35-37 and 56, Kerings investment amounts to 837 mio EUR</t>
  </si>
  <si>
    <t>29-01-25: Patnership with 0-93. Lab</t>
  </si>
  <si>
    <t xml:space="preserve">07-02-25: Gucci endes collaboration with Sabato de Sarno </t>
  </si>
  <si>
    <t>Assets Held for Sale</t>
  </si>
  <si>
    <t>Liabilties asc. with assets held for sale</t>
  </si>
  <si>
    <t>COO: Jean-Marc Duplaix</t>
  </si>
  <si>
    <t>Brand Development: Francessca Bellettini</t>
  </si>
  <si>
    <t>Employees</t>
  </si>
  <si>
    <t>Valentino will be incoporated in the group within 3 years</t>
  </si>
  <si>
    <t>Strategy</t>
  </si>
  <si>
    <t>4 Pillars:</t>
  </si>
  <si>
    <t>3.Distribution and Client Experience: Increase exclusivity</t>
  </si>
  <si>
    <t xml:space="preserve">4. Excellence in Execution: Improving organization </t>
  </si>
  <si>
    <t>1.Brand Building: Convey brand narrative</t>
  </si>
  <si>
    <t>2.Product Strategy: covering relevant range</t>
  </si>
  <si>
    <t>Focus on direclty operated online stores, lower wholesale penetration, close outlets and stores with low profitability</t>
  </si>
  <si>
    <t>Kering Beaute: Launch of Bottega and Balenciaga fragrances in H2.24</t>
  </si>
  <si>
    <t xml:space="preserve">November 2024: 750mio EUR bond 10 year maturity 3,625% coupon </t>
  </si>
  <si>
    <t>CEO: Cedric Charbit (former: Francesca Bellettini)</t>
  </si>
  <si>
    <t>CEO: Gianfranco Gianangeli  (former: Cedric Charbit, now at YSL)</t>
  </si>
  <si>
    <t>Creative Director:  Louise Trotter (former: Matthieu Blazy)</t>
  </si>
  <si>
    <t>Management</t>
  </si>
  <si>
    <t>Bottega Venetta first Parfume collection through Kering Beautue</t>
  </si>
  <si>
    <t>13-03-25: Demna new creative director of Gucci</t>
  </si>
  <si>
    <t xml:space="preserve"> Former: Sabato de Sano, Alessandro Michele</t>
  </si>
  <si>
    <t>Demna Gvasalia: Founder of Vetments, former creative director of Balenciaga</t>
  </si>
  <si>
    <t>03-04-25: acquisition of Visard and Mistral by Kering Eyewear</t>
  </si>
  <si>
    <t>Supply Chain</t>
  </si>
  <si>
    <t>Q125</t>
  </si>
  <si>
    <t>Q225</t>
  </si>
  <si>
    <t>Q325</t>
  </si>
  <si>
    <t>Q425</t>
  </si>
  <si>
    <t xml:space="preserve">Creative Director: </t>
  </si>
  <si>
    <t>Peirpaolo Piccioli</t>
  </si>
  <si>
    <t>20-05-25: New Creative Director at Balenciag and 750 mio EUR bond issuance</t>
  </si>
  <si>
    <t>10-06-25: Kerign Eyewear acquires Italian manufacturer Lenti (100 employees)-&gt; produces lences for sunglasses, was part of the Safilo Group</t>
  </si>
  <si>
    <t>16-06-25: Kering appoints new CEO Luca de Meo -&gt; biggest rise in stock since 2008, Francouis-Henri Pinault remains chairman of the board</t>
  </si>
  <si>
    <t>CEO: Luca de Meo</t>
  </si>
  <si>
    <t>was former CEO of Renault -&gt; a lot of experience in the automotive industry (Fiat, Volkswagen etc.)</t>
  </si>
  <si>
    <t>FY16</t>
  </si>
  <si>
    <t>FY15</t>
  </si>
  <si>
    <t>FY14</t>
  </si>
  <si>
    <t>FY13</t>
  </si>
  <si>
    <t>FY12</t>
  </si>
  <si>
    <t>FY11</t>
  </si>
  <si>
    <t>Gucci OI</t>
  </si>
  <si>
    <t>Yves Saint Laurent OI</t>
  </si>
  <si>
    <t>Bottega Veneta OI</t>
  </si>
  <si>
    <t>Other HouesesOI</t>
  </si>
  <si>
    <t>Kering Eyewear &amp; Corporate OI</t>
  </si>
  <si>
    <t>Revenue vs. Operating Income since 2007</t>
  </si>
  <si>
    <t>Revenue by houses since 2011</t>
  </si>
  <si>
    <t>Scneario DCF Price</t>
  </si>
  <si>
    <t>Implied Share Price</t>
  </si>
  <si>
    <t>RONIC</t>
  </si>
  <si>
    <t>ROINC</t>
  </si>
  <si>
    <t>Kering DCF</t>
  </si>
  <si>
    <t>Revenue Growth</t>
  </si>
  <si>
    <t>17-09-25: Francesca Bellettini new President and CEO of GUCCI</t>
  </si>
  <si>
    <t>CEO: Francesca Bellettini (Former CEOs: Stefano Cantino, Jean Franqouis Palus)</t>
  </si>
  <si>
    <t>Kering Beaute: Deal with L'Oreal: Sale of Creed and Licenses for 4 billion EUR</t>
  </si>
  <si>
    <t>Debt Ratio</t>
  </si>
  <si>
    <t>16-03-2026: launch of Kering Jewellery, CEO: Jean-Marc Duplaix</t>
  </si>
  <si>
    <t>Latest drop: Primavera</t>
  </si>
  <si>
    <t>https://www.businessoffashion.com/articles/luxury/gucci-demna-pricing-strategy/?utm_source=newsletter_daily_digest&amp;utm_medium=email&amp;utm_campaign=Daily_Digest_180326&amp;cid=587aba24-4127-469f-8d2d-6bf7a31b470b&amp;did=69ba3f805900d1b23aaac8f231f99758&amp;uid=2360165579082&amp;utm_content=intro</t>
  </si>
  <si>
    <t>created surge in Website traffic: jumped to 316.000 (average 180-210.000) visitors per day</t>
  </si>
  <si>
    <t>Q126</t>
  </si>
  <si>
    <t>Q226</t>
  </si>
  <si>
    <t>Q326</t>
  </si>
  <si>
    <t>Q426</t>
  </si>
  <si>
    <t>Partnership between Kering Eyewear and Google to launch Smart Glasses under Gucci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</si>
</sst>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[Red]#,##0.0"/>
    <numFmt numFmtId="165" formatCode="#,##0;\(#,##0\)"/>
    <numFmt numFmtId="166" formatCode="#,##0.0;\(#,##0.0\)"/>
    <numFmt numFmtId="167" formatCode="0.0"/>
    <numFmt numFmtId="168" formatCode="0.0%"/>
    <numFmt numFmtId="169" formatCode="&quot;FY&quot;0&quot;A&quot;"/>
    <numFmt numFmtId="170" formatCode="\F\Y#,##0"/>
    <numFmt numFmtId="171" formatCode="#,##0.00;\(#,##0.00\)"/>
    <numFmt numFmtId="172" formatCode="#,##0.0"/>
  </numFmts>
  <fonts count="3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0"/>
      <color theme="0" tint="-0.49998474074526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 "/>
    </font>
    <font>
      <sz val="10"/>
      <color theme="1"/>
      <name val="Arial "/>
    </font>
    <font>
      <u/>
      <sz val="10"/>
      <color theme="1"/>
      <name val="Arial "/>
    </font>
    <font>
      <b/>
      <sz val="10"/>
      <color theme="1"/>
      <name val="Arial 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10" fillId="0" borderId="0" xfId="0" applyFont="1"/>
    <xf numFmtId="0" fontId="0" fillId="0" borderId="7" xfId="0" applyBorder="1"/>
    <xf numFmtId="0" fontId="0" fillId="0" borderId="0" xfId="0" applyAlignment="1">
      <alignment horizontal="left" indent="1"/>
    </xf>
    <xf numFmtId="164" fontId="0" fillId="0" borderId="0" xfId="0" applyNumberFormat="1"/>
    <xf numFmtId="0" fontId="12" fillId="0" borderId="0" xfId="0" applyFont="1"/>
    <xf numFmtId="0" fontId="10" fillId="0" borderId="0" xfId="0" applyFont="1" applyAlignment="1">
      <alignment horizontal="center"/>
    </xf>
    <xf numFmtId="9" fontId="0" fillId="0" borderId="0" xfId="1" applyFont="1"/>
    <xf numFmtId="165" fontId="0" fillId="0" borderId="0" xfId="0" applyNumberFormat="1"/>
    <xf numFmtId="164" fontId="0" fillId="0" borderId="7" xfId="0" applyNumberFormat="1" applyBorder="1"/>
    <xf numFmtId="0" fontId="13" fillId="7" borderId="0" xfId="0" applyFont="1" applyFill="1"/>
    <xf numFmtId="0" fontId="11" fillId="0" borderId="7" xfId="2" applyBorder="1"/>
    <xf numFmtId="0" fontId="17" fillId="0" borderId="7" xfId="0" applyFont="1" applyBorder="1"/>
    <xf numFmtId="0" fontId="0" fillId="0" borderId="12" xfId="0" applyBorder="1"/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9" fontId="0" fillId="8" borderId="14" xfId="1" applyFont="1" applyFill="1" applyBorder="1" applyAlignment="1">
      <alignment horizontal="center"/>
    </xf>
    <xf numFmtId="0" fontId="13" fillId="9" borderId="0" xfId="0" applyFont="1" applyFill="1"/>
    <xf numFmtId="0" fontId="14" fillId="9" borderId="0" xfId="0" applyFont="1" applyFill="1"/>
    <xf numFmtId="168" fontId="0" fillId="8" borderId="14" xfId="1" applyNumberFormat="1" applyFont="1" applyFill="1" applyBorder="1" applyAlignment="1">
      <alignment horizontal="center"/>
    </xf>
    <xf numFmtId="169" fontId="13" fillId="7" borderId="0" xfId="0" applyNumberFormat="1" applyFont="1" applyFill="1"/>
    <xf numFmtId="0" fontId="18" fillId="0" borderId="0" xfId="0" applyFont="1" applyAlignment="1">
      <alignment horizontal="left" indent="1"/>
    </xf>
    <xf numFmtId="0" fontId="18" fillId="0" borderId="0" xfId="0" applyFont="1"/>
    <xf numFmtId="9" fontId="18" fillId="0" borderId="0" xfId="1" applyFont="1"/>
    <xf numFmtId="168" fontId="0" fillId="8" borderId="14" xfId="1" applyNumberFormat="1" applyFont="1" applyFill="1" applyBorder="1" applyAlignment="1">
      <alignment horizontal="right"/>
    </xf>
    <xf numFmtId="0" fontId="10" fillId="10" borderId="9" xfId="0" applyFont="1" applyFill="1" applyBorder="1"/>
    <xf numFmtId="0" fontId="10" fillId="10" borderId="10" xfId="0" applyFont="1" applyFill="1" applyBorder="1"/>
    <xf numFmtId="168" fontId="18" fillId="0" borderId="0" xfId="1" applyNumberFormat="1" applyFont="1"/>
    <xf numFmtId="168" fontId="18" fillId="0" borderId="0" xfId="0" applyNumberFormat="1" applyFont="1"/>
    <xf numFmtId="164" fontId="10" fillId="10" borderId="1" xfId="0" applyNumberFormat="1" applyFont="1" applyFill="1" applyBorder="1"/>
    <xf numFmtId="164" fontId="10" fillId="10" borderId="2" xfId="0" applyNumberFormat="1" applyFont="1" applyFill="1" applyBorder="1"/>
    <xf numFmtId="164" fontId="10" fillId="10" borderId="6" xfId="0" applyNumberFormat="1" applyFont="1" applyFill="1" applyBorder="1"/>
    <xf numFmtId="164" fontId="10" fillId="10" borderId="7" xfId="0" applyNumberFormat="1" applyFont="1" applyFill="1" applyBorder="1"/>
    <xf numFmtId="0" fontId="0" fillId="0" borderId="10" xfId="0" applyBorder="1"/>
    <xf numFmtId="164" fontId="0" fillId="0" borderId="10" xfId="0" applyNumberFormat="1" applyBorder="1"/>
    <xf numFmtId="0" fontId="0" fillId="3" borderId="1" xfId="0" applyFill="1" applyBorder="1"/>
    <xf numFmtId="2" fontId="19" fillId="3" borderId="2" xfId="0" applyNumberFormat="1" applyFont="1" applyFill="1" applyBorder="1"/>
    <xf numFmtId="168" fontId="13" fillId="3" borderId="0" xfId="0" applyNumberFormat="1" applyFont="1" applyFill="1"/>
    <xf numFmtId="167" fontId="0" fillId="0" borderId="0" xfId="0" applyNumberFormat="1"/>
    <xf numFmtId="0" fontId="0" fillId="0" borderId="0" xfId="0" quotePrefix="1"/>
    <xf numFmtId="165" fontId="10" fillId="10" borderId="10" xfId="0" applyNumberFormat="1" applyFont="1" applyFill="1" applyBorder="1"/>
    <xf numFmtId="165" fontId="10" fillId="10" borderId="11" xfId="0" applyNumberFormat="1" applyFont="1" applyFill="1" applyBorder="1"/>
    <xf numFmtId="165" fontId="10" fillId="10" borderId="2" xfId="0" applyNumberFormat="1" applyFont="1" applyFill="1" applyBorder="1"/>
    <xf numFmtId="165" fontId="10" fillId="10" borderId="3" xfId="0" applyNumberFormat="1" applyFont="1" applyFill="1" applyBorder="1"/>
    <xf numFmtId="165" fontId="10" fillId="10" borderId="7" xfId="0" applyNumberFormat="1" applyFont="1" applyFill="1" applyBorder="1"/>
    <xf numFmtId="165" fontId="10" fillId="10" borderId="8" xfId="0" applyNumberFormat="1" applyFont="1" applyFill="1" applyBorder="1"/>
    <xf numFmtId="165" fontId="0" fillId="0" borderId="0" xfId="0" applyNumberFormat="1" applyAlignment="1">
      <alignment horizontal="right"/>
    </xf>
    <xf numFmtId="165" fontId="0" fillId="0" borderId="7" xfId="0" applyNumberFormat="1" applyBorder="1" applyAlignment="1">
      <alignment horizontal="right"/>
    </xf>
    <xf numFmtId="14" fontId="0" fillId="8" borderId="13" xfId="0" applyNumberFormat="1" applyFill="1" applyBorder="1" applyAlignment="1">
      <alignment horizontal="center"/>
    </xf>
    <xf numFmtId="172" fontId="0" fillId="8" borderId="14" xfId="1" applyNumberFormat="1" applyFont="1" applyFill="1" applyBorder="1" applyAlignment="1">
      <alignment horizontal="center"/>
    </xf>
    <xf numFmtId="164" fontId="0" fillId="0" borderId="7" xfId="0" applyNumberFormat="1" applyBorder="1" applyAlignment="1">
      <alignment horizontal="right"/>
    </xf>
    <xf numFmtId="168" fontId="13" fillId="3" borderId="2" xfId="0" applyNumberFormat="1" applyFont="1" applyFill="1" applyBorder="1"/>
    <xf numFmtId="167" fontId="10" fillId="0" borderId="0" xfId="0" applyNumberFormat="1" applyFont="1"/>
    <xf numFmtId="4" fontId="0" fillId="0" borderId="0" xfId="0" applyNumberFormat="1"/>
    <xf numFmtId="14" fontId="0" fillId="8" borderId="14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right"/>
    </xf>
    <xf numFmtId="167" fontId="0" fillId="8" borderId="13" xfId="0" applyNumberFormat="1" applyFill="1" applyBorder="1" applyAlignment="1">
      <alignment horizontal="center"/>
    </xf>
    <xf numFmtId="0" fontId="22" fillId="0" borderId="0" xfId="0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0" fontId="23" fillId="0" borderId="0" xfId="0" applyFont="1"/>
    <xf numFmtId="165" fontId="8" fillId="0" borderId="0" xfId="0" applyNumberFormat="1" applyFont="1"/>
    <xf numFmtId="0" fontId="24" fillId="0" borderId="0" xfId="2" applyFont="1"/>
    <xf numFmtId="0" fontId="25" fillId="0" borderId="9" xfId="0" applyFont="1" applyBorder="1"/>
    <xf numFmtId="0" fontId="25" fillId="0" borderId="10" xfId="0" applyFont="1" applyBorder="1"/>
    <xf numFmtId="0" fontId="25" fillId="0" borderId="11" xfId="0" applyFont="1" applyBorder="1"/>
    <xf numFmtId="0" fontId="8" fillId="0" borderId="4" xfId="0" applyFont="1" applyBorder="1"/>
    <xf numFmtId="9" fontId="8" fillId="0" borderId="0" xfId="0" applyNumberFormat="1" applyFont="1"/>
    <xf numFmtId="0" fontId="8" fillId="0" borderId="5" xfId="0" applyFont="1" applyBorder="1"/>
    <xf numFmtId="3" fontId="8" fillId="0" borderId="0" xfId="0" applyNumberFormat="1" applyFont="1" applyAlignment="1">
      <alignment horizontal="left"/>
    </xf>
    <xf numFmtId="0" fontId="23" fillId="0" borderId="4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3" fontId="8" fillId="0" borderId="0" xfId="0" applyNumberFormat="1" applyFont="1"/>
    <xf numFmtId="0" fontId="8" fillId="0" borderId="0" xfId="0" quotePrefix="1" applyFont="1"/>
    <xf numFmtId="168" fontId="8" fillId="0" borderId="0" xfId="1" applyNumberFormat="1" applyFont="1"/>
    <xf numFmtId="9" fontId="8" fillId="0" borderId="0" xfId="1" applyFont="1" applyAlignment="1">
      <alignment horizontal="right"/>
    </xf>
    <xf numFmtId="166" fontId="8" fillId="0" borderId="0" xfId="0" applyNumberFormat="1" applyFont="1"/>
    <xf numFmtId="9" fontId="8" fillId="0" borderId="0" xfId="1" applyFont="1"/>
    <xf numFmtId="165" fontId="22" fillId="0" borderId="0" xfId="0" applyNumberFormat="1" applyFont="1"/>
    <xf numFmtId="0" fontId="8" fillId="0" borderId="0" xfId="0" applyFont="1" applyAlignment="1">
      <alignment horizontal="left" indent="1"/>
    </xf>
    <xf numFmtId="171" fontId="8" fillId="0" borderId="0" xfId="0" applyNumberFormat="1" applyFont="1"/>
    <xf numFmtId="0" fontId="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9" fontId="22" fillId="0" borderId="0" xfId="1" applyFont="1"/>
    <xf numFmtId="0" fontId="22" fillId="0" borderId="0" xfId="0" applyFont="1" applyAlignment="1">
      <alignment horizontal="center"/>
    </xf>
    <xf numFmtId="0" fontId="25" fillId="0" borderId="0" xfId="0" applyFont="1"/>
    <xf numFmtId="0" fontId="7" fillId="0" borderId="0" xfId="0" applyFont="1"/>
    <xf numFmtId="0" fontId="27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2" fillId="2" borderId="0" xfId="0" applyFont="1" applyFill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7" borderId="0" xfId="0" applyFont="1" applyFill="1" applyAlignment="1">
      <alignment horizontal="left"/>
    </xf>
    <xf numFmtId="165" fontId="6" fillId="0" borderId="0" xfId="0" applyNumberFormat="1" applyFont="1"/>
    <xf numFmtId="168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28" fillId="3" borderId="0" xfId="0" applyFont="1" applyFill="1" applyAlignment="1">
      <alignment horizontal="center"/>
    </xf>
    <xf numFmtId="0" fontId="26" fillId="4" borderId="9" xfId="0" applyFont="1" applyFill="1" applyBorder="1"/>
    <xf numFmtId="165" fontId="26" fillId="4" borderId="10" xfId="0" applyNumberFormat="1" applyFont="1" applyFill="1" applyBorder="1"/>
    <xf numFmtId="168" fontId="26" fillId="4" borderId="10" xfId="0" applyNumberFormat="1" applyFont="1" applyFill="1" applyBorder="1" applyAlignment="1">
      <alignment horizontal="center"/>
    </xf>
    <xf numFmtId="164" fontId="26" fillId="4" borderId="10" xfId="0" applyNumberFormat="1" applyFont="1" applyFill="1" applyBorder="1" applyAlignment="1">
      <alignment horizontal="center"/>
    </xf>
    <xf numFmtId="164" fontId="26" fillId="4" borderId="11" xfId="0" applyNumberFormat="1" applyFont="1" applyFill="1" applyBorder="1" applyAlignment="1">
      <alignment horizontal="center"/>
    </xf>
    <xf numFmtId="164" fontId="26" fillId="4" borderId="7" xfId="0" applyNumberFormat="1" applyFont="1" applyFill="1" applyBorder="1" applyAlignment="1">
      <alignment horizontal="center"/>
    </xf>
    <xf numFmtId="164" fontId="26" fillId="4" borderId="8" xfId="0" applyNumberFormat="1" applyFont="1" applyFill="1" applyBorder="1" applyAlignment="1">
      <alignment horizontal="center"/>
    </xf>
    <xf numFmtId="0" fontId="22" fillId="0" borderId="9" xfId="0" applyFont="1" applyBorder="1"/>
    <xf numFmtId="165" fontId="6" fillId="0" borderId="10" xfId="0" applyNumberFormat="1" applyFont="1" applyBorder="1"/>
    <xf numFmtId="168" fontId="6" fillId="0" borderId="10" xfId="0" applyNumberFormat="1" applyFont="1" applyBorder="1" applyAlignment="1">
      <alignment horizontal="center"/>
    </xf>
    <xf numFmtId="167" fontId="6" fillId="5" borderId="10" xfId="0" applyNumberFormat="1" applyFont="1" applyFill="1" applyBorder="1" applyAlignment="1">
      <alignment horizontal="center"/>
    </xf>
    <xf numFmtId="167" fontId="6" fillId="6" borderId="10" xfId="0" applyNumberFormat="1" applyFont="1" applyFill="1" applyBorder="1" applyAlignment="1">
      <alignment horizontal="center"/>
    </xf>
    <xf numFmtId="2" fontId="6" fillId="5" borderId="10" xfId="0" applyNumberFormat="1" applyFont="1" applyFill="1" applyBorder="1" applyAlignment="1">
      <alignment horizontal="center"/>
    </xf>
    <xf numFmtId="2" fontId="6" fillId="6" borderId="11" xfId="0" applyNumberFormat="1" applyFont="1" applyFill="1" applyBorder="1" applyAlignment="1">
      <alignment horizontal="center"/>
    </xf>
    <xf numFmtId="0" fontId="6" fillId="0" borderId="0" xfId="0" quotePrefix="1" applyFont="1"/>
    <xf numFmtId="10" fontId="6" fillId="0" borderId="0" xfId="0" applyNumberFormat="1" applyFont="1"/>
    <xf numFmtId="9" fontId="6" fillId="0" borderId="0" xfId="1" applyFont="1"/>
    <xf numFmtId="0" fontId="6" fillId="0" borderId="9" xfId="0" applyFont="1" applyBorder="1"/>
    <xf numFmtId="0" fontId="6" fillId="0" borderId="10" xfId="0" applyFont="1" applyBorder="1"/>
    <xf numFmtId="9" fontId="6" fillId="0" borderId="11" xfId="1" applyFont="1" applyBorder="1"/>
    <xf numFmtId="168" fontId="6" fillId="0" borderId="11" xfId="1" applyNumberFormat="1" applyFont="1" applyBorder="1"/>
    <xf numFmtId="9" fontId="6" fillId="0" borderId="0" xfId="0" applyNumberFormat="1" applyFont="1"/>
    <xf numFmtId="0" fontId="29" fillId="0" borderId="0" xfId="0" applyFont="1"/>
    <xf numFmtId="170" fontId="30" fillId="0" borderId="0" xfId="0" applyNumberFormat="1" applyFont="1" applyAlignment="1">
      <alignment horizontal="right"/>
    </xf>
    <xf numFmtId="0" fontId="30" fillId="0" borderId="0" xfId="0" applyFont="1"/>
    <xf numFmtId="0" fontId="31" fillId="0" borderId="0" xfId="0" applyFont="1"/>
    <xf numFmtId="166" fontId="6" fillId="0" borderId="0" xfId="0" applyNumberFormat="1" applyFont="1"/>
    <xf numFmtId="164" fontId="6" fillId="0" borderId="0" xfId="0" applyNumberFormat="1" applyFont="1"/>
    <xf numFmtId="172" fontId="6" fillId="0" borderId="0" xfId="0" applyNumberFormat="1" applyFont="1"/>
    <xf numFmtId="2" fontId="6" fillId="0" borderId="0" xfId="0" applyNumberFormat="1" applyFont="1"/>
    <xf numFmtId="171" fontId="6" fillId="0" borderId="0" xfId="0" applyNumberFormat="1" applyFont="1"/>
    <xf numFmtId="0" fontId="6" fillId="0" borderId="0" xfId="0" applyFont="1" applyAlignment="1">
      <alignment horizontal="right"/>
    </xf>
    <xf numFmtId="167" fontId="6" fillId="0" borderId="0" xfId="0" applyNumberFormat="1" applyFont="1"/>
    <xf numFmtId="0" fontId="32" fillId="0" borderId="0" xfId="2" applyFont="1"/>
    <xf numFmtId="0" fontId="33" fillId="0" borderId="0" xfId="0" applyFont="1"/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34" fillId="0" borderId="0" xfId="0" applyFont="1"/>
    <xf numFmtId="165" fontId="33" fillId="0" borderId="0" xfId="0" applyNumberFormat="1" applyFont="1"/>
    <xf numFmtId="0" fontId="35" fillId="0" borderId="0" xfId="0" applyFont="1"/>
    <xf numFmtId="165" fontId="35" fillId="0" borderId="0" xfId="0" applyNumberFormat="1" applyFont="1"/>
    <xf numFmtId="168" fontId="33" fillId="0" borderId="0" xfId="1" applyNumberFormat="1" applyFont="1"/>
    <xf numFmtId="168" fontId="35" fillId="0" borderId="0" xfId="1" applyNumberFormat="1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65" fontId="33" fillId="0" borderId="0" xfId="0" applyNumberFormat="1" applyFont="1" applyAlignment="1">
      <alignment horizontal="right"/>
    </xf>
    <xf numFmtId="0" fontId="1" fillId="0" borderId="0" xfId="0" applyFont="1"/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 textRotation="90"/>
    </xf>
    <xf numFmtId="0" fontId="10" fillId="3" borderId="16" xfId="0" applyFont="1" applyFill="1" applyBorder="1" applyAlignment="1">
      <alignment horizontal="center" vertical="center" textRotation="90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22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vs. Operating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096981627296587"/>
          <c:y val="0.17634259259259263"/>
          <c:w val="0.85847462817147857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v>Revenue</c:v>
          </c:tx>
          <c:spPr>
            <a:ln w="22225" cap="rnd" cmpd="sng" algn="ctr">
              <a:solidFill>
                <a:schemeClr val="accent1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Model!$J$44:$AA$44</c:f>
              <c:numCache>
                <c:formatCode>#,##0;\(#,##0\)</c:formatCode>
                <c:ptCount val="18"/>
                <c:pt idx="0">
                  <c:v>19098.2</c:v>
                </c:pt>
                <c:pt idx="1">
                  <c:v>20201.2</c:v>
                </c:pt>
                <c:pt idx="2">
                  <c:v>13584.3</c:v>
                </c:pt>
                <c:pt idx="3">
                  <c:v>14605.1</c:v>
                </c:pt>
                <c:pt idx="4">
                  <c:v>8062.3</c:v>
                </c:pt>
                <c:pt idx="5">
                  <c:v>9736.2999999999993</c:v>
                </c:pt>
                <c:pt idx="6">
                  <c:v>9655.7000000000007</c:v>
                </c:pt>
                <c:pt idx="7">
                  <c:v>10037.5</c:v>
                </c:pt>
                <c:pt idx="8">
                  <c:v>11584.2</c:v>
                </c:pt>
                <c:pt idx="9">
                  <c:v>12384.9</c:v>
                </c:pt>
                <c:pt idx="10">
                  <c:v>15477.7</c:v>
                </c:pt>
                <c:pt idx="11">
                  <c:v>13665.2</c:v>
                </c:pt>
                <c:pt idx="12">
                  <c:v>15883.5</c:v>
                </c:pt>
                <c:pt idx="13">
                  <c:v>13100.199999999999</c:v>
                </c:pt>
                <c:pt idx="14">
                  <c:v>17645</c:v>
                </c:pt>
                <c:pt idx="15">
                  <c:v>20351</c:v>
                </c:pt>
                <c:pt idx="16">
                  <c:v>19566</c:v>
                </c:pt>
                <c:pt idx="17">
                  <c:v>17194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B-4C75-A3E7-5AE467857BB0}"/>
            </c:ext>
          </c:extLst>
        </c:ser>
        <c:ser>
          <c:idx val="12"/>
          <c:order val="12"/>
          <c:tx>
            <c:v>Operating Profit</c:v>
          </c:tx>
          <c:spPr>
            <a:ln w="22225" cap="rnd" cmpd="sng" algn="ctr">
              <a:solidFill>
                <a:schemeClr val="accent1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Model!$J$56:$AA$56</c:f>
              <c:numCache>
                <c:formatCode>#,##0;\(#,##0\)</c:formatCode>
                <c:ptCount val="18"/>
                <c:pt idx="0">
                  <c:v>1633.7000000000016</c:v>
                </c:pt>
                <c:pt idx="1">
                  <c:v>1721.2000000000007</c:v>
                </c:pt>
                <c:pt idx="2">
                  <c:v>1239.5999999999995</c:v>
                </c:pt>
                <c:pt idx="3">
                  <c:v>1531.3000000000011</c:v>
                </c:pt>
                <c:pt idx="4">
                  <c:v>1501.4</c:v>
                </c:pt>
                <c:pt idx="5">
                  <c:v>1791.4999999999991</c:v>
                </c:pt>
                <c:pt idx="6">
                  <c:v>1751.2000000000007</c:v>
                </c:pt>
                <c:pt idx="7">
                  <c:v>1664</c:v>
                </c:pt>
                <c:pt idx="8">
                  <c:v>1646.7000000000007</c:v>
                </c:pt>
                <c:pt idx="9">
                  <c:v>1886.1999999999998</c:v>
                </c:pt>
                <c:pt idx="10">
                  <c:v>2948</c:v>
                </c:pt>
                <c:pt idx="11">
                  <c:v>3943.8</c:v>
                </c:pt>
                <c:pt idx="12">
                  <c:v>4778.3</c:v>
                </c:pt>
                <c:pt idx="13">
                  <c:v>3135.2</c:v>
                </c:pt>
                <c:pt idx="14">
                  <c:v>5017</c:v>
                </c:pt>
                <c:pt idx="15">
                  <c:v>5589</c:v>
                </c:pt>
                <c:pt idx="16">
                  <c:v>4746</c:v>
                </c:pt>
                <c:pt idx="17">
                  <c:v>2554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B-4C75-A3E7-5AE467857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10424127"/>
        <c:axId val="131042220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 cmpd="sng" algn="ctr">
                    <a:solidFill>
                      <a:schemeClr val="accent1">
                        <a:shade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Model!$J$45:$AA$45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0">
                        <c:v>10792.8</c:v>
                      </c:pt>
                      <c:pt idx="1">
                        <c:v>11385.9</c:v>
                      </c:pt>
                      <c:pt idx="2">
                        <c:v>6900.7</c:v>
                      </c:pt>
                      <c:pt idx="3">
                        <c:v>7175.9</c:v>
                      </c:pt>
                      <c:pt idx="4">
                        <c:v>3086.5</c:v>
                      </c:pt>
                      <c:pt idx="5">
                        <c:v>3776.2</c:v>
                      </c:pt>
                      <c:pt idx="6">
                        <c:v>3615.2</c:v>
                      </c:pt>
                      <c:pt idx="7">
                        <c:v>3741.7</c:v>
                      </c:pt>
                      <c:pt idx="8">
                        <c:v>4510</c:v>
                      </c:pt>
                      <c:pt idx="9">
                        <c:v>4595.3</c:v>
                      </c:pt>
                      <c:pt idx="10">
                        <c:v>5344.7</c:v>
                      </c:pt>
                      <c:pt idx="11">
                        <c:v>3467</c:v>
                      </c:pt>
                      <c:pt idx="12">
                        <c:v>4108.5</c:v>
                      </c:pt>
                      <c:pt idx="13">
                        <c:v>3590.6</c:v>
                      </c:pt>
                      <c:pt idx="14">
                        <c:v>4577</c:v>
                      </c:pt>
                      <c:pt idx="15">
                        <c:v>5153</c:v>
                      </c:pt>
                      <c:pt idx="16">
                        <c:v>4639</c:v>
                      </c:pt>
                      <c:pt idx="17">
                        <c:v>4513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A7B-4C75-A3E7-5AE467857BB0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2225" cap="rnd" cmpd="sng" algn="ctr">
                    <a:solidFill>
                      <a:schemeClr val="accent1">
                        <a:shade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Model!$J$46:$AA$46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0">
                        <c:v>8305.4000000000015</c:v>
                      </c:pt>
                      <c:pt idx="1">
                        <c:v>8815.3000000000011</c:v>
                      </c:pt>
                      <c:pt idx="2">
                        <c:v>6683.5999999999995</c:v>
                      </c:pt>
                      <c:pt idx="3">
                        <c:v>7429.2000000000007</c:v>
                      </c:pt>
                      <c:pt idx="4">
                        <c:v>4975.8</c:v>
                      </c:pt>
                      <c:pt idx="5">
                        <c:v>5960.0999999999995</c:v>
                      </c:pt>
                      <c:pt idx="6">
                        <c:v>6040.5000000000009</c:v>
                      </c:pt>
                      <c:pt idx="7">
                        <c:v>6295.8</c:v>
                      </c:pt>
                      <c:pt idx="8">
                        <c:v>7074.2000000000007</c:v>
                      </c:pt>
                      <c:pt idx="9">
                        <c:v>7789.5999999999995</c:v>
                      </c:pt>
                      <c:pt idx="10">
                        <c:v>10133</c:v>
                      </c:pt>
                      <c:pt idx="11">
                        <c:v>10198.200000000001</c:v>
                      </c:pt>
                      <c:pt idx="12">
                        <c:v>11775</c:v>
                      </c:pt>
                      <c:pt idx="13">
                        <c:v>9509.5999999999985</c:v>
                      </c:pt>
                      <c:pt idx="14">
                        <c:v>13068</c:v>
                      </c:pt>
                      <c:pt idx="15">
                        <c:v>15198</c:v>
                      </c:pt>
                      <c:pt idx="16">
                        <c:v>14927</c:v>
                      </c:pt>
                      <c:pt idx="17">
                        <c:v>12681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7B-4C75-A3E7-5AE467857BB0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2225" cap="rnd" cmpd="sng" algn="ctr">
                    <a:solidFill>
                      <a:schemeClr val="accent1">
                        <a:shade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Model!$J$47:$AA$47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0">
                        <c:v>2695.7</c:v>
                      </c:pt>
                      <c:pt idx="1">
                        <c:v>2803</c:v>
                      </c:pt>
                      <c:pt idx="2">
                        <c:v>2049.1999999999998</c:v>
                      </c:pt>
                      <c:pt idx="3">
                        <c:v>2225.8000000000002</c:v>
                      </c:pt>
                      <c:pt idx="4">
                        <c:v>1229.0999999999999</c:v>
                      </c:pt>
                      <c:pt idx="5">
                        <c:v>1493.6</c:v>
                      </c:pt>
                      <c:pt idx="6">
                        <c:v>1515.5</c:v>
                      </c:pt>
                      <c:pt idx="7">
                        <c:v>1545.2</c:v>
                      </c:pt>
                      <c:pt idx="8">
                        <c:v>1820.6</c:v>
                      </c:pt>
                      <c:pt idx="9">
                        <c:v>1983.7</c:v>
                      </c:pt>
                      <c:pt idx="10">
                        <c:v>2443.6</c:v>
                      </c:pt>
                      <c:pt idx="11">
                        <c:v>2080.4</c:v>
                      </c:pt>
                      <c:pt idx="12">
                        <c:v>2290.8000000000002</c:v>
                      </c:pt>
                      <c:pt idx="13">
                        <c:v>2070</c:v>
                      </c:pt>
                      <c:pt idx="14">
                        <c:v>2444</c:v>
                      </c:pt>
                      <c:pt idx="15">
                        <c:v>2840</c:v>
                      </c:pt>
                      <c:pt idx="16">
                        <c:v>2982</c:v>
                      </c:pt>
                      <c:pt idx="17">
                        <c:v>3017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A7B-4C75-A3E7-5AE467857BB0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2225" cap="rnd" cmpd="sng" algn="ctr">
                    <a:solidFill>
                      <a:schemeClr val="accent1">
                        <a:shade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Model!$J$48:$AA$48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0">
                        <c:v>3976</c:v>
                      </c:pt>
                      <c:pt idx="1">
                        <c:v>4291.1000000000004</c:v>
                      </c:pt>
                      <c:pt idx="2">
                        <c:v>3394.8</c:v>
                      </c:pt>
                      <c:pt idx="3">
                        <c:v>3672.1</c:v>
                      </c:pt>
                      <c:pt idx="4">
                        <c:v>2245.3000000000002</c:v>
                      </c:pt>
                      <c:pt idx="5">
                        <c:v>2675</c:v>
                      </c:pt>
                      <c:pt idx="6">
                        <c:v>2773.8</c:v>
                      </c:pt>
                      <c:pt idx="7">
                        <c:v>3086.6</c:v>
                      </c:pt>
                      <c:pt idx="8">
                        <c:v>3606.9</c:v>
                      </c:pt>
                      <c:pt idx="9">
                        <c:v>3919.7</c:v>
                      </c:pt>
                      <c:pt idx="10">
                        <c:v>4741.3999999999996</c:v>
                      </c:pt>
                      <c:pt idx="11">
                        <c:v>4174</c:v>
                      </c:pt>
                      <c:pt idx="12">
                        <c:v>4705.8999999999996</c:v>
                      </c:pt>
                      <c:pt idx="13">
                        <c:v>4304.3999999999996</c:v>
                      </c:pt>
                      <c:pt idx="14">
                        <c:v>5607</c:v>
                      </c:pt>
                      <c:pt idx="15">
                        <c:v>6779</c:v>
                      </c:pt>
                      <c:pt idx="16">
                        <c:v>7199</c:v>
                      </c:pt>
                      <c:pt idx="17">
                        <c:v>7110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7B-4C75-A3E7-5AE467857BB0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2225" cap="rnd" cmpd="sng" algn="ctr">
                    <a:solidFill>
                      <a:schemeClr val="accent1">
                        <a:shade val="9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Model!$J$49:$AA$49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0">
                        <c:v>6671.7</c:v>
                      </c:pt>
                      <c:pt idx="1">
                        <c:v>7094.1</c:v>
                      </c:pt>
                      <c:pt idx="2">
                        <c:v>5444</c:v>
                      </c:pt>
                      <c:pt idx="3">
                        <c:v>5897.9</c:v>
                      </c:pt>
                      <c:pt idx="4">
                        <c:v>3474.4</c:v>
                      </c:pt>
                      <c:pt idx="5">
                        <c:v>4168.6000000000004</c:v>
                      </c:pt>
                      <c:pt idx="6">
                        <c:v>4289.3</c:v>
                      </c:pt>
                      <c:pt idx="7">
                        <c:v>4631.8</c:v>
                      </c:pt>
                      <c:pt idx="8">
                        <c:v>5427.5</c:v>
                      </c:pt>
                      <c:pt idx="9">
                        <c:v>5903.4</c:v>
                      </c:pt>
                      <c:pt idx="10">
                        <c:v>7185</c:v>
                      </c:pt>
                      <c:pt idx="11">
                        <c:v>6254.4</c:v>
                      </c:pt>
                      <c:pt idx="12">
                        <c:v>6996.7</c:v>
                      </c:pt>
                      <c:pt idx="13">
                        <c:v>6374.4</c:v>
                      </c:pt>
                      <c:pt idx="14">
                        <c:v>8051</c:v>
                      </c:pt>
                      <c:pt idx="15">
                        <c:v>9619</c:v>
                      </c:pt>
                      <c:pt idx="16">
                        <c:v>10181</c:v>
                      </c:pt>
                      <c:pt idx="17">
                        <c:v>10127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7B-4C75-A3E7-5AE467857BB0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Model!$J$50:$AA$50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1">
                        <c:v>625</c:v>
                      </c:pt>
                      <c:pt idx="3">
                        <c:v>765</c:v>
                      </c:pt>
                      <c:pt idx="5">
                        <c:v>1126</c:v>
                      </c:pt>
                      <c:pt idx="7">
                        <c:v>1056</c:v>
                      </c:pt>
                      <c:pt idx="9">
                        <c:v>1256</c:v>
                      </c:pt>
                      <c:pt idx="10">
                        <c:v>2124</c:v>
                      </c:pt>
                      <c:pt idx="11">
                        <c:v>3275</c:v>
                      </c:pt>
                      <c:pt idx="12">
                        <c:v>3946.9</c:v>
                      </c:pt>
                      <c:pt idx="13">
                        <c:v>2614.5</c:v>
                      </c:pt>
                      <c:pt idx="14">
                        <c:v>3715</c:v>
                      </c:pt>
                      <c:pt idx="15">
                        <c:v>3732</c:v>
                      </c:pt>
                      <c:pt idx="16">
                        <c:v>3264</c:v>
                      </c:pt>
                      <c:pt idx="17">
                        <c:v>1605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A7B-4C75-A3E7-5AE467857BB0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2225" cap="rnd" cmpd="sng" algn="ctr">
                    <a:solidFill>
                      <a:schemeClr val="accent1">
                        <a:tint val="9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Model!$J$51:$AA$51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1">
                        <c:v>0.3</c:v>
                      </c:pt>
                      <c:pt idx="3">
                        <c:v>12</c:v>
                      </c:pt>
                      <c:pt idx="5">
                        <c:v>65</c:v>
                      </c:pt>
                      <c:pt idx="7">
                        <c:v>105</c:v>
                      </c:pt>
                      <c:pt idx="9">
                        <c:v>269</c:v>
                      </c:pt>
                      <c:pt idx="10">
                        <c:v>377</c:v>
                      </c:pt>
                      <c:pt idx="11">
                        <c:v>459</c:v>
                      </c:pt>
                      <c:pt idx="12">
                        <c:v>562.20000000000005</c:v>
                      </c:pt>
                      <c:pt idx="13">
                        <c:v>400</c:v>
                      </c:pt>
                      <c:pt idx="14">
                        <c:v>715</c:v>
                      </c:pt>
                      <c:pt idx="15">
                        <c:v>1019</c:v>
                      </c:pt>
                      <c:pt idx="16">
                        <c:v>969</c:v>
                      </c:pt>
                      <c:pt idx="17">
                        <c:v>593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A7B-4C75-A3E7-5AE467857BB0}"/>
                  </c:ext>
                </c:extLst>
              </c15:ser>
            </c15:filteredLineSeries>
            <c15:filteredLineSeries>
              <c15:ser>
                <c:idx val="8"/>
                <c:order val="8"/>
                <c:spPr>
                  <a:ln w="22225" cap="rnd" cmpd="sng" algn="ctr">
                    <a:solidFill>
                      <a:schemeClr val="accent1">
                        <a:tint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Model!$J$52:$AA$52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1">
                        <c:v>101</c:v>
                      </c:pt>
                      <c:pt idx="3">
                        <c:v>133</c:v>
                      </c:pt>
                      <c:pt idx="5">
                        <c:v>300</c:v>
                      </c:pt>
                      <c:pt idx="7">
                        <c:v>357</c:v>
                      </c:pt>
                      <c:pt idx="9">
                        <c:v>297</c:v>
                      </c:pt>
                      <c:pt idx="10">
                        <c:v>294</c:v>
                      </c:pt>
                      <c:pt idx="11">
                        <c:v>242</c:v>
                      </c:pt>
                      <c:pt idx="12">
                        <c:v>215.2</c:v>
                      </c:pt>
                      <c:pt idx="13">
                        <c:v>172</c:v>
                      </c:pt>
                      <c:pt idx="14">
                        <c:v>286</c:v>
                      </c:pt>
                      <c:pt idx="15">
                        <c:v>366</c:v>
                      </c:pt>
                      <c:pt idx="16">
                        <c:v>312</c:v>
                      </c:pt>
                      <c:pt idx="17">
                        <c:v>255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A7B-4C75-A3E7-5AE467857BB0}"/>
                  </c:ext>
                </c:extLst>
              </c15:ser>
            </c15:filteredLineSeries>
            <c15:filteredLineSeries>
              <c15:ser>
                <c:idx val="9"/>
                <c:order val="9"/>
                <c:spPr>
                  <a:ln w="22225" cap="rnd" cmpd="sng" algn="ctr">
                    <a:solidFill>
                      <a:schemeClr val="accent1">
                        <a:tint val="7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Model!$J$53:$AA$53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1">
                        <c:v>39</c:v>
                      </c:pt>
                      <c:pt idx="3">
                        <c:v>51</c:v>
                      </c:pt>
                      <c:pt idx="5">
                        <c:v>120</c:v>
                      </c:pt>
                      <c:pt idx="7">
                        <c:v>147</c:v>
                      </c:pt>
                      <c:pt idx="9">
                        <c:v>114</c:v>
                      </c:pt>
                      <c:pt idx="10">
                        <c:v>100</c:v>
                      </c:pt>
                      <c:pt idx="11">
                        <c:v>215</c:v>
                      </c:pt>
                      <c:pt idx="12">
                        <c:v>317.7</c:v>
                      </c:pt>
                      <c:pt idx="13">
                        <c:v>180.6</c:v>
                      </c:pt>
                      <c:pt idx="14">
                        <c:v>459</c:v>
                      </c:pt>
                      <c:pt idx="15">
                        <c:v>558</c:v>
                      </c:pt>
                      <c:pt idx="16">
                        <c:v>212</c:v>
                      </c:pt>
                      <c:pt idx="17">
                        <c:v>-9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A7B-4C75-A3E7-5AE467857BB0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22225" cap="rnd" cmpd="sng" algn="ctr">
                    <a:solidFill>
                      <a:schemeClr val="accent1">
                        <a:tint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Model!$J$54:$AA$54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5">
                        <c:v>320</c:v>
                      </c:pt>
                      <c:pt idx="7">
                        <c:v>138</c:v>
                      </c:pt>
                      <c:pt idx="9">
                        <c:v>123</c:v>
                      </c:pt>
                      <c:pt idx="10">
                        <c:v>-204.3</c:v>
                      </c:pt>
                      <c:pt idx="11">
                        <c:v>-247.2</c:v>
                      </c:pt>
                      <c:pt idx="12">
                        <c:v>-263.7</c:v>
                      </c:pt>
                      <c:pt idx="13">
                        <c:v>-231.9</c:v>
                      </c:pt>
                      <c:pt idx="14">
                        <c:v>-164</c:v>
                      </c:pt>
                      <c:pt idx="15">
                        <c:v>-88</c:v>
                      </c:pt>
                      <c:pt idx="16">
                        <c:v>-7</c:v>
                      </c:pt>
                      <c:pt idx="17">
                        <c:v>112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A7B-4C75-A3E7-5AE467857BB0}"/>
                  </c:ext>
                </c:extLst>
              </c15:ser>
            </c15:filteredLineSeries>
            <c15:filteredLineSeries>
              <c15:ser>
                <c:idx val="11"/>
                <c:order val="11"/>
                <c:spPr>
                  <a:ln w="22225" cap="rnd" cmpd="sng" algn="ctr">
                    <a:solidFill>
                      <a:schemeClr val="accent1">
                        <a:tint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Model!$J$55:$AA$55</c15:sqref>
                        </c15:formulaRef>
                      </c:ext>
                    </c:extLst>
                    <c:numCache>
                      <c:formatCode>#,##0;\(#,##0\)</c:formatCode>
                      <c:ptCount val="18"/>
                      <c:pt idx="5">
                        <c:v>0</c:v>
                      </c:pt>
                      <c:pt idx="7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6</c:v>
                      </c:pt>
                      <c:pt idx="15">
                        <c:v>2</c:v>
                      </c:pt>
                      <c:pt idx="16">
                        <c:v>-4</c:v>
                      </c:pt>
                      <c:pt idx="17">
                        <c:v>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A7B-4C75-A3E7-5AE467857BB0}"/>
                  </c:ext>
                </c:extLst>
              </c15:ser>
            </c15:filteredLineSeries>
          </c:ext>
        </c:extLst>
      </c:lineChart>
      <c:catAx>
        <c:axId val="131042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0422207"/>
        <c:crosses val="autoZero"/>
        <c:auto val="1"/>
        <c:lblAlgn val="ctr"/>
        <c:lblOffset val="100"/>
        <c:noMultiLvlLbl val="0"/>
      </c:catAx>
      <c:valAx>
        <c:axId val="1310422207"/>
        <c:scaling>
          <c:orientation val="minMax"/>
        </c:scaling>
        <c:delete val="0"/>
        <c:axPos val="l"/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104241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Revenue by houses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Gucci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Model!$N$38:$AA$38</c:f>
              <c:numCache>
                <c:formatCode>#,##0;\(#,##0\)</c:formatCode>
                <c:ptCount val="14"/>
                <c:pt idx="0">
                  <c:v>3143.2</c:v>
                </c:pt>
                <c:pt idx="1">
                  <c:v>3639</c:v>
                </c:pt>
                <c:pt idx="2">
                  <c:v>3560.8</c:v>
                </c:pt>
                <c:pt idx="3">
                  <c:v>3497.2</c:v>
                </c:pt>
                <c:pt idx="4">
                  <c:v>3898</c:v>
                </c:pt>
                <c:pt idx="5">
                  <c:v>4378.3</c:v>
                </c:pt>
                <c:pt idx="6">
                  <c:v>6211</c:v>
                </c:pt>
                <c:pt idx="7">
                  <c:v>8285</c:v>
                </c:pt>
                <c:pt idx="8">
                  <c:v>9628.4</c:v>
                </c:pt>
                <c:pt idx="9">
                  <c:v>7440.6</c:v>
                </c:pt>
                <c:pt idx="10">
                  <c:v>9731</c:v>
                </c:pt>
                <c:pt idx="11">
                  <c:v>10487</c:v>
                </c:pt>
                <c:pt idx="12">
                  <c:v>9873</c:v>
                </c:pt>
                <c:pt idx="13">
                  <c:v>7650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3-40E5-8776-D92B5BEC900F}"/>
            </c:ext>
          </c:extLst>
        </c:ser>
        <c:ser>
          <c:idx val="1"/>
          <c:order val="1"/>
          <c:tx>
            <c:v>Saint Laurent 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Model!$N$39:$AA$39</c:f>
              <c:numCache>
                <c:formatCode>#,##0;\(#,##0\)</c:formatCode>
                <c:ptCount val="14"/>
                <c:pt idx="0">
                  <c:v>682.6</c:v>
                </c:pt>
                <c:pt idx="1">
                  <c:v>473</c:v>
                </c:pt>
                <c:pt idx="2">
                  <c:v>1015.8</c:v>
                </c:pt>
                <c:pt idx="3">
                  <c:v>707.3</c:v>
                </c:pt>
                <c:pt idx="4">
                  <c:v>973.6</c:v>
                </c:pt>
                <c:pt idx="5">
                  <c:v>1220.2</c:v>
                </c:pt>
                <c:pt idx="6">
                  <c:v>1502</c:v>
                </c:pt>
                <c:pt idx="7">
                  <c:v>1744</c:v>
                </c:pt>
                <c:pt idx="8">
                  <c:v>2049.1</c:v>
                </c:pt>
                <c:pt idx="9">
                  <c:v>1744.4</c:v>
                </c:pt>
                <c:pt idx="10">
                  <c:v>2521</c:v>
                </c:pt>
                <c:pt idx="11">
                  <c:v>3300</c:v>
                </c:pt>
                <c:pt idx="12">
                  <c:v>3179</c:v>
                </c:pt>
                <c:pt idx="13">
                  <c:v>2881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3-40E5-8776-D92B5BEC900F}"/>
            </c:ext>
          </c:extLst>
        </c:ser>
        <c:ser>
          <c:idx val="2"/>
          <c:order val="2"/>
          <c:tx>
            <c:v>Bottega Venetta Revenue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Model!$N$40:$AA$40</c:f>
              <c:numCache>
                <c:formatCode>#,##0;\(#,##0\)</c:formatCode>
                <c:ptCount val="14"/>
                <c:pt idx="0">
                  <c:v>353.7</c:v>
                </c:pt>
                <c:pt idx="1">
                  <c:v>945</c:v>
                </c:pt>
                <c:pt idx="2">
                  <c:v>556.9</c:v>
                </c:pt>
                <c:pt idx="3">
                  <c:v>1130.5</c:v>
                </c:pt>
                <c:pt idx="4">
                  <c:v>1285.8</c:v>
                </c:pt>
                <c:pt idx="5">
                  <c:v>1173.4000000000001</c:v>
                </c:pt>
                <c:pt idx="6">
                  <c:v>1176</c:v>
                </c:pt>
                <c:pt idx="7">
                  <c:v>1109</c:v>
                </c:pt>
                <c:pt idx="8">
                  <c:v>1167.5999999999999</c:v>
                </c:pt>
                <c:pt idx="9">
                  <c:v>1210.3</c:v>
                </c:pt>
                <c:pt idx="10">
                  <c:v>1503</c:v>
                </c:pt>
                <c:pt idx="11">
                  <c:v>1740</c:v>
                </c:pt>
                <c:pt idx="12">
                  <c:v>1645</c:v>
                </c:pt>
                <c:pt idx="13">
                  <c:v>1713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3-40E5-8776-D92B5BEC900F}"/>
            </c:ext>
          </c:extLst>
        </c:ser>
        <c:ser>
          <c:idx val="3"/>
          <c:order val="3"/>
          <c:tx>
            <c:v>Other Houses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Model!$N$41:$AA$41</c:f>
              <c:numCache>
                <c:formatCode>#,##0;\(#,##0\)</c:formatCode>
                <c:ptCount val="14"/>
                <c:pt idx="0">
                  <c:v>737.5</c:v>
                </c:pt>
                <c:pt idx="1">
                  <c:v>1156</c:v>
                </c:pt>
                <c:pt idx="2">
                  <c:v>1244</c:v>
                </c:pt>
                <c:pt idx="3">
                  <c:v>1423.6</c:v>
                </c:pt>
                <c:pt idx="4">
                  <c:v>1707.9</c:v>
                </c:pt>
                <c:pt idx="5">
                  <c:v>1697.5</c:v>
                </c:pt>
                <c:pt idx="6">
                  <c:v>1624</c:v>
                </c:pt>
                <c:pt idx="7">
                  <c:v>2109</c:v>
                </c:pt>
                <c:pt idx="8">
                  <c:v>2537.5</c:v>
                </c:pt>
                <c:pt idx="9">
                  <c:v>2281.3000000000002</c:v>
                </c:pt>
                <c:pt idx="10">
                  <c:v>3285</c:v>
                </c:pt>
                <c:pt idx="11">
                  <c:v>3874</c:v>
                </c:pt>
                <c:pt idx="12">
                  <c:v>3514</c:v>
                </c:pt>
                <c:pt idx="13">
                  <c:v>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A3-40E5-8776-D92B5BEC900F}"/>
            </c:ext>
          </c:extLst>
        </c:ser>
        <c:ser>
          <c:idx val="4"/>
          <c:order val="4"/>
          <c:tx>
            <c:v>Corporate and Eyewear Revenue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Model!$N$42:$AA$42</c:f>
              <c:numCache>
                <c:formatCode>#,##0;\(#,##0\)</c:formatCode>
                <c:ptCount val="14"/>
                <c:pt idx="0">
                  <c:v>3155.7</c:v>
                </c:pt>
                <c:pt idx="1">
                  <c:v>3793</c:v>
                </c:pt>
                <c:pt idx="2">
                  <c:v>3278.2</c:v>
                </c:pt>
                <c:pt idx="3">
                  <c:v>3278.9</c:v>
                </c:pt>
                <c:pt idx="4">
                  <c:v>3718.9</c:v>
                </c:pt>
                <c:pt idx="5">
                  <c:v>3915.5</c:v>
                </c:pt>
                <c:pt idx="6">
                  <c:v>302.10000000000002</c:v>
                </c:pt>
                <c:pt idx="7">
                  <c:v>418.2</c:v>
                </c:pt>
                <c:pt idx="8">
                  <c:v>500.9</c:v>
                </c:pt>
                <c:pt idx="9">
                  <c:v>423.6</c:v>
                </c:pt>
                <c:pt idx="10">
                  <c:v>733</c:v>
                </c:pt>
                <c:pt idx="11">
                  <c:v>1139</c:v>
                </c:pt>
                <c:pt idx="12">
                  <c:v>1568</c:v>
                </c:pt>
                <c:pt idx="13">
                  <c:v>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A3-40E5-8776-D92B5BEC9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877151"/>
        <c:axId val="1720881951"/>
      </c:lineChart>
      <c:catAx>
        <c:axId val="172087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0881951"/>
        <c:crosses val="autoZero"/>
        <c:auto val="1"/>
        <c:lblAlgn val="ctr"/>
        <c:lblOffset val="100"/>
        <c:noMultiLvlLbl val="0"/>
      </c:catAx>
      <c:valAx>
        <c:axId val="172088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087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chart" Target="../charts/chart2.xml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9526</xdr:rowOff>
    </xdr:from>
    <xdr:to>
      <xdr:col>3</xdr:col>
      <xdr:colOff>168383</xdr:colOff>
      <xdr:row>34</xdr:row>
      <xdr:rowOff>128589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9480E6-E343-FE66-7A6E-FD156A288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86101"/>
          <a:ext cx="2654408" cy="2547938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109538</xdr:colOff>
      <xdr:row>19</xdr:row>
      <xdr:rowOff>119063</xdr:rowOff>
    </xdr:from>
    <xdr:to>
      <xdr:col>7</xdr:col>
      <xdr:colOff>121672</xdr:colOff>
      <xdr:row>33</xdr:row>
      <xdr:rowOff>157163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3DE96D-3CF0-EB66-4A62-78CA65C7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5563" y="3195638"/>
          <a:ext cx="4136459" cy="230505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314325</xdr:colOff>
      <xdr:row>1</xdr:row>
      <xdr:rowOff>9526</xdr:rowOff>
    </xdr:from>
    <xdr:to>
      <xdr:col>16</xdr:col>
      <xdr:colOff>396293</xdr:colOff>
      <xdr:row>13</xdr:row>
      <xdr:rowOff>28576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E0F125-EBC0-3D83-0731-CF6CDF9C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5" y="171451"/>
          <a:ext cx="3739568" cy="196215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457201</xdr:colOff>
      <xdr:row>15</xdr:row>
      <xdr:rowOff>38098</xdr:rowOff>
    </xdr:from>
    <xdr:to>
      <xdr:col>16</xdr:col>
      <xdr:colOff>194410</xdr:colOff>
      <xdr:row>31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1C3D9F-35BC-11F0-4A77-02DB51A6C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1" y="2466973"/>
          <a:ext cx="3394809" cy="2647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223837</xdr:colOff>
      <xdr:row>5</xdr:row>
      <xdr:rowOff>166688</xdr:rowOff>
    </xdr:from>
    <xdr:to>
      <xdr:col>17</xdr:col>
      <xdr:colOff>503313</xdr:colOff>
      <xdr:row>16</xdr:row>
      <xdr:rowOff>138113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9FD9FD-66C0-2725-296A-C7A6D9FD7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4162" y="1119188"/>
          <a:ext cx="3937076" cy="1762125"/>
        </a:xfrm>
        <a:prstGeom prst="rect">
          <a:avLst/>
        </a:prstGeom>
      </xdr:spPr>
    </xdr:pic>
    <xdr:clientData/>
  </xdr:twoCellAnchor>
  <xdr:twoCellAnchor editAs="oneCell">
    <xdr:from>
      <xdr:col>19</xdr:col>
      <xdr:colOff>452438</xdr:colOff>
      <xdr:row>6</xdr:row>
      <xdr:rowOff>11906</xdr:rowOff>
    </xdr:from>
    <xdr:to>
      <xdr:col>22</xdr:col>
      <xdr:colOff>382921</xdr:colOff>
      <xdr:row>22</xdr:row>
      <xdr:rowOff>59531</xdr:rowOff>
    </xdr:to>
    <xdr:pic>
      <xdr:nvPicPr>
        <xdr:cNvPr id="2" name="Picture 1" descr="A snapshot of Gucci's pricing, following its Primavera drop.">
          <a:extLst>
            <a:ext uri="{FF2B5EF4-FFF2-40B4-BE49-F238E27FC236}">
              <a16:creationId xmlns:a16="http://schemas.microsoft.com/office/drawing/2014/main" id="{AC3F261A-3CF6-9639-05AF-AA1F306C3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1938" y="1035844"/>
          <a:ext cx="1752139" cy="271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20</xdr:row>
      <xdr:rowOff>60324</xdr:rowOff>
    </xdr:from>
    <xdr:to>
      <xdr:col>7</xdr:col>
      <xdr:colOff>514350</xdr:colOff>
      <xdr:row>37</xdr:row>
      <xdr:rowOff>80997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4EC7CF-AD43-76BB-9846-DBD33425B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925" y="3870324"/>
          <a:ext cx="3917950" cy="2773398"/>
        </a:xfrm>
        <a:prstGeom prst="rect">
          <a:avLst/>
        </a:prstGeom>
      </xdr:spPr>
    </xdr:pic>
    <xdr:clientData/>
  </xdr:twoCellAnchor>
  <xdr:twoCellAnchor editAs="oneCell">
    <xdr:from>
      <xdr:col>8</xdr:col>
      <xdr:colOff>38101</xdr:colOff>
      <xdr:row>20</xdr:row>
      <xdr:rowOff>65087</xdr:rowOff>
    </xdr:from>
    <xdr:to>
      <xdr:col>14</xdr:col>
      <xdr:colOff>300038</xdr:colOff>
      <xdr:row>37</xdr:row>
      <xdr:rowOff>58111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73DBEE-64E5-8136-D70C-131ECC416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6" y="3875087"/>
          <a:ext cx="3919537" cy="2745749"/>
        </a:xfrm>
        <a:prstGeom prst="rect">
          <a:avLst/>
        </a:prstGeom>
      </xdr:spPr>
    </xdr:pic>
    <xdr:clientData/>
  </xdr:twoCellAnchor>
  <xdr:twoCellAnchor>
    <xdr:from>
      <xdr:col>1</xdr:col>
      <xdr:colOff>4762</xdr:colOff>
      <xdr:row>1</xdr:row>
      <xdr:rowOff>152399</xdr:rowOff>
    </xdr:from>
    <xdr:to>
      <xdr:col>8</xdr:col>
      <xdr:colOff>309562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2FA81-0E64-45B9-A395-F550378CC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271463</xdr:colOff>
      <xdr:row>35</xdr:row>
      <xdr:rowOff>19050</xdr:rowOff>
    </xdr:from>
    <xdr:to>
      <xdr:col>7</xdr:col>
      <xdr:colOff>565619</xdr:colOff>
      <xdr:row>51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BBE69B-2FDD-4E02-AB43-6DBAB47F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388" y="6686550"/>
          <a:ext cx="3951756" cy="26987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35</xdr:row>
      <xdr:rowOff>38100</xdr:rowOff>
    </xdr:from>
    <xdr:to>
      <xdr:col>14</xdr:col>
      <xdr:colOff>327025</xdr:colOff>
      <xdr:row>51</xdr:row>
      <xdr:rowOff>149097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563F47-82BC-4DE6-ACB9-80867FBFD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6705600"/>
          <a:ext cx="3937000" cy="2701797"/>
        </a:xfrm>
        <a:prstGeom prst="rect">
          <a:avLst/>
        </a:prstGeom>
      </xdr:spPr>
    </xdr:pic>
    <xdr:clientData/>
  </xdr:twoCellAnchor>
  <xdr:twoCellAnchor>
    <xdr:from>
      <xdr:col>9</xdr:col>
      <xdr:colOff>28575</xdr:colOff>
      <xdr:row>1</xdr:row>
      <xdr:rowOff>123825</xdr:rowOff>
    </xdr:from>
    <xdr:to>
      <xdr:col>16</xdr:col>
      <xdr:colOff>333375</xdr:colOff>
      <xdr:row>16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59D6E2-5583-4A0C-B5F6-9ECEB2BB5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3175</xdr:colOff>
      <xdr:row>0</xdr:row>
      <xdr:rowOff>109537</xdr:rowOff>
    </xdr:from>
    <xdr:to>
      <xdr:col>28</xdr:col>
      <xdr:colOff>9525</xdr:colOff>
      <xdr:row>161</xdr:row>
      <xdr:rowOff>106362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9638B6F-B22E-A4D0-BA0A-B3040EB532B2}"/>
            </a:ext>
          </a:extLst>
        </xdr:cNvPr>
        <xdr:cNvCxnSpPr/>
      </xdr:nvCxnSpPr>
      <xdr:spPr>
        <a:xfrm flipH="1">
          <a:off x="18576925" y="109537"/>
          <a:ext cx="6350" cy="26066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2</xdr:row>
      <xdr:rowOff>28575</xdr:rowOff>
    </xdr:from>
    <xdr:to>
      <xdr:col>7</xdr:col>
      <xdr:colOff>596900</xdr:colOff>
      <xdr:row>161</xdr:row>
      <xdr:rowOff>53975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CDA377B-C1F7-30A9-2AF1-1C457E60D97C}"/>
            </a:ext>
          </a:extLst>
        </xdr:cNvPr>
        <xdr:cNvCxnSpPr/>
      </xdr:nvCxnSpPr>
      <xdr:spPr>
        <a:xfrm>
          <a:off x="6362700" y="352425"/>
          <a:ext cx="6350" cy="257714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9523</xdr:colOff>
      <xdr:row>0</xdr:row>
      <xdr:rowOff>47626</xdr:rowOff>
    </xdr:from>
    <xdr:to>
      <xdr:col>19</xdr:col>
      <xdr:colOff>19048</xdr:colOff>
      <xdr:row>19</xdr:row>
      <xdr:rowOff>138113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883AB20-19A6-808D-5845-9D9FCB0F8800}"/>
            </a:ext>
          </a:extLst>
        </xdr:cNvPr>
        <xdr:cNvCxnSpPr/>
      </xdr:nvCxnSpPr>
      <xdr:spPr>
        <a:xfrm flipH="1">
          <a:off x="11944348" y="47626"/>
          <a:ext cx="9525" cy="31670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0</xdr:row>
      <xdr:rowOff>161925</xdr:rowOff>
    </xdr:from>
    <xdr:to>
      <xdr:col>11</xdr:col>
      <xdr:colOff>9525</xdr:colOff>
      <xdr:row>64</xdr:row>
      <xdr:rowOff>155575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029F032-442C-AA45-41B8-4B2CF77E0A86}"/>
            </a:ext>
          </a:extLst>
        </xdr:cNvPr>
        <xdr:cNvCxnSpPr/>
      </xdr:nvCxnSpPr>
      <xdr:spPr>
        <a:xfrm flipH="1">
          <a:off x="7772400" y="161925"/>
          <a:ext cx="19050" cy="12185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</xdr:colOff>
      <xdr:row>3</xdr:row>
      <xdr:rowOff>172354</xdr:rowOff>
    </xdr:from>
    <xdr:to>
      <xdr:col>9</xdr:col>
      <xdr:colOff>18143</xdr:colOff>
      <xdr:row>25</xdr:row>
      <xdr:rowOff>0</xdr:rowOff>
    </xdr:to>
    <xdr:cxnSp macro="">
      <xdr:nvCxnSpPr>
        <xdr:cNvPr id="2" name="Gerader Verbinder 2">
          <a:extLst>
            <a:ext uri="{FF2B5EF4-FFF2-40B4-BE49-F238E27FC236}">
              <a16:creationId xmlns:a16="http://schemas.microsoft.com/office/drawing/2014/main" id="{5776F495-11CD-4DE0-BE21-F320F6139EED}"/>
            </a:ext>
          </a:extLst>
        </xdr:cNvPr>
        <xdr:cNvCxnSpPr/>
      </xdr:nvCxnSpPr>
      <xdr:spPr>
        <a:xfrm>
          <a:off x="8648702" y="566054"/>
          <a:ext cx="18141" cy="78531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ABA52468-0383-464D-BC04-700532FCBC75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2" dT="2025-07-25T12:53:42.48" personId="{ABA52468-0383-464D-BC04-700532FCBC75}" id="{78FF4F1F-E06E-4976-91F9-4EAD7FDAAE3C}">
    <text>Sports and Lifestyle activities (Puma etc)</text>
  </threadedComment>
  <threadedComment ref="G44" dT="2025-07-28T12:12:06.46" personId="{ABA52468-0383-464D-BC04-700532FCBC75}" id="{8BF4635B-3E6F-4A45-8114-1A9B38703F6D}">
    <text>7613 Analyst Consesnus</text>
  </threadedComment>
  <threadedComment ref="N78" dT="2025-07-28T16:28:10.32" personId="{ABA52468-0383-464D-BC04-700532FCBC75}" id="{7C746E7C-F353-4F9F-A4AC-F81C32DCA15C}">
    <text>Divestures of Fnac. Conforama, Redvat and CFAO</text>
  </threadedComment>
  <threadedComment ref="AB105" dT="2026-02-12T09:16:28.63" personId="{ABA52468-0383-464D-BC04-700532FCBC75}" id="{B079696C-F2C9-4E96-8939-EDE574EEFB24}">
    <text>Kering Beauty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0" dT="2025-07-28T12:08:56.11" personId="{ABA52468-0383-464D-BC04-700532FCBC75}" id="{03B45DC8-9325-42B7-8AA9-B57F9493EAB8}">
    <text>Analysist Consensus 3730</text>
  </threadedComment>
  <threadedComment ref="S18" dT="2026-04-17T15:39:38.68" personId="{ABA52468-0383-464D-BC04-700532FCBC75}" id="{AB67C310-CB2C-4A4B-BCC4-F1B9C1CD3E61}">
    <text>At constant fx 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ering.com/en/financ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kering.com/en/news/pierpaolo-piccioli-appointed-creative-director-of-balenciag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6D03-558C-464F-8F0F-AA9F5CEE4D93}">
  <dimension ref="A1:N60"/>
  <sheetViews>
    <sheetView tabSelected="1" zoomScale="200" zoomScaleNormal="200" workbookViewId="0">
      <selection activeCell="H3" sqref="H3"/>
    </sheetView>
  </sheetViews>
  <sheetFormatPr defaultRowHeight="12.75"/>
  <cols>
    <col min="1" max="1" width="4.28515625" style="58" customWidth="1"/>
    <col min="2" max="2" width="25.140625" style="58" customWidth="1"/>
    <col min="3" max="3" width="7.85546875" style="58" bestFit="1" customWidth="1"/>
    <col min="4" max="4" width="26.85546875" style="58" bestFit="1" customWidth="1"/>
    <col min="5" max="5" width="16.140625" style="58" customWidth="1"/>
    <col min="6" max="6" width="9.140625" style="58"/>
    <col min="7" max="7" width="9.7109375" style="58" customWidth="1"/>
    <col min="8" max="16384" width="9.140625" style="58"/>
  </cols>
  <sheetData>
    <row r="1" spans="1:14">
      <c r="A1" s="57" t="s">
        <v>0</v>
      </c>
    </row>
    <row r="2" spans="1:14">
      <c r="A2" s="58" t="s">
        <v>110</v>
      </c>
      <c r="G2" s="58" t="s">
        <v>3</v>
      </c>
      <c r="H2" s="58">
        <v>245.3</v>
      </c>
    </row>
    <row r="3" spans="1:14">
      <c r="G3" s="58" t="s">
        <v>4</v>
      </c>
      <c r="H3" s="62">
        <v>122.604812</v>
      </c>
      <c r="I3" s="151" t="s">
        <v>548</v>
      </c>
      <c r="M3" s="61"/>
    </row>
    <row r="4" spans="1:14">
      <c r="B4" s="58" t="s">
        <v>111</v>
      </c>
      <c r="G4" s="58" t="s">
        <v>5</v>
      </c>
      <c r="H4" s="62">
        <f>H3*H2</f>
        <v>30074.960383599999</v>
      </c>
      <c r="K4" s="61"/>
      <c r="N4" s="62"/>
    </row>
    <row r="5" spans="1:14">
      <c r="B5" s="63" t="s">
        <v>1</v>
      </c>
      <c r="G5" s="58" t="s">
        <v>6</v>
      </c>
      <c r="H5" s="62">
        <v>4313</v>
      </c>
      <c r="I5" s="151" t="s">
        <v>548</v>
      </c>
      <c r="N5" s="62"/>
    </row>
    <row r="6" spans="1:14">
      <c r="G6" s="58" t="s">
        <v>7</v>
      </c>
      <c r="H6" s="62">
        <f>10306+2046+170+40</f>
        <v>12562</v>
      </c>
      <c r="I6" s="151" t="s">
        <v>548</v>
      </c>
      <c r="N6" s="62"/>
    </row>
    <row r="7" spans="1:14">
      <c r="B7" s="64" t="s">
        <v>9</v>
      </c>
      <c r="C7" s="65" t="s">
        <v>346</v>
      </c>
      <c r="D7" s="65" t="s">
        <v>10</v>
      </c>
      <c r="E7" s="66" t="s">
        <v>24</v>
      </c>
      <c r="G7" s="58" t="s">
        <v>8</v>
      </c>
      <c r="H7" s="62">
        <f>H4+H6-H5</f>
        <v>38323.960383600002</v>
      </c>
      <c r="N7" s="62"/>
    </row>
    <row r="8" spans="1:14">
      <c r="B8" s="67" t="s">
        <v>11</v>
      </c>
      <c r="C8" s="68">
        <f>1-SUM(C9:C12)</f>
        <v>0.43999999999999995</v>
      </c>
      <c r="D8" s="58" t="s">
        <v>25</v>
      </c>
      <c r="E8" s="69"/>
      <c r="N8" s="62"/>
    </row>
    <row r="9" spans="1:14">
      <c r="B9" s="67" t="s">
        <v>12</v>
      </c>
      <c r="C9" s="68">
        <v>0.16</v>
      </c>
      <c r="D9" s="58" t="s">
        <v>25</v>
      </c>
      <c r="E9" s="69"/>
      <c r="H9" s="62"/>
    </row>
    <row r="10" spans="1:14">
      <c r="B10" s="67" t="s">
        <v>13</v>
      </c>
      <c r="C10" s="68">
        <v>0.09</v>
      </c>
      <c r="D10" s="58" t="s">
        <v>25</v>
      </c>
      <c r="E10" s="69"/>
      <c r="G10" s="58" t="s">
        <v>149</v>
      </c>
    </row>
    <row r="11" spans="1:14">
      <c r="B11" s="67" t="s">
        <v>14</v>
      </c>
      <c r="C11" s="68">
        <v>0.19</v>
      </c>
      <c r="D11" s="58" t="s">
        <v>15</v>
      </c>
      <c r="E11" s="69"/>
      <c r="G11" s="58" t="s">
        <v>489</v>
      </c>
      <c r="H11" s="70">
        <v>46930</v>
      </c>
    </row>
    <row r="12" spans="1:14">
      <c r="B12" s="71" t="s">
        <v>16</v>
      </c>
      <c r="C12" s="68">
        <v>0.12</v>
      </c>
      <c r="E12" s="69"/>
    </row>
    <row r="13" spans="1:14">
      <c r="B13" s="67" t="s">
        <v>17</v>
      </c>
      <c r="D13" s="58" t="s">
        <v>26</v>
      </c>
      <c r="E13" s="69"/>
      <c r="G13" s="61" t="s">
        <v>503</v>
      </c>
    </row>
    <row r="14" spans="1:14">
      <c r="B14" s="67" t="s">
        <v>18</v>
      </c>
      <c r="D14" s="58" t="s">
        <v>26</v>
      </c>
      <c r="E14" s="69"/>
      <c r="G14" s="58" t="s">
        <v>519</v>
      </c>
    </row>
    <row r="15" spans="1:14">
      <c r="B15" s="67" t="s">
        <v>19</v>
      </c>
      <c r="D15" s="58" t="s">
        <v>26</v>
      </c>
      <c r="E15" s="69"/>
      <c r="G15" s="58" t="s">
        <v>387</v>
      </c>
      <c r="L15" s="61" t="s">
        <v>509</v>
      </c>
    </row>
    <row r="16" spans="1:14">
      <c r="B16" s="67" t="s">
        <v>20</v>
      </c>
      <c r="D16" s="58" t="s">
        <v>27</v>
      </c>
      <c r="E16" s="69"/>
      <c r="G16" s="58" t="s">
        <v>488</v>
      </c>
    </row>
    <row r="17" spans="2:10">
      <c r="B17" s="67" t="s">
        <v>21</v>
      </c>
      <c r="D17" s="58" t="s">
        <v>28</v>
      </c>
      <c r="E17" s="69"/>
      <c r="G17" s="58" t="s">
        <v>487</v>
      </c>
    </row>
    <row r="18" spans="2:10">
      <c r="B18" s="67" t="s">
        <v>22</v>
      </c>
      <c r="D18" s="58" t="s">
        <v>28</v>
      </c>
      <c r="E18" s="69"/>
    </row>
    <row r="19" spans="2:10">
      <c r="B19" s="72" t="s">
        <v>23</v>
      </c>
      <c r="C19" s="73"/>
      <c r="D19" s="73" t="s">
        <v>28</v>
      </c>
      <c r="E19" s="74"/>
      <c r="G19" s="58" t="s">
        <v>462</v>
      </c>
      <c r="H19" s="58">
        <v>1.07</v>
      </c>
    </row>
    <row r="31" spans="2:10">
      <c r="J31" s="61" t="s">
        <v>491</v>
      </c>
    </row>
    <row r="32" spans="2:10">
      <c r="J32" s="58" t="s">
        <v>492</v>
      </c>
    </row>
    <row r="33" spans="2:11">
      <c r="J33" s="58" t="s">
        <v>495</v>
      </c>
    </row>
    <row r="34" spans="2:11">
      <c r="J34" s="58" t="s">
        <v>496</v>
      </c>
    </row>
    <row r="35" spans="2:11">
      <c r="J35" s="58" t="s">
        <v>493</v>
      </c>
    </row>
    <row r="36" spans="2:11">
      <c r="B36" s="58" t="s">
        <v>114</v>
      </c>
      <c r="C36" s="68">
        <v>0.78</v>
      </c>
      <c r="J36" s="58" t="s">
        <v>494</v>
      </c>
    </row>
    <row r="37" spans="2:11">
      <c r="B37" s="58" t="s">
        <v>115</v>
      </c>
      <c r="C37" s="68">
        <v>0.22</v>
      </c>
      <c r="J37" s="58" t="s">
        <v>497</v>
      </c>
    </row>
    <row r="39" spans="2:11">
      <c r="B39" s="61" t="s">
        <v>112</v>
      </c>
      <c r="J39" s="61" t="s">
        <v>332</v>
      </c>
    </row>
    <row r="40" spans="2:11">
      <c r="B40" s="58" t="s">
        <v>113</v>
      </c>
      <c r="J40" s="58" t="s">
        <v>384</v>
      </c>
      <c r="K40" s="75">
        <v>1768</v>
      </c>
    </row>
    <row r="41" spans="2:11">
      <c r="B41" s="58" t="s">
        <v>353</v>
      </c>
      <c r="J41" s="58" t="s">
        <v>379</v>
      </c>
      <c r="K41" s="58">
        <v>75</v>
      </c>
    </row>
    <row r="42" spans="2:11">
      <c r="B42" s="58" t="s">
        <v>354</v>
      </c>
      <c r="J42" s="58" t="s">
        <v>490</v>
      </c>
    </row>
    <row r="43" spans="2:11">
      <c r="B43" s="58" t="s">
        <v>383</v>
      </c>
    </row>
    <row r="44" spans="2:11">
      <c r="B44" s="58" t="s">
        <v>499</v>
      </c>
    </row>
    <row r="45" spans="2:11">
      <c r="B45" s="58" t="s">
        <v>473</v>
      </c>
    </row>
    <row r="46" spans="2:11">
      <c r="B46" s="58" t="s">
        <v>474</v>
      </c>
    </row>
    <row r="47" spans="2:11">
      <c r="B47" s="58" t="s">
        <v>504</v>
      </c>
    </row>
    <row r="48" spans="2:11">
      <c r="B48" s="58" t="s">
        <v>482</v>
      </c>
    </row>
    <row r="49" spans="2:2">
      <c r="B49" s="58" t="s">
        <v>483</v>
      </c>
    </row>
    <row r="50" spans="2:2">
      <c r="B50" s="58" t="s">
        <v>484</v>
      </c>
    </row>
    <row r="51" spans="2:2">
      <c r="B51" s="58" t="s">
        <v>498</v>
      </c>
    </row>
    <row r="52" spans="2:2">
      <c r="B52" s="58" t="s">
        <v>505</v>
      </c>
    </row>
    <row r="53" spans="2:2">
      <c r="B53" s="58" t="s">
        <v>508</v>
      </c>
    </row>
    <row r="54" spans="2:2">
      <c r="B54" s="58" t="s">
        <v>516</v>
      </c>
    </row>
    <row r="55" spans="2:2">
      <c r="B55" s="58" t="s">
        <v>517</v>
      </c>
    </row>
    <row r="56" spans="2:2">
      <c r="B56" s="58" t="s">
        <v>518</v>
      </c>
    </row>
    <row r="57" spans="2:2">
      <c r="B57" s="89" t="s">
        <v>540</v>
      </c>
    </row>
    <row r="58" spans="2:2">
      <c r="B58" s="148" t="s">
        <v>542</v>
      </c>
    </row>
    <row r="59" spans="2:2">
      <c r="B59" s="149" t="s">
        <v>544</v>
      </c>
    </row>
    <row r="60" spans="2:2">
      <c r="B60" s="153" t="s">
        <v>552</v>
      </c>
    </row>
  </sheetData>
  <hyperlinks>
    <hyperlink ref="B5" r:id="rId1" xr:uid="{7ACF1402-D1B3-4913-A96D-2DF9C97870D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5ED4-7405-435A-A1C5-535959068216}">
  <dimension ref="A1:U85"/>
  <sheetViews>
    <sheetView showGridLines="0" topLeftCell="C4" zoomScale="180" zoomScaleNormal="180" workbookViewId="0">
      <selection activeCell="T25" sqref="T25"/>
    </sheetView>
  </sheetViews>
  <sheetFormatPr defaultRowHeight="12.75"/>
  <cols>
    <col min="1" max="1" width="4.7109375" style="58" bestFit="1" customWidth="1"/>
    <col min="2" max="16384" width="9.140625" style="58"/>
  </cols>
  <sheetData>
    <row r="1" spans="1:21">
      <c r="A1" s="63" t="s">
        <v>29</v>
      </c>
    </row>
    <row r="2" spans="1:21">
      <c r="A2" s="63"/>
      <c r="B2" s="57" t="s">
        <v>0</v>
      </c>
    </row>
    <row r="3" spans="1:21" ht="15">
      <c r="A3" s="63"/>
      <c r="B3" s="58" t="s">
        <v>519</v>
      </c>
      <c r="D3" s="58" t="s">
        <v>520</v>
      </c>
      <c r="U3"/>
    </row>
    <row r="4" spans="1:21">
      <c r="A4" s="63"/>
      <c r="T4" s="150" t="s">
        <v>545</v>
      </c>
    </row>
    <row r="5" spans="1:21">
      <c r="A5" s="63"/>
      <c r="T5" s="58" t="s">
        <v>546</v>
      </c>
    </row>
    <row r="7" spans="1:21">
      <c r="B7" s="57" t="s">
        <v>315</v>
      </c>
      <c r="J7" s="61" t="s">
        <v>367</v>
      </c>
    </row>
    <row r="8" spans="1:21">
      <c r="B8" s="89" t="s">
        <v>541</v>
      </c>
      <c r="J8" s="58" t="s">
        <v>402</v>
      </c>
    </row>
    <row r="9" spans="1:21">
      <c r="B9" s="58" t="s">
        <v>431</v>
      </c>
      <c r="J9" s="58" t="s">
        <v>403</v>
      </c>
    </row>
    <row r="10" spans="1:21">
      <c r="B10" s="58" t="s">
        <v>506</v>
      </c>
      <c r="J10" s="58" t="s">
        <v>404</v>
      </c>
    </row>
    <row r="11" spans="1:21">
      <c r="B11" s="58" t="s">
        <v>363</v>
      </c>
      <c r="J11" s="58" t="s">
        <v>405</v>
      </c>
    </row>
    <row r="12" spans="1:21">
      <c r="B12" s="58" t="s">
        <v>364</v>
      </c>
      <c r="J12" s="58" t="s">
        <v>406</v>
      </c>
    </row>
    <row r="14" spans="1:21">
      <c r="B14" s="61" t="s">
        <v>397</v>
      </c>
    </row>
    <row r="15" spans="1:21">
      <c r="B15" s="58" t="s">
        <v>507</v>
      </c>
    </row>
    <row r="16" spans="1:21">
      <c r="B16" s="76"/>
    </row>
    <row r="17" spans="2:20">
      <c r="B17" s="58" t="s">
        <v>394</v>
      </c>
    </row>
    <row r="18" spans="2:20">
      <c r="B18" s="58" t="s">
        <v>395</v>
      </c>
    </row>
    <row r="20" spans="2:20">
      <c r="B20" s="58" t="s">
        <v>393</v>
      </c>
    </row>
    <row r="21" spans="2:20">
      <c r="B21" s="58" t="s">
        <v>396</v>
      </c>
    </row>
    <row r="22" spans="2:20">
      <c r="B22" s="58" t="s">
        <v>398</v>
      </c>
    </row>
    <row r="24" spans="2:20">
      <c r="B24" s="58" t="s">
        <v>399</v>
      </c>
      <c r="D24" s="58" t="s">
        <v>400</v>
      </c>
      <c r="T24" s="150" t="s">
        <v>547</v>
      </c>
    </row>
    <row r="25" spans="2:20">
      <c r="B25" s="58" t="s">
        <v>401</v>
      </c>
    </row>
    <row r="27" spans="2:20">
      <c r="B27" s="57" t="s">
        <v>322</v>
      </c>
    </row>
    <row r="28" spans="2:20">
      <c r="B28" s="58" t="s">
        <v>500</v>
      </c>
      <c r="I28" s="61" t="s">
        <v>367</v>
      </c>
      <c r="J28" s="58" t="s">
        <v>407</v>
      </c>
    </row>
    <row r="29" spans="2:20">
      <c r="B29" s="58" t="s">
        <v>391</v>
      </c>
      <c r="J29" s="58" t="s">
        <v>408</v>
      </c>
    </row>
    <row r="30" spans="2:20">
      <c r="B30" s="58" t="s">
        <v>368</v>
      </c>
      <c r="J30" s="58" t="s">
        <v>409</v>
      </c>
    </row>
    <row r="31" spans="2:20">
      <c r="B31" s="58" t="s">
        <v>369</v>
      </c>
      <c r="J31" s="58" t="s">
        <v>410</v>
      </c>
    </row>
    <row r="34" spans="2:10">
      <c r="B34" s="57" t="s">
        <v>373</v>
      </c>
      <c r="I34" s="61" t="s">
        <v>367</v>
      </c>
      <c r="J34" s="58" t="s">
        <v>411</v>
      </c>
    </row>
    <row r="35" spans="2:10">
      <c r="B35" s="58" t="s">
        <v>392</v>
      </c>
      <c r="J35" s="58" t="s">
        <v>412</v>
      </c>
    </row>
    <row r="36" spans="2:10">
      <c r="B36" s="58" t="s">
        <v>502</v>
      </c>
      <c r="J36" s="58" t="s">
        <v>413</v>
      </c>
    </row>
    <row r="37" spans="2:10">
      <c r="B37" s="58" t="s">
        <v>374</v>
      </c>
      <c r="J37" s="58" t="s">
        <v>414</v>
      </c>
    </row>
    <row r="38" spans="2:10">
      <c r="B38" s="58" t="s">
        <v>375</v>
      </c>
    </row>
    <row r="41" spans="2:10">
      <c r="B41" s="57" t="s">
        <v>376</v>
      </c>
      <c r="I41" s="61" t="s">
        <v>367</v>
      </c>
      <c r="J41" s="58" t="s">
        <v>415</v>
      </c>
    </row>
    <row r="42" spans="2:10">
      <c r="B42" s="58" t="s">
        <v>377</v>
      </c>
      <c r="J42" s="58" t="s">
        <v>416</v>
      </c>
    </row>
    <row r="43" spans="2:10">
      <c r="B43" s="58" t="s">
        <v>378</v>
      </c>
      <c r="J43" s="58" t="s">
        <v>417</v>
      </c>
    </row>
    <row r="44" spans="2:10">
      <c r="J44" s="58" t="s">
        <v>418</v>
      </c>
    </row>
    <row r="45" spans="2:10">
      <c r="B45" s="61" t="s">
        <v>423</v>
      </c>
      <c r="E45" s="61"/>
      <c r="J45" s="58" t="s">
        <v>419</v>
      </c>
    </row>
    <row r="46" spans="2:10">
      <c r="B46" s="58" t="s">
        <v>501</v>
      </c>
      <c r="I46" s="61" t="s">
        <v>367</v>
      </c>
    </row>
    <row r="47" spans="2:10">
      <c r="B47" s="58" t="s">
        <v>514</v>
      </c>
      <c r="D47" s="63" t="s">
        <v>515</v>
      </c>
      <c r="I47" s="58" t="s">
        <v>429</v>
      </c>
    </row>
    <row r="49" spans="2:7">
      <c r="B49" s="61" t="s">
        <v>424</v>
      </c>
      <c r="E49" s="61"/>
      <c r="G49" s="61" t="s">
        <v>367</v>
      </c>
    </row>
    <row r="50" spans="2:7">
      <c r="B50" s="58" t="s">
        <v>433</v>
      </c>
      <c r="G50" s="58" t="s">
        <v>429</v>
      </c>
    </row>
    <row r="51" spans="2:7">
      <c r="B51" s="58" t="s">
        <v>432</v>
      </c>
    </row>
    <row r="53" spans="2:7">
      <c r="B53" s="61" t="s">
        <v>19</v>
      </c>
      <c r="E53" s="61"/>
      <c r="G53" s="61" t="s">
        <v>367</v>
      </c>
    </row>
    <row r="54" spans="2:7">
      <c r="B54" s="58" t="s">
        <v>434</v>
      </c>
      <c r="G54" s="58" t="s">
        <v>430</v>
      </c>
    </row>
    <row r="55" spans="2:7">
      <c r="B55" s="58" t="s">
        <v>435</v>
      </c>
    </row>
    <row r="57" spans="2:7">
      <c r="B57" s="61" t="s">
        <v>425</v>
      </c>
      <c r="E57" s="61"/>
      <c r="G57" s="61" t="s">
        <v>367</v>
      </c>
    </row>
    <row r="58" spans="2:7">
      <c r="B58" s="58" t="s">
        <v>436</v>
      </c>
      <c r="G58" s="58" t="s">
        <v>28</v>
      </c>
    </row>
    <row r="59" spans="2:7">
      <c r="B59" s="58" t="s">
        <v>441</v>
      </c>
    </row>
    <row r="61" spans="2:7">
      <c r="B61" s="61" t="s">
        <v>21</v>
      </c>
      <c r="E61" s="61"/>
      <c r="G61" s="61" t="s">
        <v>367</v>
      </c>
    </row>
    <row r="62" spans="2:7">
      <c r="B62" s="58" t="s">
        <v>437</v>
      </c>
      <c r="G62" s="58" t="s">
        <v>28</v>
      </c>
    </row>
    <row r="63" spans="2:7">
      <c r="B63" s="58" t="s">
        <v>440</v>
      </c>
    </row>
    <row r="65" spans="2:10">
      <c r="B65" s="61" t="s">
        <v>426</v>
      </c>
      <c r="E65" s="61"/>
      <c r="G65" s="61" t="s">
        <v>367</v>
      </c>
    </row>
    <row r="66" spans="2:10">
      <c r="B66" s="58" t="s">
        <v>437</v>
      </c>
      <c r="G66" s="58" t="s">
        <v>28</v>
      </c>
    </row>
    <row r="67" spans="2:10">
      <c r="B67" s="58" t="s">
        <v>440</v>
      </c>
    </row>
    <row r="69" spans="2:10">
      <c r="B69" s="61" t="s">
        <v>427</v>
      </c>
      <c r="E69" s="61"/>
      <c r="G69" s="61" t="s">
        <v>367</v>
      </c>
    </row>
    <row r="70" spans="2:10">
      <c r="B70" s="58" t="s">
        <v>438</v>
      </c>
      <c r="G70" s="58" t="s">
        <v>28</v>
      </c>
    </row>
    <row r="71" spans="2:10">
      <c r="B71" s="58" t="s">
        <v>439</v>
      </c>
    </row>
    <row r="73" spans="2:10">
      <c r="B73" s="61" t="s">
        <v>442</v>
      </c>
      <c r="E73" s="61"/>
      <c r="G73" s="61" t="s">
        <v>367</v>
      </c>
    </row>
    <row r="74" spans="2:10">
      <c r="B74" s="58" t="s">
        <v>443</v>
      </c>
      <c r="G74" s="58" t="s">
        <v>444</v>
      </c>
    </row>
    <row r="76" spans="2:10">
      <c r="B76" s="61" t="s">
        <v>428</v>
      </c>
      <c r="E76" s="61"/>
      <c r="G76" s="61" t="s">
        <v>367</v>
      </c>
    </row>
    <row r="77" spans="2:10">
      <c r="B77" s="58" t="s">
        <v>445</v>
      </c>
      <c r="G77" s="58" t="s">
        <v>446</v>
      </c>
    </row>
    <row r="79" spans="2:10">
      <c r="B79" s="57" t="s">
        <v>382</v>
      </c>
      <c r="J79" s="58" t="s">
        <v>420</v>
      </c>
    </row>
    <row r="80" spans="2:10">
      <c r="B80" s="58" t="s">
        <v>422</v>
      </c>
      <c r="J80" s="58" t="s">
        <v>421</v>
      </c>
    </row>
    <row r="81" spans="2:2">
      <c r="B81" s="58" t="s">
        <v>377</v>
      </c>
    </row>
    <row r="82" spans="2:2">
      <c r="B82" s="58" t="s">
        <v>378</v>
      </c>
    </row>
    <row r="85" spans="2:2">
      <c r="B85" s="58" t="s">
        <v>481</v>
      </c>
    </row>
  </sheetData>
  <hyperlinks>
    <hyperlink ref="A1" location="Main!A1" display="Main" xr:uid="{2E095623-426A-4877-A454-314422E3B28F}"/>
    <hyperlink ref="D47" r:id="rId1" xr:uid="{8E1BC609-4B93-434C-8446-FD0156E75F1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374-23ED-4A40-9C48-9BEB4D31C926}">
  <dimension ref="A1:J60"/>
  <sheetViews>
    <sheetView showGridLines="0" zoomScale="200" zoomScaleNormal="200" workbookViewId="0"/>
  </sheetViews>
  <sheetFormatPr defaultRowHeight="12.75"/>
  <cols>
    <col min="1" max="1" width="2.42578125" style="58" customWidth="1"/>
    <col min="2" max="16384" width="9.140625" style="58"/>
  </cols>
  <sheetData>
    <row r="1" spans="1:1" s="57" customFormat="1">
      <c r="A1" s="63" t="s">
        <v>29</v>
      </c>
    </row>
    <row r="18" spans="2:10">
      <c r="B18" s="58" t="s">
        <v>532</v>
      </c>
      <c r="J18" s="58" t="s">
        <v>533</v>
      </c>
    </row>
    <row r="60" spans="2:2">
      <c r="B60" s="58" t="s">
        <v>459</v>
      </c>
    </row>
  </sheetData>
  <hyperlinks>
    <hyperlink ref="A1" location="Main!A1" display="Main" xr:uid="{B7D7733D-F06A-4B86-901E-D159017E763A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968D-F7BE-47B4-8A09-15EA14A5A04E}">
  <dimension ref="A1:BR179"/>
  <sheetViews>
    <sheetView zoomScale="200" zoomScaleNormal="200" workbookViewId="0">
      <pane xSplit="2" ySplit="2" topLeftCell="Z35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2.75"/>
  <cols>
    <col min="1" max="1" width="4.7109375" style="58" bestFit="1" customWidth="1"/>
    <col min="2" max="2" width="36.140625" style="58" bestFit="1" customWidth="1"/>
    <col min="3" max="16384" width="9.140625" style="58"/>
  </cols>
  <sheetData>
    <row r="1" spans="1:34">
      <c r="A1" s="63" t="s">
        <v>29</v>
      </c>
    </row>
    <row r="2" spans="1:34">
      <c r="B2" s="61"/>
      <c r="C2" s="60" t="s">
        <v>316</v>
      </c>
      <c r="D2" s="60" t="s">
        <v>317</v>
      </c>
      <c r="E2" s="60" t="s">
        <v>318</v>
      </c>
      <c r="F2" s="60" t="s">
        <v>319</v>
      </c>
      <c r="G2" s="60" t="s">
        <v>320</v>
      </c>
      <c r="H2" s="60" t="s">
        <v>321</v>
      </c>
      <c r="I2" s="60"/>
      <c r="J2" s="60">
        <v>2007</v>
      </c>
      <c r="K2" s="60">
        <v>2008</v>
      </c>
      <c r="L2" s="60">
        <v>2009</v>
      </c>
      <c r="M2" s="60">
        <v>2010</v>
      </c>
      <c r="N2" s="60" t="s">
        <v>526</v>
      </c>
      <c r="O2" s="60" t="s">
        <v>525</v>
      </c>
      <c r="P2" s="60" t="s">
        <v>524</v>
      </c>
      <c r="Q2" s="60" t="s">
        <v>523</v>
      </c>
      <c r="R2" s="60" t="s">
        <v>522</v>
      </c>
      <c r="S2" s="60" t="s">
        <v>521</v>
      </c>
      <c r="T2" s="60" t="s">
        <v>35</v>
      </c>
      <c r="U2" s="60" t="s">
        <v>36</v>
      </c>
      <c r="V2" s="60" t="s">
        <v>37</v>
      </c>
      <c r="W2" s="60" t="s">
        <v>38</v>
      </c>
      <c r="X2" s="60" t="s">
        <v>39</v>
      </c>
      <c r="Y2" s="60" t="s">
        <v>40</v>
      </c>
      <c r="Z2" s="60" t="s">
        <v>41</v>
      </c>
      <c r="AA2" s="60" t="s">
        <v>42</v>
      </c>
      <c r="AB2" s="60" t="s">
        <v>447</v>
      </c>
      <c r="AC2" s="60" t="s">
        <v>448</v>
      </c>
      <c r="AD2" s="60" t="s">
        <v>449</v>
      </c>
      <c r="AE2" s="60" t="s">
        <v>450</v>
      </c>
      <c r="AF2" s="60" t="s">
        <v>451</v>
      </c>
      <c r="AG2" s="60" t="s">
        <v>452</v>
      </c>
    </row>
    <row r="3" spans="1:34">
      <c r="B3" s="58" t="s">
        <v>453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>
        <v>26740</v>
      </c>
      <c r="V3" s="62">
        <v>27550</v>
      </c>
      <c r="W3" s="62">
        <v>21940</v>
      </c>
      <c r="X3" s="62">
        <v>24870</v>
      </c>
      <c r="Y3" s="62">
        <v>26470</v>
      </c>
      <c r="Z3" s="62">
        <v>29180</v>
      </c>
      <c r="AA3" s="62">
        <v>29830</v>
      </c>
      <c r="AB3" s="62">
        <v>30520</v>
      </c>
      <c r="AC3" s="62">
        <v>31190</v>
      </c>
      <c r="AD3" s="62">
        <v>31870</v>
      </c>
      <c r="AE3" s="62">
        <v>32530</v>
      </c>
      <c r="AF3" s="62">
        <v>33190</v>
      </c>
      <c r="AG3" s="62"/>
      <c r="AH3" s="62"/>
    </row>
    <row r="4" spans="1:34">
      <c r="B4" s="58" t="s">
        <v>454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>
        <v>117900</v>
      </c>
      <c r="V4" s="62">
        <v>124700</v>
      </c>
      <c r="W4" s="62">
        <v>110900</v>
      </c>
      <c r="X4" s="62">
        <v>120000</v>
      </c>
      <c r="Y4" s="62">
        <v>125500</v>
      </c>
      <c r="Z4" s="62">
        <v>142100</v>
      </c>
      <c r="AA4" s="62">
        <v>145400</v>
      </c>
      <c r="AB4" s="62">
        <v>150400</v>
      </c>
      <c r="AC4" s="62">
        <v>155300</v>
      </c>
      <c r="AD4" s="62">
        <v>160200</v>
      </c>
      <c r="AE4" s="62">
        <v>165000</v>
      </c>
      <c r="AF4" s="62">
        <v>169800</v>
      </c>
      <c r="AG4" s="62"/>
      <c r="AH4" s="62"/>
    </row>
    <row r="5" spans="1:34">
      <c r="B5" s="58" t="s">
        <v>455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>
        <v>50860</v>
      </c>
      <c r="V5" s="62">
        <v>55900</v>
      </c>
      <c r="W5" s="62">
        <v>46490</v>
      </c>
      <c r="X5" s="62">
        <v>55990</v>
      </c>
      <c r="Y5" s="62">
        <v>59620</v>
      </c>
      <c r="Z5" s="62">
        <v>69130</v>
      </c>
      <c r="AA5" s="62">
        <v>72350</v>
      </c>
      <c r="AB5" s="62">
        <v>76130</v>
      </c>
      <c r="AC5" s="62">
        <v>79840</v>
      </c>
      <c r="AD5" s="62">
        <v>83520</v>
      </c>
      <c r="AE5" s="62">
        <v>87170</v>
      </c>
      <c r="AF5" s="62">
        <v>90780</v>
      </c>
      <c r="AG5" s="62"/>
      <c r="AH5" s="62"/>
    </row>
    <row r="6" spans="1:34">
      <c r="B6" s="58" t="s">
        <v>456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>
        <v>122000</v>
      </c>
      <c r="V6" s="62">
        <v>129300</v>
      </c>
      <c r="W6" s="62">
        <v>106800</v>
      </c>
      <c r="X6" s="62">
        <v>122300</v>
      </c>
      <c r="Y6" s="62">
        <v>129900</v>
      </c>
      <c r="Z6" s="62">
        <v>150600</v>
      </c>
      <c r="AA6" s="62">
        <v>157600</v>
      </c>
      <c r="AB6" s="62">
        <v>166400</v>
      </c>
      <c r="AC6" s="62">
        <v>175200</v>
      </c>
      <c r="AD6" s="62">
        <v>183900</v>
      </c>
      <c r="AE6" s="62">
        <v>192400</v>
      </c>
      <c r="AF6" s="62">
        <v>200900</v>
      </c>
      <c r="AG6" s="62"/>
      <c r="AH6" s="62"/>
    </row>
    <row r="7" spans="1:34">
      <c r="B7" s="58" t="s">
        <v>457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>
        <v>58240</v>
      </c>
      <c r="V7" s="62">
        <v>62100</v>
      </c>
      <c r="W7" s="62">
        <v>52010</v>
      </c>
      <c r="X7" s="62">
        <v>59010</v>
      </c>
      <c r="Y7" s="62">
        <v>64430</v>
      </c>
      <c r="Z7" s="62">
        <v>63300</v>
      </c>
      <c r="AA7" s="62">
        <v>68750</v>
      </c>
      <c r="AB7" s="62">
        <v>71700</v>
      </c>
      <c r="AC7" s="62">
        <v>74590</v>
      </c>
      <c r="AD7" s="62">
        <v>77450</v>
      </c>
      <c r="AE7" s="62">
        <v>80280</v>
      </c>
      <c r="AF7" s="62">
        <v>83080</v>
      </c>
      <c r="AG7" s="62"/>
      <c r="AH7" s="62"/>
    </row>
    <row r="8" spans="1:34">
      <c r="B8" s="58" t="s">
        <v>458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>
        <v>249000</v>
      </c>
      <c r="T8" s="62"/>
      <c r="U8" s="62">
        <f>+SUM(U3:U7)</f>
        <v>375740</v>
      </c>
      <c r="V8" s="62">
        <f t="shared" ref="V8" si="0">+SUM(V3:V7)</f>
        <v>399550</v>
      </c>
      <c r="W8" s="62">
        <f t="shared" ref="W8:Z8" si="1">+SUM(W3:W7)</f>
        <v>338140</v>
      </c>
      <c r="X8" s="62">
        <f t="shared" si="1"/>
        <v>382170</v>
      </c>
      <c r="Y8" s="62">
        <f t="shared" si="1"/>
        <v>405920</v>
      </c>
      <c r="Z8" s="62">
        <f t="shared" si="1"/>
        <v>454310</v>
      </c>
      <c r="AA8" s="62">
        <f t="shared" ref="AA8" si="2">+SUM(AA3:AA7)</f>
        <v>473930</v>
      </c>
      <c r="AB8" s="62">
        <f t="shared" ref="AB8" si="3">+SUM(AB3:AB7)</f>
        <v>495150</v>
      </c>
      <c r="AC8" s="62">
        <f t="shared" ref="AC8" si="4">+SUM(AC3:AC7)</f>
        <v>516120</v>
      </c>
      <c r="AD8" s="62">
        <f t="shared" ref="AD8" si="5">+SUM(AD3:AD7)</f>
        <v>536940</v>
      </c>
      <c r="AE8" s="62">
        <f t="shared" ref="AE8" si="6">+SUM(AE3:AE7)</f>
        <v>557380</v>
      </c>
      <c r="AF8" s="62">
        <f t="shared" ref="AF8" si="7">+SUM(AF3:AF7)</f>
        <v>577750</v>
      </c>
      <c r="AG8" s="62"/>
      <c r="AH8" s="62"/>
    </row>
    <row r="9" spans="1:34">
      <c r="B9" s="58" t="s">
        <v>460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>
        <f>+U44*Main!$H$19</f>
        <v>14621.764000000001</v>
      </c>
      <c r="V9" s="62">
        <f>+V44*Main!$H$19</f>
        <v>16995.345000000001</v>
      </c>
      <c r="W9" s="62">
        <f>+W44*Main!$H$19</f>
        <v>14017.214</v>
      </c>
      <c r="X9" s="62">
        <f>+X44*Main!$H$19</f>
        <v>18880.150000000001</v>
      </c>
      <c r="Y9" s="62">
        <f>+Y44*Main!$H$19</f>
        <v>21775.57</v>
      </c>
      <c r="Z9" s="62">
        <f>+Z44*Main!$H$19</f>
        <v>20935.620000000003</v>
      </c>
      <c r="AA9" s="62">
        <f>+AA44*Main!$H$19</f>
        <v>18397.580000000002</v>
      </c>
      <c r="AB9" s="62">
        <f>+AB8*AB10</f>
        <v>15349.65</v>
      </c>
      <c r="AC9" s="62">
        <f t="shared" ref="AC9:AF9" si="8">+AC8*AC10</f>
        <v>17031.96</v>
      </c>
      <c r="AD9" s="62">
        <f t="shared" si="8"/>
        <v>19866.78</v>
      </c>
      <c r="AE9" s="62">
        <f t="shared" si="8"/>
        <v>22295.200000000001</v>
      </c>
      <c r="AF9" s="62">
        <f t="shared" si="8"/>
        <v>26576.5</v>
      </c>
      <c r="AG9" s="62"/>
      <c r="AH9" s="62"/>
    </row>
    <row r="10" spans="1:34">
      <c r="B10" s="58" t="s">
        <v>461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77">
        <f>+U9/U8</f>
        <v>3.8914579230318838E-2</v>
      </c>
      <c r="V10" s="77">
        <f t="shared" ref="V10:AA10" si="9">+V9/V8</f>
        <v>4.2536215742710555E-2</v>
      </c>
      <c r="W10" s="77">
        <f t="shared" si="9"/>
        <v>4.1453877092328624E-2</v>
      </c>
      <c r="X10" s="77">
        <f t="shared" si="9"/>
        <v>4.9402491038019733E-2</v>
      </c>
      <c r="Y10" s="77">
        <f t="shared" si="9"/>
        <v>5.3644979306267243E-2</v>
      </c>
      <c r="Z10" s="77">
        <f t="shared" si="9"/>
        <v>4.6082234597521525E-2</v>
      </c>
      <c r="AA10" s="77">
        <f t="shared" si="9"/>
        <v>3.8819192707783855E-2</v>
      </c>
      <c r="AB10" s="77">
        <v>3.1E-2</v>
      </c>
      <c r="AC10" s="77">
        <v>3.3000000000000002E-2</v>
      </c>
      <c r="AD10" s="77">
        <v>3.6999999999999998E-2</v>
      </c>
      <c r="AE10" s="77">
        <v>0.04</v>
      </c>
      <c r="AF10" s="77">
        <v>4.5999999999999999E-2</v>
      </c>
      <c r="AG10" s="62"/>
      <c r="AH10" s="62"/>
    </row>
    <row r="11" spans="1:34">
      <c r="B11" s="61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78"/>
      <c r="V11" s="78"/>
      <c r="W11" s="78"/>
      <c r="X11" s="78"/>
      <c r="Y11" s="78"/>
      <c r="Z11" s="78"/>
      <c r="AA11" s="60"/>
    </row>
    <row r="12" spans="1:34">
      <c r="B12" s="58" t="s">
        <v>349</v>
      </c>
      <c r="C12" s="62">
        <v>349</v>
      </c>
      <c r="D12" s="62">
        <f>Z12</f>
        <v>367</v>
      </c>
      <c r="E12" s="62">
        <v>378</v>
      </c>
      <c r="F12" s="62">
        <f>+AA12</f>
        <v>379</v>
      </c>
      <c r="G12" s="62">
        <v>373</v>
      </c>
      <c r="H12" s="62">
        <f>+AB12</f>
        <v>361</v>
      </c>
      <c r="I12" s="62"/>
      <c r="J12" s="62"/>
      <c r="K12" s="62"/>
      <c r="L12" s="62"/>
      <c r="M12" s="62"/>
      <c r="N12" s="62">
        <f>192+52</f>
        <v>244</v>
      </c>
      <c r="O12" s="62">
        <f>245+83</f>
        <v>328</v>
      </c>
      <c r="P12" s="60">
        <v>288</v>
      </c>
      <c r="Q12" s="60">
        <v>312</v>
      </c>
      <c r="R12" s="60">
        <v>326</v>
      </c>
      <c r="S12" s="60">
        <v>338</v>
      </c>
      <c r="T12" s="60">
        <v>367</v>
      </c>
      <c r="U12" s="60">
        <v>305</v>
      </c>
      <c r="V12" s="60">
        <v>324</v>
      </c>
      <c r="W12" s="60">
        <v>313</v>
      </c>
      <c r="X12" s="60">
        <v>330</v>
      </c>
      <c r="Y12" s="60">
        <v>347</v>
      </c>
      <c r="Z12" s="60">
        <v>367</v>
      </c>
      <c r="AA12" s="60">
        <v>379</v>
      </c>
      <c r="AB12" s="60">
        <v>361</v>
      </c>
      <c r="AC12" s="60">
        <v>428</v>
      </c>
      <c r="AD12" s="60">
        <v>448</v>
      </c>
      <c r="AE12" s="60">
        <v>468</v>
      </c>
      <c r="AF12" s="60">
        <v>488</v>
      </c>
    </row>
    <row r="13" spans="1:34">
      <c r="B13" s="58" t="s">
        <v>385</v>
      </c>
      <c r="C13" s="62">
        <v>293</v>
      </c>
      <c r="D13" s="62">
        <f t="shared" ref="D13:D16" si="10">Z13</f>
        <v>316</v>
      </c>
      <c r="E13" s="62">
        <v>326</v>
      </c>
      <c r="F13" s="62">
        <f t="shared" ref="F13:F17" si="11">+AA13</f>
        <v>329</v>
      </c>
      <c r="G13" s="62">
        <v>324</v>
      </c>
      <c r="H13" s="62">
        <f t="shared" ref="H13:H17" si="12">+AB13</f>
        <v>308</v>
      </c>
      <c r="I13" s="62"/>
      <c r="J13" s="62"/>
      <c r="K13" s="62"/>
      <c r="L13" s="62"/>
      <c r="M13" s="62"/>
      <c r="N13" s="62">
        <f>142+16</f>
        <v>158</v>
      </c>
      <c r="O13" s="62">
        <f>161+25</f>
        <v>186</v>
      </c>
      <c r="P13" s="60">
        <v>195</v>
      </c>
      <c r="Q13" s="58">
        <v>206</v>
      </c>
      <c r="R13" s="60">
        <v>210</v>
      </c>
      <c r="S13" s="60">
        <v>213</v>
      </c>
      <c r="T13" s="60">
        <v>219</v>
      </c>
      <c r="U13" s="60">
        <v>212</v>
      </c>
      <c r="V13" s="60">
        <v>228</v>
      </c>
      <c r="W13" s="60">
        <v>229</v>
      </c>
      <c r="X13" s="60">
        <v>251</v>
      </c>
      <c r="Y13" s="60">
        <v>278</v>
      </c>
      <c r="Z13" s="60">
        <v>316</v>
      </c>
      <c r="AA13" s="60">
        <v>329</v>
      </c>
      <c r="AB13" s="60">
        <v>308</v>
      </c>
      <c r="AC13" s="60">
        <v>363</v>
      </c>
      <c r="AD13" s="60">
        <v>376</v>
      </c>
      <c r="AE13" s="60">
        <v>393</v>
      </c>
      <c r="AF13" s="60">
        <v>408</v>
      </c>
    </row>
    <row r="14" spans="1:34">
      <c r="B14" s="58" t="s">
        <v>350</v>
      </c>
      <c r="C14" s="62">
        <v>238</v>
      </c>
      <c r="D14" s="62">
        <f t="shared" si="10"/>
        <v>238</v>
      </c>
      <c r="E14" s="62">
        <v>232</v>
      </c>
      <c r="F14" s="62">
        <f t="shared" si="11"/>
        <v>241</v>
      </c>
      <c r="G14" s="62">
        <v>232</v>
      </c>
      <c r="H14" s="62">
        <f t="shared" si="12"/>
        <v>225</v>
      </c>
      <c r="I14" s="62"/>
      <c r="J14" s="62"/>
      <c r="K14" s="62"/>
      <c r="L14" s="62"/>
      <c r="M14" s="62"/>
      <c r="N14" s="62">
        <f>214+78</f>
        <v>292</v>
      </c>
      <c r="O14" s="62">
        <f>237+94</f>
        <v>331</v>
      </c>
      <c r="P14" s="62">
        <v>224</v>
      </c>
      <c r="Q14" s="60">
        <v>226</v>
      </c>
      <c r="R14" s="62">
        <v>237</v>
      </c>
      <c r="S14" s="62">
        <v>248</v>
      </c>
      <c r="T14" s="62">
        <v>260</v>
      </c>
      <c r="U14" s="62">
        <v>213</v>
      </c>
      <c r="V14" s="62">
        <v>220</v>
      </c>
      <c r="W14" s="62">
        <v>228</v>
      </c>
      <c r="X14" s="62">
        <v>233</v>
      </c>
      <c r="Y14" s="62">
        <v>239</v>
      </c>
      <c r="Z14" s="62">
        <v>238</v>
      </c>
      <c r="AA14" s="62">
        <v>241</v>
      </c>
      <c r="AB14" s="62">
        <v>225</v>
      </c>
      <c r="AC14" s="62">
        <v>218</v>
      </c>
      <c r="AD14" s="62">
        <v>214</v>
      </c>
      <c r="AE14" s="62">
        <v>213</v>
      </c>
      <c r="AF14" s="62">
        <v>212</v>
      </c>
    </row>
    <row r="15" spans="1:34">
      <c r="B15" s="58" t="s">
        <v>351</v>
      </c>
      <c r="C15" s="62">
        <v>672</v>
      </c>
      <c r="D15" s="62">
        <f t="shared" si="10"/>
        <v>698</v>
      </c>
      <c r="E15" s="62">
        <v>706</v>
      </c>
      <c r="F15" s="62">
        <f t="shared" si="11"/>
        <v>708</v>
      </c>
      <c r="G15" s="62">
        <v>701</v>
      </c>
      <c r="H15" s="62">
        <f t="shared" si="12"/>
        <v>666</v>
      </c>
      <c r="I15" s="62"/>
      <c r="J15" s="62"/>
      <c r="K15" s="62"/>
      <c r="L15" s="62"/>
      <c r="M15" s="62"/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625</v>
      </c>
      <c r="Y15" s="62">
        <v>662</v>
      </c>
      <c r="Z15" s="62">
        <v>698</v>
      </c>
      <c r="AA15" s="62">
        <v>708</v>
      </c>
      <c r="AB15" s="62">
        <v>666</v>
      </c>
      <c r="AC15" s="62">
        <v>751</v>
      </c>
      <c r="AD15" s="62">
        <v>779</v>
      </c>
      <c r="AE15" s="62">
        <v>799</v>
      </c>
      <c r="AF15" s="62">
        <v>819</v>
      </c>
    </row>
    <row r="16" spans="1:34">
      <c r="B16" s="58" t="s">
        <v>352</v>
      </c>
      <c r="C16" s="62">
        <v>142</v>
      </c>
      <c r="D16" s="62">
        <f t="shared" si="10"/>
        <v>152</v>
      </c>
      <c r="E16" s="62">
        <v>159</v>
      </c>
      <c r="F16" s="62">
        <f t="shared" si="11"/>
        <v>156</v>
      </c>
      <c r="G16" s="62">
        <v>159</v>
      </c>
      <c r="H16" s="62">
        <f t="shared" si="12"/>
        <v>159</v>
      </c>
      <c r="I16" s="62"/>
      <c r="J16" s="62"/>
      <c r="K16" s="62"/>
      <c r="L16" s="62"/>
      <c r="M16" s="62"/>
      <c r="N16" s="62">
        <f>253+26</f>
        <v>279</v>
      </c>
      <c r="O16" s="62">
        <f>315+42</f>
        <v>357</v>
      </c>
      <c r="P16" s="62">
        <v>389</v>
      </c>
      <c r="Q16" s="62">
        <v>442</v>
      </c>
      <c r="R16" s="62">
        <v>491</v>
      </c>
      <c r="S16" s="62">
        <v>506</v>
      </c>
      <c r="T16" s="62">
        <v>542</v>
      </c>
      <c r="U16" s="62">
        <v>548</v>
      </c>
      <c r="V16" s="62">
        <v>609</v>
      </c>
      <c r="W16" s="62">
        <v>663</v>
      </c>
      <c r="X16" s="62">
        <v>120</v>
      </c>
      <c r="Y16" s="62">
        <v>137</v>
      </c>
      <c r="Z16" s="62">
        <v>152</v>
      </c>
      <c r="AA16" s="62">
        <v>156</v>
      </c>
      <c r="AB16" s="62">
        <v>159</v>
      </c>
      <c r="AC16" s="62">
        <v>194</v>
      </c>
      <c r="AD16" s="62">
        <v>209</v>
      </c>
      <c r="AE16" s="62">
        <v>221</v>
      </c>
      <c r="AF16" s="62">
        <v>236</v>
      </c>
    </row>
    <row r="17" spans="2:70">
      <c r="B17" s="58" t="s">
        <v>347</v>
      </c>
      <c r="C17" s="62">
        <f>+SUM(C12:C16)</f>
        <v>1694</v>
      </c>
      <c r="D17" s="62">
        <f>+SUM(D12:D16)</f>
        <v>1771</v>
      </c>
      <c r="E17" s="62">
        <v>1801</v>
      </c>
      <c r="F17" s="62">
        <f t="shared" si="11"/>
        <v>1813</v>
      </c>
      <c r="G17" s="62">
        <f>+SUM(G12:G16)</f>
        <v>1789</v>
      </c>
      <c r="H17" s="62">
        <f t="shared" si="12"/>
        <v>1719</v>
      </c>
      <c r="I17" s="62"/>
      <c r="J17" s="62"/>
      <c r="K17" s="62"/>
      <c r="L17" s="62">
        <f t="shared" ref="L17:O17" si="13">+SUM(L12:L16)</f>
        <v>0</v>
      </c>
      <c r="M17" s="62">
        <f t="shared" si="13"/>
        <v>0</v>
      </c>
      <c r="N17" s="62">
        <f t="shared" si="13"/>
        <v>973</v>
      </c>
      <c r="O17" s="62">
        <f t="shared" si="13"/>
        <v>1202</v>
      </c>
      <c r="P17" s="62">
        <f t="shared" ref="P17:Y17" si="14">+SUM(P12:P16)</f>
        <v>1096</v>
      </c>
      <c r="Q17" s="62">
        <f t="shared" si="14"/>
        <v>1186</v>
      </c>
      <c r="R17" s="62">
        <f t="shared" si="14"/>
        <v>1264</v>
      </c>
      <c r="S17" s="62">
        <f t="shared" si="14"/>
        <v>1305</v>
      </c>
      <c r="T17" s="62">
        <f t="shared" si="14"/>
        <v>1388</v>
      </c>
      <c r="U17" s="62">
        <f t="shared" si="14"/>
        <v>1278</v>
      </c>
      <c r="V17" s="62">
        <f t="shared" si="14"/>
        <v>1381</v>
      </c>
      <c r="W17" s="62">
        <f t="shared" si="14"/>
        <v>1433</v>
      </c>
      <c r="X17" s="62">
        <f t="shared" si="14"/>
        <v>1559</v>
      </c>
      <c r="Y17" s="62">
        <f t="shared" si="14"/>
        <v>1663</v>
      </c>
      <c r="Z17" s="62">
        <f>+SUM(Z12:Z16)</f>
        <v>1771</v>
      </c>
      <c r="AA17" s="62">
        <f t="shared" ref="AA17:AF17" si="15">+SUM(AA12:AA16)</f>
        <v>1813</v>
      </c>
      <c r="AB17" s="62">
        <f t="shared" si="15"/>
        <v>1719</v>
      </c>
      <c r="AC17" s="62">
        <f t="shared" si="15"/>
        <v>1954</v>
      </c>
      <c r="AD17" s="62">
        <f t="shared" si="15"/>
        <v>2026</v>
      </c>
      <c r="AE17" s="62">
        <f t="shared" si="15"/>
        <v>2094</v>
      </c>
      <c r="AF17" s="62">
        <f t="shared" si="15"/>
        <v>2163</v>
      </c>
    </row>
    <row r="18" spans="2:70">
      <c r="B18" s="58" t="s">
        <v>348</v>
      </c>
      <c r="C18" s="79">
        <f>C26/C17</f>
        <v>4.6068181818181815</v>
      </c>
      <c r="D18" s="79">
        <f>D26/D17</f>
        <v>4.3151044607566345</v>
      </c>
      <c r="E18" s="79">
        <f>E26/E17</f>
        <v>3.7053414769572459</v>
      </c>
      <c r="F18" s="79">
        <f t="shared" ref="F18" si="16">F26/F17</f>
        <v>3.5268174296745731</v>
      </c>
      <c r="G18" s="79">
        <f>G26/G17</f>
        <v>3.0958692006707658</v>
      </c>
      <c r="H18" s="79">
        <f>H26/H17</f>
        <v>3.2661372891215823</v>
      </c>
      <c r="I18" s="62"/>
      <c r="J18" s="62"/>
      <c r="K18" s="62"/>
      <c r="L18" s="79" t="e">
        <f t="shared" ref="L18:O18" si="17">L26/L17</f>
        <v>#DIV/0!</v>
      </c>
      <c r="M18" s="79" t="e">
        <f t="shared" si="17"/>
        <v>#DIV/0!</v>
      </c>
      <c r="N18" s="79">
        <f t="shared" si="17"/>
        <v>0</v>
      </c>
      <c r="O18" s="79">
        <f t="shared" si="17"/>
        <v>0</v>
      </c>
      <c r="P18" s="79">
        <f t="shared" ref="P18:AF18" si="18">P26/P17</f>
        <v>0</v>
      </c>
      <c r="Q18" s="79">
        <f t="shared" si="18"/>
        <v>0</v>
      </c>
      <c r="R18" s="79">
        <f t="shared" si="18"/>
        <v>6.8735363924050645</v>
      </c>
      <c r="S18" s="79">
        <f t="shared" si="18"/>
        <v>7.1177586206896546</v>
      </c>
      <c r="T18" s="79">
        <f t="shared" si="18"/>
        <v>8.3633105187319892</v>
      </c>
      <c r="U18" s="79">
        <f t="shared" si="18"/>
        <v>8.2333364632237878</v>
      </c>
      <c r="V18" s="79">
        <f t="shared" si="18"/>
        <v>8.9711296162201304</v>
      </c>
      <c r="W18" s="79">
        <f t="shared" si="18"/>
        <v>6.9272854152128396</v>
      </c>
      <c r="X18" s="79">
        <f t="shared" si="18"/>
        <v>8.8402180885182808</v>
      </c>
      <c r="Y18" s="79">
        <f t="shared" si="18"/>
        <v>9.6253758268190026</v>
      </c>
      <c r="Z18" s="79">
        <f t="shared" si="18"/>
        <v>8.7216261998870692</v>
      </c>
      <c r="AA18" s="79">
        <f>AA26/AA17</f>
        <v>7.2076337562051851</v>
      </c>
      <c r="AB18" s="79">
        <f t="shared" si="18"/>
        <v>6.488074461896451</v>
      </c>
      <c r="AC18" s="79">
        <f t="shared" si="18"/>
        <v>6.5169783525765501</v>
      </c>
      <c r="AD18" s="79">
        <f t="shared" si="18"/>
        <v>7.3315238350047514</v>
      </c>
      <c r="AE18" s="79">
        <f t="shared" si="18"/>
        <v>7.960510225031018</v>
      </c>
      <c r="AF18" s="79">
        <f t="shared" si="18"/>
        <v>9.1864449254885692</v>
      </c>
    </row>
    <row r="19" spans="2:70"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</row>
    <row r="20" spans="2:70">
      <c r="B20" s="58" t="s">
        <v>355</v>
      </c>
      <c r="C20" s="62">
        <v>3710</v>
      </c>
      <c r="D20" s="62">
        <f>Z20-C20</f>
        <v>3138</v>
      </c>
      <c r="E20" s="62">
        <v>2897</v>
      </c>
      <c r="F20" s="62">
        <f t="shared" ref="F20:F24" si="19">+AA20-E20</f>
        <v>2261.1999999999998</v>
      </c>
      <c r="G20" s="62">
        <v>2237</v>
      </c>
      <c r="H20" s="62">
        <f>+AB20-G20</f>
        <v>1967</v>
      </c>
      <c r="I20" s="62"/>
      <c r="J20" s="62"/>
      <c r="K20" s="62"/>
      <c r="L20" s="62"/>
      <c r="M20" s="62"/>
      <c r="N20" s="62">
        <v>1962</v>
      </c>
      <c r="O20" s="62">
        <v>2439.9</v>
      </c>
      <c r="P20" s="62">
        <v>2449.4</v>
      </c>
      <c r="Q20" s="62">
        <v>2582.8000000000002</v>
      </c>
      <c r="R20" s="62">
        <v>2956.2</v>
      </c>
      <c r="S20" s="62">
        <v>3203.6</v>
      </c>
      <c r="T20" s="62">
        <v>4184.8</v>
      </c>
      <c r="U20" s="62">
        <v>4420.3</v>
      </c>
      <c r="V20" s="62">
        <v>5421.6</v>
      </c>
      <c r="W20" s="62">
        <v>4975.7</v>
      </c>
      <c r="X20" s="62">
        <v>6695.4</v>
      </c>
      <c r="Y20" s="62">
        <v>6568</v>
      </c>
      <c r="Z20" s="62">
        <v>6848</v>
      </c>
      <c r="AA20" s="62">
        <f>30%*AA44</f>
        <v>5158.2</v>
      </c>
      <c r="AB20" s="62">
        <v>4204</v>
      </c>
      <c r="AC20" s="62">
        <f>38%*AC44</f>
        <v>6048.7334579439248</v>
      </c>
      <c r="AD20" s="62">
        <f>38%*AD44</f>
        <v>7055.4919626168221</v>
      </c>
      <c r="AE20" s="62">
        <f>39%*AE44</f>
        <v>8126.287850467289</v>
      </c>
      <c r="AF20" s="62">
        <f t="shared" ref="AF20" si="20">40%*AF44</f>
        <v>9935.1401869158872</v>
      </c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</row>
    <row r="21" spans="2:70">
      <c r="B21" s="58" t="s">
        <v>356</v>
      </c>
      <c r="C21" s="62">
        <v>2739</v>
      </c>
      <c r="D21" s="62">
        <f t="shared" ref="D21:D27" si="21">Z21-C21</f>
        <v>2666</v>
      </c>
      <c r="E21" s="62">
        <v>2555</v>
      </c>
      <c r="F21" s="62">
        <f t="shared" si="19"/>
        <v>2431.2599999999993</v>
      </c>
      <c r="G21" s="62">
        <v>2232</v>
      </c>
      <c r="H21" s="62">
        <f t="shared" ref="H21:H27" si="22">+AB21-G21</f>
        <v>2183</v>
      </c>
      <c r="I21" s="62"/>
      <c r="J21" s="62"/>
      <c r="K21" s="62"/>
      <c r="L21" s="62"/>
      <c r="M21" s="62"/>
      <c r="N21" s="62">
        <v>2611.8000000000002</v>
      </c>
      <c r="O21" s="62">
        <v>2937.5</v>
      </c>
      <c r="P21" s="62">
        <v>3022</v>
      </c>
      <c r="Q21" s="62">
        <v>3125.3</v>
      </c>
      <c r="R21" s="62">
        <v>3562.4</v>
      </c>
      <c r="S21" s="62">
        <v>3885.9</v>
      </c>
      <c r="T21" s="62">
        <v>5077.1000000000004</v>
      </c>
      <c r="U21" s="62">
        <v>4471.5</v>
      </c>
      <c r="V21" s="62">
        <v>5120.2</v>
      </c>
      <c r="W21" s="62">
        <v>3657.1</v>
      </c>
      <c r="X21" s="62">
        <v>4945</v>
      </c>
      <c r="Y21" s="62">
        <v>5566</v>
      </c>
      <c r="Z21" s="62">
        <v>5405</v>
      </c>
      <c r="AA21" s="62">
        <f>29%*AA44</f>
        <v>4986.2599999999993</v>
      </c>
      <c r="AB21" s="62">
        <v>4415</v>
      </c>
      <c r="AC21" s="62">
        <f>26%*AC44</f>
        <v>4138.6071028037377</v>
      </c>
      <c r="AD21" s="62">
        <f>26%*AD44</f>
        <v>4827.4418691588789</v>
      </c>
      <c r="AE21" s="62">
        <f t="shared" ref="AE21" si="23">26%*AE44</f>
        <v>5417.5252336448593</v>
      </c>
      <c r="AF21" s="62">
        <f>26%*AF44</f>
        <v>6457.8411214953267</v>
      </c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</row>
    <row r="22" spans="2:70">
      <c r="B22" s="58" t="s">
        <v>357</v>
      </c>
      <c r="C22" s="62">
        <v>2266</v>
      </c>
      <c r="D22" s="62">
        <f t="shared" si="21"/>
        <v>2234</v>
      </c>
      <c r="E22" s="62">
        <v>2057</v>
      </c>
      <c r="F22" s="62">
        <f t="shared" si="19"/>
        <v>2069.5599999999995</v>
      </c>
      <c r="G22" s="62">
        <v>1784</v>
      </c>
      <c r="H22" s="62">
        <f t="shared" si="22"/>
        <v>1765</v>
      </c>
      <c r="I22" s="62"/>
      <c r="J22" s="62"/>
      <c r="K22" s="62"/>
      <c r="L22" s="62"/>
      <c r="M22" s="62"/>
      <c r="N22" s="62">
        <v>1496.8</v>
      </c>
      <c r="O22" s="62">
        <v>1983.1</v>
      </c>
      <c r="P22" s="62">
        <v>2031.6</v>
      </c>
      <c r="Q22" s="62">
        <v>2146.6999999999998</v>
      </c>
      <c r="R22" s="62">
        <v>2652</v>
      </c>
      <c r="S22" s="62">
        <v>2740.5</v>
      </c>
      <c r="T22" s="62">
        <v>3306</v>
      </c>
      <c r="U22" s="62">
        <v>2704.7</v>
      </c>
      <c r="V22" s="62">
        <v>3039.7</v>
      </c>
      <c r="W22" s="62">
        <v>2742.4</v>
      </c>
      <c r="X22" s="62">
        <v>4685.3</v>
      </c>
      <c r="Y22" s="62">
        <v>5547</v>
      </c>
      <c r="Z22" s="62">
        <v>4500</v>
      </c>
      <c r="AA22" s="62">
        <f>24%*AA44</f>
        <v>4126.5599999999995</v>
      </c>
      <c r="AB22" s="62">
        <v>3549</v>
      </c>
      <c r="AC22" s="62">
        <f t="shared" ref="AC22:AE22" si="24">23%*AC44</f>
        <v>3661.0755140186911</v>
      </c>
      <c r="AD22" s="62">
        <f t="shared" si="24"/>
        <v>4270.4293457943922</v>
      </c>
      <c r="AE22" s="62">
        <f t="shared" si="24"/>
        <v>4792.4261682242986</v>
      </c>
      <c r="AF22" s="62">
        <f>22%*AF44</f>
        <v>5464.3271028037379</v>
      </c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</row>
    <row r="23" spans="2:70">
      <c r="B23" s="58" t="s">
        <v>358</v>
      </c>
      <c r="C23" s="62">
        <v>683</v>
      </c>
      <c r="D23" s="62">
        <f t="shared" si="21"/>
        <v>717</v>
      </c>
      <c r="E23" s="62">
        <v>737</v>
      </c>
      <c r="F23" s="62">
        <f t="shared" si="19"/>
        <v>638.52</v>
      </c>
      <c r="G23" s="62">
        <v>599</v>
      </c>
      <c r="H23" s="62">
        <f t="shared" si="22"/>
        <v>558</v>
      </c>
      <c r="I23" s="62"/>
      <c r="J23" s="62"/>
      <c r="K23" s="62"/>
      <c r="L23" s="62"/>
      <c r="M23" s="62"/>
      <c r="N23" s="62">
        <v>983.5</v>
      </c>
      <c r="O23" s="62">
        <v>1158.4000000000001</v>
      </c>
      <c r="P23" s="62">
        <v>967.8</v>
      </c>
      <c r="Q23" s="62">
        <v>962.5</v>
      </c>
      <c r="R23" s="62">
        <v>1101.0999999999999</v>
      </c>
      <c r="S23" s="62">
        <v>1226.3</v>
      </c>
      <c r="T23" s="62">
        <v>1291.2</v>
      </c>
      <c r="U23" s="62">
        <v>1157.5</v>
      </c>
      <c r="V23" s="62">
        <v>1309.8</v>
      </c>
      <c r="W23" s="62">
        <v>931.1</v>
      </c>
      <c r="X23" s="62">
        <v>1059.4000000000001</v>
      </c>
      <c r="Y23" s="62">
        <v>1244</v>
      </c>
      <c r="Z23" s="62">
        <v>1400</v>
      </c>
      <c r="AA23" s="62">
        <f>8%*AA44</f>
        <v>1375.52</v>
      </c>
      <c r="AB23" s="62">
        <v>1157</v>
      </c>
      <c r="AC23" s="62">
        <f>5%*AC44</f>
        <v>795.88598130841115</v>
      </c>
      <c r="AD23" s="62">
        <f>5%*AD44</f>
        <v>928.35420560747662</v>
      </c>
      <c r="AE23" s="62">
        <f>5%*AE44</f>
        <v>1041.8317757009345</v>
      </c>
      <c r="AF23" s="62">
        <f>5%*AF44</f>
        <v>1241.8925233644859</v>
      </c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</row>
    <row r="24" spans="2:70">
      <c r="B24" s="58" t="s">
        <v>359</v>
      </c>
      <c r="C24" s="62">
        <v>737</v>
      </c>
      <c r="D24" s="62">
        <f t="shared" si="21"/>
        <v>676</v>
      </c>
      <c r="E24" s="62">
        <v>772</v>
      </c>
      <c r="F24" s="62">
        <f t="shared" si="19"/>
        <v>775.46</v>
      </c>
      <c r="G24" s="62">
        <v>735</v>
      </c>
      <c r="H24" s="62">
        <f t="shared" si="22"/>
        <v>614</v>
      </c>
      <c r="I24" s="62"/>
      <c r="J24" s="62"/>
      <c r="K24" s="62"/>
      <c r="L24" s="62"/>
      <c r="M24" s="62"/>
      <c r="N24" s="62">
        <f>540.5+467.9</f>
        <v>1008.4</v>
      </c>
      <c r="O24" s="62">
        <f>685.2+532.2</f>
        <v>1217.4000000000001</v>
      </c>
      <c r="P24" s="62">
        <f>709.6+475.3</f>
        <v>1184.9000000000001</v>
      </c>
      <c r="Q24" s="62">
        <f>728.5+464.7</f>
        <v>1193.2</v>
      </c>
      <c r="R24" s="62">
        <f>773.7+538.8</f>
        <v>1312.5</v>
      </c>
      <c r="S24" s="62">
        <f>514.3+814.3</f>
        <v>1328.6</v>
      </c>
      <c r="T24" s="62">
        <f>1032.9+594.7</f>
        <v>1627.6000000000001</v>
      </c>
      <c r="U24" s="62">
        <f>725.1+186.1</f>
        <v>911.2</v>
      </c>
      <c r="V24" s="62">
        <f>770.2+222.1</f>
        <v>992.30000000000007</v>
      </c>
      <c r="W24" s="62">
        <v>793.9</v>
      </c>
      <c r="X24" s="62">
        <v>1160.0999999999999</v>
      </c>
      <c r="Y24" s="62">
        <v>1425</v>
      </c>
      <c r="Z24" s="62">
        <v>1413</v>
      </c>
      <c r="AA24" s="62">
        <f>9%*AA44</f>
        <v>1547.46</v>
      </c>
      <c r="AB24" s="62">
        <v>1349</v>
      </c>
      <c r="AC24" s="62">
        <f t="shared" ref="AC24:AF24" si="25">8%*AC44</f>
        <v>1273.4175700934577</v>
      </c>
      <c r="AD24" s="62">
        <f t="shared" si="25"/>
        <v>1485.3667289719626</v>
      </c>
      <c r="AE24" s="62">
        <f t="shared" si="25"/>
        <v>1666.9308411214952</v>
      </c>
      <c r="AF24" s="62">
        <f t="shared" si="25"/>
        <v>1987.0280373831774</v>
      </c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</row>
    <row r="25" spans="2:70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80"/>
      <c r="V25" s="80"/>
      <c r="W25" s="80"/>
      <c r="X25" s="80"/>
      <c r="Y25" s="80"/>
      <c r="Z25" s="80"/>
      <c r="AA25" s="80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</row>
    <row r="26" spans="2:70">
      <c r="B26" s="58" t="s">
        <v>361</v>
      </c>
      <c r="C26" s="62">
        <f>0.77*C44</f>
        <v>7803.95</v>
      </c>
      <c r="D26" s="62">
        <f t="shared" si="21"/>
        <v>7642.05</v>
      </c>
      <c r="E26" s="62">
        <f>0.74*E44</f>
        <v>6673.32</v>
      </c>
      <c r="F26" s="62">
        <f>+AA26-E26</f>
        <v>6394.1200000000008</v>
      </c>
      <c r="G26" s="62">
        <f>73%*G44</f>
        <v>5538.51</v>
      </c>
      <c r="H26" s="62">
        <f t="shared" si="22"/>
        <v>5614.49</v>
      </c>
      <c r="I26" s="62"/>
      <c r="J26" s="62"/>
      <c r="K26" s="62"/>
      <c r="L26" s="62"/>
      <c r="M26" s="62"/>
      <c r="N26" s="62"/>
      <c r="O26" s="62"/>
      <c r="P26" s="62"/>
      <c r="Q26" s="62"/>
      <c r="R26" s="62">
        <f t="shared" ref="R26:S26" si="26">0.75*R44</f>
        <v>8688.1500000000015</v>
      </c>
      <c r="S26" s="62">
        <f t="shared" si="26"/>
        <v>9288.6749999999993</v>
      </c>
      <c r="T26" s="62">
        <f>0.75*T44</f>
        <v>11608.275000000001</v>
      </c>
      <c r="U26" s="62">
        <f>0.77*U44</f>
        <v>10522.204000000002</v>
      </c>
      <c r="V26" s="62">
        <f>0.78*V44</f>
        <v>12389.130000000001</v>
      </c>
      <c r="W26" s="62">
        <v>9926.7999999999993</v>
      </c>
      <c r="X26" s="62">
        <v>13781.9</v>
      </c>
      <c r="Y26" s="62">
        <v>16007</v>
      </c>
      <c r="Z26" s="62">
        <v>15446</v>
      </c>
      <c r="AA26" s="62">
        <f>76%*AA44</f>
        <v>13067.44</v>
      </c>
      <c r="AB26" s="62">
        <f>76%*AB44</f>
        <v>11153</v>
      </c>
      <c r="AC26" s="62">
        <f>80%*AC44</f>
        <v>12734.175700934578</v>
      </c>
      <c r="AD26" s="62">
        <f t="shared" ref="AD26:AF26" si="27">80%*AD44</f>
        <v>14853.667289719626</v>
      </c>
      <c r="AE26" s="62">
        <f t="shared" si="27"/>
        <v>16669.308411214952</v>
      </c>
      <c r="AF26" s="62">
        <f t="shared" si="27"/>
        <v>19870.280373831774</v>
      </c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</row>
    <row r="27" spans="2:70">
      <c r="B27" s="58" t="s">
        <v>360</v>
      </c>
      <c r="C27" s="62">
        <f>0.23*C44</f>
        <v>2331.0500000000002</v>
      </c>
      <c r="D27" s="62">
        <f t="shared" si="21"/>
        <v>1788.9499999999998</v>
      </c>
      <c r="E27" s="62">
        <f>0.26*E44</f>
        <v>2344.6800000000003</v>
      </c>
      <c r="F27" s="62">
        <f>+AA27-E27</f>
        <v>1781.8799999999992</v>
      </c>
      <c r="G27" s="62">
        <f>27%*G44</f>
        <v>2048.4900000000002</v>
      </c>
      <c r="H27" s="62">
        <f t="shared" si="22"/>
        <v>1473.5099999999998</v>
      </c>
      <c r="I27" s="62"/>
      <c r="J27" s="62"/>
      <c r="K27" s="62"/>
      <c r="L27" s="62"/>
      <c r="M27" s="62"/>
      <c r="N27" s="62"/>
      <c r="O27" s="62"/>
      <c r="P27" s="62"/>
      <c r="Q27" s="62"/>
      <c r="R27" s="62">
        <f t="shared" ref="R27:S27" si="28">0.75*R45</f>
        <v>3382.5</v>
      </c>
      <c r="S27" s="62">
        <f t="shared" si="28"/>
        <v>3446.4750000000004</v>
      </c>
      <c r="T27" s="62">
        <f>0.75*T45</f>
        <v>4008.5249999999996</v>
      </c>
      <c r="U27" s="62">
        <f>0.23*U44</f>
        <v>3142.9960000000001</v>
      </c>
      <c r="V27" s="62">
        <f>0.22*V44</f>
        <v>3494.37</v>
      </c>
      <c r="W27" s="62">
        <v>3173.4</v>
      </c>
      <c r="X27" s="62">
        <v>3863.3</v>
      </c>
      <c r="Y27" s="62">
        <v>4344</v>
      </c>
      <c r="Z27" s="62">
        <v>4120</v>
      </c>
      <c r="AA27" s="62">
        <f>+AA44-AA26</f>
        <v>4126.5599999999995</v>
      </c>
      <c r="AB27" s="62">
        <f>+AB44*0.24</f>
        <v>3522</v>
      </c>
      <c r="AC27" s="62">
        <f t="shared" ref="AC27:AF27" si="29">+AC44-AC26</f>
        <v>3183.5439252336437</v>
      </c>
      <c r="AD27" s="62">
        <f t="shared" si="29"/>
        <v>3713.4168224299065</v>
      </c>
      <c r="AE27" s="62">
        <f t="shared" si="29"/>
        <v>4167.3271028037379</v>
      </c>
      <c r="AF27" s="62">
        <f t="shared" si="29"/>
        <v>4967.5700934579436</v>
      </c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</row>
    <row r="28" spans="2:70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</row>
    <row r="29" spans="2:70">
      <c r="B29" s="58" t="s">
        <v>362</v>
      </c>
      <c r="C29" s="62">
        <v>536</v>
      </c>
      <c r="D29" s="62">
        <f>Z29</f>
        <v>538</v>
      </c>
      <c r="E29" s="62">
        <v>536</v>
      </c>
      <c r="F29" s="62">
        <f>+AA29</f>
        <v>529</v>
      </c>
      <c r="G29" s="62">
        <v>511</v>
      </c>
      <c r="H29" s="62">
        <f>+AB29</f>
        <v>497</v>
      </c>
      <c r="I29" s="62"/>
      <c r="J29" s="62"/>
      <c r="K29" s="62">
        <v>258</v>
      </c>
      <c r="L29" s="62"/>
      <c r="M29" s="62">
        <v>317</v>
      </c>
      <c r="N29" s="62"/>
      <c r="O29" s="62">
        <v>429</v>
      </c>
      <c r="P29" s="62"/>
      <c r="Q29" s="62">
        <v>505</v>
      </c>
      <c r="R29" s="62"/>
      <c r="S29" s="62">
        <v>520</v>
      </c>
      <c r="T29" s="62">
        <v>529</v>
      </c>
      <c r="U29" s="62">
        <v>469</v>
      </c>
      <c r="V29" s="62">
        <v>487</v>
      </c>
      <c r="W29" s="62">
        <v>483</v>
      </c>
      <c r="X29" s="62">
        <v>501</v>
      </c>
      <c r="Y29" s="62">
        <v>528</v>
      </c>
      <c r="Z29" s="62">
        <v>538</v>
      </c>
      <c r="AA29" s="62">
        <v>529</v>
      </c>
      <c r="AB29" s="62">
        <v>497</v>
      </c>
      <c r="AC29" s="62">
        <v>550</v>
      </c>
      <c r="AD29" s="62">
        <v>560</v>
      </c>
      <c r="AE29" s="62">
        <v>570</v>
      </c>
      <c r="AF29" s="62">
        <v>580</v>
      </c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</row>
    <row r="30" spans="2:70">
      <c r="B30" s="58" t="s">
        <v>365</v>
      </c>
      <c r="C30" s="79">
        <f>C38*0.91/C29</f>
        <v>8.7061194029850757</v>
      </c>
      <c r="D30" s="79">
        <f>D38*0.91/D29</f>
        <v>8.0259293680297397</v>
      </c>
      <c r="E30" s="79">
        <f>E38*0.9/E29</f>
        <v>6.8591417910447765</v>
      </c>
      <c r="F30" s="79">
        <f>0.85*F38/F29</f>
        <v>5.7282608695652177</v>
      </c>
      <c r="G30" s="79">
        <f>0.91*G38/G29</f>
        <v>5.3905479452054799</v>
      </c>
      <c r="H30" s="79">
        <f>0.91*H38/H29</f>
        <v>5.4288732394366201</v>
      </c>
      <c r="I30" s="62"/>
      <c r="J30" s="62"/>
      <c r="K30" s="62"/>
      <c r="L30" s="62"/>
      <c r="M30" s="62"/>
      <c r="N30" s="79" t="e">
        <f t="shared" ref="N30:R30" si="30">0.85*N38/N29</f>
        <v>#DIV/0!</v>
      </c>
      <c r="O30" s="79">
        <f t="shared" si="30"/>
        <v>7.2101398601398605</v>
      </c>
      <c r="P30" s="79" t="e">
        <f t="shared" si="30"/>
        <v>#DIV/0!</v>
      </c>
      <c r="Q30" s="79">
        <f t="shared" si="30"/>
        <v>5.8863762376237618</v>
      </c>
      <c r="R30" s="79" t="e">
        <f t="shared" si="30"/>
        <v>#DIV/0!</v>
      </c>
      <c r="S30" s="79">
        <f>0.85*S38/S29</f>
        <v>7.1568365384615378</v>
      </c>
      <c r="T30" s="79">
        <f>0.85*T38/T29</f>
        <v>9.9798676748582213</v>
      </c>
      <c r="U30" s="79">
        <f>0.85*U38/U29</f>
        <v>15.01545842217484</v>
      </c>
      <c r="V30" s="79">
        <f>0.85*V38/V29</f>
        <v>16.805215605749485</v>
      </c>
      <c r="W30" s="79">
        <f>0.87*W38/W29</f>
        <v>13.40232298136646</v>
      </c>
      <c r="X30" s="79">
        <f>0.91*X38/X29</f>
        <v>17.675069860279443</v>
      </c>
      <c r="Y30" s="79">
        <f>0.91*Y38/Y29</f>
        <v>18.074185606060606</v>
      </c>
      <c r="Z30" s="79">
        <f>0.91*Z38/Z29</f>
        <v>16.699684014869888</v>
      </c>
      <c r="AA30" s="79">
        <f t="shared" ref="AA30:AF30" si="31">0.91*AA38/AA29</f>
        <v>13.159735349716446</v>
      </c>
      <c r="AB30" s="79">
        <f>0.92*AB38/AB29</f>
        <v>11.091830985915493</v>
      </c>
      <c r="AC30" s="79">
        <f t="shared" si="31"/>
        <v>12.114831700934579</v>
      </c>
      <c r="AD30" s="79">
        <f t="shared" si="31"/>
        <v>13.275465140186917</v>
      </c>
      <c r="AE30" s="79">
        <f t="shared" si="31"/>
        <v>13.971512444663059</v>
      </c>
      <c r="AF30" s="79">
        <f t="shared" si="31"/>
        <v>15.97758967128585</v>
      </c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</row>
    <row r="31" spans="2:70">
      <c r="B31" s="58" t="s">
        <v>366</v>
      </c>
      <c r="C31" s="62">
        <v>288</v>
      </c>
      <c r="D31" s="62">
        <f>Z31</f>
        <v>308</v>
      </c>
      <c r="E31" s="62">
        <v>320</v>
      </c>
      <c r="F31" s="62">
        <f>+AA31</f>
        <v>318</v>
      </c>
      <c r="G31" s="62">
        <v>317</v>
      </c>
      <c r="H31" s="62">
        <f>+AB31</f>
        <v>312</v>
      </c>
      <c r="I31" s="62"/>
      <c r="J31" s="62"/>
      <c r="K31" s="62">
        <v>64</v>
      </c>
      <c r="L31" s="62"/>
      <c r="M31" s="62">
        <v>78</v>
      </c>
      <c r="N31" s="62"/>
      <c r="O31" s="62">
        <v>89</v>
      </c>
      <c r="P31" s="62"/>
      <c r="Q31" s="62">
        <v>128</v>
      </c>
      <c r="R31" s="62"/>
      <c r="S31" s="62">
        <v>159</v>
      </c>
      <c r="T31" s="62">
        <v>184</v>
      </c>
      <c r="U31" s="62">
        <v>194</v>
      </c>
      <c r="V31" s="62">
        <v>222</v>
      </c>
      <c r="W31" s="62">
        <v>239</v>
      </c>
      <c r="X31" s="62">
        <v>268</v>
      </c>
      <c r="Y31" s="62">
        <v>280</v>
      </c>
      <c r="Z31" s="62">
        <v>308</v>
      </c>
      <c r="AA31" s="62">
        <v>318</v>
      </c>
      <c r="AB31" s="62">
        <v>312</v>
      </c>
      <c r="AC31" s="62">
        <v>350</v>
      </c>
      <c r="AD31" s="62">
        <v>367</v>
      </c>
      <c r="AE31" s="62">
        <v>386</v>
      </c>
      <c r="AF31" s="62">
        <v>405</v>
      </c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</row>
    <row r="32" spans="2:70">
      <c r="B32" s="58" t="s">
        <v>370</v>
      </c>
      <c r="C32" s="79">
        <f>+C39*0.8/C31</f>
        <v>4.3777777777777782</v>
      </c>
      <c r="D32" s="79">
        <f>+D39*0.81/D31</f>
        <v>4.2156818181818183</v>
      </c>
      <c r="E32" s="79">
        <f>+E39*0.81/E31</f>
        <v>3.6475312500000001</v>
      </c>
      <c r="F32" s="79">
        <f t="shared" ref="F32" si="32">0.69*F39/F31</f>
        <v>3.1245283018867922</v>
      </c>
      <c r="G32" s="79">
        <f>0.8*G39/G31</f>
        <v>3.2504731861198741</v>
      </c>
      <c r="H32" s="79">
        <f>0.8*H39/H31</f>
        <v>3.4743589743589745</v>
      </c>
      <c r="I32" s="62"/>
      <c r="J32" s="62"/>
      <c r="K32" s="62"/>
      <c r="L32" s="62"/>
      <c r="M32" s="62"/>
      <c r="N32" s="79" t="e">
        <f t="shared" ref="N32:R32" si="33">0.69*N39/N31</f>
        <v>#DIV/0!</v>
      </c>
      <c r="O32" s="79">
        <f t="shared" si="33"/>
        <v>3.6670786516853928</v>
      </c>
      <c r="P32" s="79" t="e">
        <f t="shared" si="33"/>
        <v>#DIV/0!</v>
      </c>
      <c r="Q32" s="79">
        <f t="shared" si="33"/>
        <v>3.8127890624999994</v>
      </c>
      <c r="R32" s="79" t="e">
        <f t="shared" si="33"/>
        <v>#DIV/0!</v>
      </c>
      <c r="S32" s="79">
        <f>0.69*S39/S31</f>
        <v>5.2952075471698112</v>
      </c>
      <c r="T32" s="79">
        <f>0.69*T39/T31</f>
        <v>5.6324999999999994</v>
      </c>
      <c r="U32" s="79">
        <f>0.68*U39/U31</f>
        <v>6.1129896907216494</v>
      </c>
      <c r="V32" s="79">
        <f>0.69*V39/V31</f>
        <v>6.3688243243243239</v>
      </c>
      <c r="W32" s="79">
        <f>0.69*W39/W31</f>
        <v>5.0361338912133888</v>
      </c>
      <c r="X32" s="79">
        <f>0.74*X39/X31</f>
        <v>6.9609701492537308</v>
      </c>
      <c r="Y32" s="79">
        <f>0.77*Y39/Y31</f>
        <v>9.0749999999999993</v>
      </c>
      <c r="Z32" s="79">
        <f>0.81*Z39/Z31</f>
        <v>8.3603571428571435</v>
      </c>
      <c r="AA32" s="79">
        <f>0.82*AA39/AA31</f>
        <v>7.4289937106918238</v>
      </c>
      <c r="AB32" s="79">
        <f t="shared" ref="AB32:AF32" si="34">0.81*AB39/AB31</f>
        <v>6.8616346153846148</v>
      </c>
      <c r="AC32" s="79">
        <f t="shared" si="34"/>
        <v>6.2624856929238986</v>
      </c>
      <c r="AD32" s="79">
        <f t="shared" si="34"/>
        <v>6.9664509052942529</v>
      </c>
      <c r="AE32" s="79">
        <f t="shared" si="34"/>
        <v>7.4331728245605548</v>
      </c>
      <c r="AF32" s="79">
        <f t="shared" si="34"/>
        <v>8.9416261682242997</v>
      </c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</row>
    <row r="33" spans="2:70">
      <c r="B33" s="58" t="s">
        <v>371</v>
      </c>
      <c r="C33" s="62">
        <v>279</v>
      </c>
      <c r="D33" s="62">
        <v>288</v>
      </c>
      <c r="E33" s="62">
        <v>301</v>
      </c>
      <c r="F33" s="62">
        <f>+AA33</f>
        <v>307</v>
      </c>
      <c r="G33" s="62">
        <v>302</v>
      </c>
      <c r="H33" s="62">
        <f>+AB33</f>
        <v>297</v>
      </c>
      <c r="I33" s="62"/>
      <c r="J33" s="62"/>
      <c r="K33" s="62">
        <v>121</v>
      </c>
      <c r="L33" s="62"/>
      <c r="M33" s="62">
        <v>148</v>
      </c>
      <c r="N33" s="62"/>
      <c r="O33" s="62">
        <v>196</v>
      </c>
      <c r="P33" s="62"/>
      <c r="Q33" s="62">
        <v>236</v>
      </c>
      <c r="R33" s="62"/>
      <c r="S33" s="62">
        <v>255</v>
      </c>
      <c r="T33" s="62">
        <v>270</v>
      </c>
      <c r="U33" s="62">
        <v>255</v>
      </c>
      <c r="V33" s="62">
        <v>268</v>
      </c>
      <c r="W33" s="62">
        <v>261</v>
      </c>
      <c r="X33" s="62">
        <v>263</v>
      </c>
      <c r="Y33" s="62">
        <v>271</v>
      </c>
      <c r="Z33" s="62">
        <v>288</v>
      </c>
      <c r="AA33" s="62">
        <v>307</v>
      </c>
      <c r="AB33" s="62">
        <v>297</v>
      </c>
      <c r="AC33" s="62">
        <v>330</v>
      </c>
      <c r="AD33" s="62">
        <v>342</v>
      </c>
      <c r="AE33" s="62">
        <v>354</v>
      </c>
      <c r="AF33" s="62">
        <v>364</v>
      </c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</row>
    <row r="34" spans="2:70">
      <c r="B34" s="58" t="s">
        <v>372</v>
      </c>
      <c r="C34" s="79">
        <f>+C40*0.8/C33</f>
        <v>2.3885304659498212</v>
      </c>
      <c r="D34" s="79">
        <f>+D40*0.84/D33</f>
        <v>2.3683333333333332</v>
      </c>
      <c r="E34" s="79">
        <f>+E40*0.84/E33</f>
        <v>2.3330232558139534</v>
      </c>
      <c r="F34" s="79">
        <f t="shared" ref="F34" si="35">0.83*F40/F33</f>
        <v>2.371042345276873</v>
      </c>
      <c r="G34" s="79">
        <f>0.85*G40/G33</f>
        <v>2.3811258278145697</v>
      </c>
      <c r="H34" s="79">
        <f>0.85*H40/H33</f>
        <v>2.4612794612794611</v>
      </c>
      <c r="I34" s="62"/>
      <c r="J34" s="62"/>
      <c r="K34" s="62"/>
      <c r="L34" s="62"/>
      <c r="M34" s="62"/>
      <c r="N34" s="79" t="e">
        <f t="shared" ref="N34:R34" si="36">0.83*N40/N33</f>
        <v>#DIV/0!</v>
      </c>
      <c r="O34" s="79">
        <f t="shared" si="36"/>
        <v>4.0017857142857141</v>
      </c>
      <c r="P34" s="79" t="e">
        <f t="shared" si="36"/>
        <v>#DIV/0!</v>
      </c>
      <c r="Q34" s="79">
        <f t="shared" si="36"/>
        <v>3.9759110169491523</v>
      </c>
      <c r="R34" s="79" t="e">
        <f t="shared" si="36"/>
        <v>#DIV/0!</v>
      </c>
      <c r="S34" s="79">
        <f>0.83*S40/S33</f>
        <v>3.8193019607843137</v>
      </c>
      <c r="T34" s="79">
        <f>0.83*T40/T33</f>
        <v>3.6151111111111107</v>
      </c>
      <c r="U34" s="79">
        <f>0.82*U40/U33</f>
        <v>3.5661960784313727</v>
      </c>
      <c r="V34" s="79">
        <f>0.81*V40/V33</f>
        <v>3.5289402985074627</v>
      </c>
      <c r="W34" s="79">
        <f>0.73*W40/W33</f>
        <v>3.3851302681992332</v>
      </c>
      <c r="X34" s="79">
        <f>0.75*X40/X33</f>
        <v>4.2861216730038025</v>
      </c>
      <c r="Y34" s="79">
        <f>0.78*Y40/Y33</f>
        <v>5.0081180811808119</v>
      </c>
      <c r="Z34" s="79">
        <f>0.82*Z40/Z33</f>
        <v>4.6836805555555552</v>
      </c>
      <c r="AA34" s="79">
        <f>0.85*AA40/AA33</f>
        <v>4.7428338762214981</v>
      </c>
      <c r="AB34" s="79">
        <f>0.86*AB40/AB33</f>
        <v>4.9399326599326603</v>
      </c>
      <c r="AC34" s="79">
        <f t="shared" ref="AC34:AF34" si="37">0.82*AC40/AC33</f>
        <v>2.768718504672897</v>
      </c>
      <c r="AD34" s="79">
        <f t="shared" si="37"/>
        <v>3.1162299065420562</v>
      </c>
      <c r="AE34" s="79">
        <f t="shared" si="37"/>
        <v>2.8959391731348005</v>
      </c>
      <c r="AF34" s="79">
        <f t="shared" si="37"/>
        <v>3.3572039642600391</v>
      </c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</row>
    <row r="35" spans="2:70">
      <c r="B35" s="58" t="s">
        <v>380</v>
      </c>
      <c r="C35" s="62">
        <v>591</v>
      </c>
      <c r="D35" s="62">
        <v>618</v>
      </c>
      <c r="E35" s="62">
        <v>625</v>
      </c>
      <c r="F35" s="62">
        <f>+AA35</f>
        <v>640</v>
      </c>
      <c r="G35" s="62">
        <v>622</v>
      </c>
      <c r="H35" s="62">
        <f>+AB35</f>
        <v>613</v>
      </c>
      <c r="I35" s="62"/>
      <c r="J35" s="62"/>
      <c r="K35" s="62">
        <v>117</v>
      </c>
      <c r="L35" s="62"/>
      <c r="M35" s="62">
        <v>141</v>
      </c>
      <c r="N35" s="62"/>
      <c r="O35" s="62">
        <v>244</v>
      </c>
      <c r="P35" s="62"/>
      <c r="Q35" s="62">
        <v>317</v>
      </c>
      <c r="R35" s="62"/>
      <c r="S35" s="62">
        <v>371</v>
      </c>
      <c r="T35" s="62">
        <v>405</v>
      </c>
      <c r="U35" s="62">
        <v>360</v>
      </c>
      <c r="V35" s="62">
        <v>404</v>
      </c>
      <c r="W35" s="62">
        <v>450</v>
      </c>
      <c r="X35" s="62">
        <v>533</v>
      </c>
      <c r="Y35" s="62">
        <v>584</v>
      </c>
      <c r="Z35" s="62">
        <v>618</v>
      </c>
      <c r="AA35" s="62">
        <v>640</v>
      </c>
      <c r="AB35" s="62">
        <v>613</v>
      </c>
      <c r="AC35" s="62">
        <v>680</v>
      </c>
      <c r="AD35" s="62">
        <v>705</v>
      </c>
      <c r="AE35" s="62">
        <v>730</v>
      </c>
      <c r="AF35" s="62">
        <v>755</v>
      </c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</row>
    <row r="36" spans="2:70">
      <c r="B36" s="58" t="s">
        <v>381</v>
      </c>
      <c r="C36" s="79">
        <f>C41*0.68/C35</f>
        <v>2.1354991539763115</v>
      </c>
      <c r="D36" s="79">
        <f>D41*0.73/D35</f>
        <v>1.9584789644012943</v>
      </c>
      <c r="E36" s="79">
        <f>E41*0.73/E35</f>
        <v>2.0054560000000001</v>
      </c>
      <c r="F36" s="79">
        <f>F41*0.73/F35</f>
        <v>1.7155</v>
      </c>
      <c r="G36" s="79">
        <f>G41*0.76/G35</f>
        <v>1.782700964630225</v>
      </c>
      <c r="H36" s="79">
        <f>H41*0.76/H35</f>
        <v>1.7865579119086461</v>
      </c>
      <c r="I36" s="62"/>
      <c r="J36" s="62"/>
      <c r="K36" s="62"/>
      <c r="L36" s="62"/>
      <c r="M36" s="62"/>
      <c r="N36" s="79" t="e">
        <f t="shared" ref="N36:R36" si="38">0.45*N41/N35</f>
        <v>#DIV/0!</v>
      </c>
      <c r="O36" s="79">
        <f t="shared" si="38"/>
        <v>2.1319672131147542</v>
      </c>
      <c r="P36" s="79" t="e">
        <f t="shared" si="38"/>
        <v>#DIV/0!</v>
      </c>
      <c r="Q36" s="79">
        <f t="shared" si="38"/>
        <v>2.020883280757098</v>
      </c>
      <c r="R36" s="79" t="e">
        <f t="shared" si="38"/>
        <v>#DIV/0!</v>
      </c>
      <c r="S36" s="79">
        <f>0.45*S41/S35</f>
        <v>2.0589622641509435</v>
      </c>
      <c r="T36" s="79">
        <f>0.45*T41/T35</f>
        <v>1.8044444444444445</v>
      </c>
      <c r="U36" s="79">
        <f>0.51*U41/U35</f>
        <v>2.9877499999999997</v>
      </c>
      <c r="V36" s="79">
        <f>0.56*V41/V35</f>
        <v>3.517326732673268</v>
      </c>
      <c r="W36" s="79">
        <f>0.58*W41/W35</f>
        <v>2.9403422222222222</v>
      </c>
      <c r="X36" s="79">
        <f>0.59*X41/X35</f>
        <v>3.6363039399624761</v>
      </c>
      <c r="Y36" s="79">
        <f>0.66*Y41/Y35</f>
        <v>4.3781506849315068</v>
      </c>
      <c r="Z36" s="79">
        <f>0.72*Z41/Z35</f>
        <v>4.0939805825242717</v>
      </c>
      <c r="AA36" s="79">
        <f>0.75*AA41/AA35</f>
        <v>3.7746093749999998</v>
      </c>
      <c r="AB36" s="79">
        <f>0.77*AB41/AB35</f>
        <v>3.6427406199021206</v>
      </c>
      <c r="AC36" s="79">
        <f t="shared" ref="AC36:AF36" si="39">0.72*AC41/AC35</f>
        <v>3.3708112149532705</v>
      </c>
      <c r="AD36" s="79">
        <f t="shared" si="39"/>
        <v>3.7924256909922449</v>
      </c>
      <c r="AE36" s="79">
        <f t="shared" si="39"/>
        <v>4.110240430162591</v>
      </c>
      <c r="AF36" s="79">
        <f t="shared" si="39"/>
        <v>4.7372853871387015</v>
      </c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</row>
    <row r="37" spans="2:70"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77"/>
      <c r="V37" s="77"/>
      <c r="W37" s="77"/>
      <c r="X37" s="77"/>
      <c r="Y37" s="77"/>
      <c r="Z37" s="77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</row>
    <row r="38" spans="2:70">
      <c r="B38" s="58" t="s">
        <v>11</v>
      </c>
      <c r="C38" s="62">
        <v>5128</v>
      </c>
      <c r="D38" s="62">
        <f>Z38-C38</f>
        <v>4745</v>
      </c>
      <c r="E38" s="62">
        <v>4085</v>
      </c>
      <c r="F38" s="62">
        <f>+AA38-E38</f>
        <v>3565</v>
      </c>
      <c r="G38" s="62">
        <v>3027</v>
      </c>
      <c r="H38" s="62">
        <f t="shared" ref="H38:H43" si="40">+AB38-G38</f>
        <v>2965</v>
      </c>
      <c r="I38" s="62"/>
      <c r="J38" s="62"/>
      <c r="K38" s="62">
        <v>2206</v>
      </c>
      <c r="L38" s="62"/>
      <c r="M38" s="62">
        <v>2666</v>
      </c>
      <c r="N38" s="62">
        <v>3143.2</v>
      </c>
      <c r="O38" s="62">
        <v>3639</v>
      </c>
      <c r="P38" s="62">
        <v>3560.8</v>
      </c>
      <c r="Q38" s="62">
        <v>3497.2</v>
      </c>
      <c r="R38" s="62">
        <v>3898</v>
      </c>
      <c r="S38" s="62">
        <v>4378.3</v>
      </c>
      <c r="T38" s="62">
        <v>6211</v>
      </c>
      <c r="U38" s="62">
        <v>8285</v>
      </c>
      <c r="V38" s="62">
        <v>9628.4</v>
      </c>
      <c r="W38" s="62">
        <v>7440.6</v>
      </c>
      <c r="X38" s="62">
        <v>9731</v>
      </c>
      <c r="Y38" s="62">
        <v>10487</v>
      </c>
      <c r="Z38" s="62">
        <v>9873</v>
      </c>
      <c r="AA38" s="62">
        <v>7650</v>
      </c>
      <c r="AB38" s="62">
        <v>5992</v>
      </c>
      <c r="AC38" s="59">
        <f>+AC44*46%</f>
        <v>7322.1510280373823</v>
      </c>
      <c r="AD38" s="59">
        <f>+AD44*44%</f>
        <v>8169.5170093457946</v>
      </c>
      <c r="AE38" s="59">
        <f>+AE44*42%</f>
        <v>8751.3869158878497</v>
      </c>
      <c r="AF38" s="59">
        <f>+AF44*41%</f>
        <v>10183.518691588784</v>
      </c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</row>
    <row r="39" spans="2:70">
      <c r="B39" s="58" t="s">
        <v>12</v>
      </c>
      <c r="C39" s="62">
        <v>1576</v>
      </c>
      <c r="D39" s="62">
        <f t="shared" ref="D39:D65" si="41">Z39-C39</f>
        <v>1603</v>
      </c>
      <c r="E39" s="62">
        <v>1441</v>
      </c>
      <c r="F39" s="62">
        <f t="shared" ref="F39:F43" si="42">+AA39-E39</f>
        <v>1440</v>
      </c>
      <c r="G39" s="62">
        <v>1288</v>
      </c>
      <c r="H39" s="62">
        <f t="shared" si="40"/>
        <v>1355</v>
      </c>
      <c r="I39" s="62"/>
      <c r="J39" s="62"/>
      <c r="K39" s="62">
        <v>263</v>
      </c>
      <c r="L39" s="62"/>
      <c r="M39" s="62">
        <v>269</v>
      </c>
      <c r="N39" s="62">
        <v>682.6</v>
      </c>
      <c r="O39" s="62">
        <v>473</v>
      </c>
      <c r="P39" s="62">
        <v>1015.8</v>
      </c>
      <c r="Q39" s="62">
        <v>707.3</v>
      </c>
      <c r="R39" s="62">
        <v>973.6</v>
      </c>
      <c r="S39" s="62">
        <v>1220.2</v>
      </c>
      <c r="T39" s="62">
        <v>1502</v>
      </c>
      <c r="U39" s="62">
        <v>1744</v>
      </c>
      <c r="V39" s="62">
        <v>2049.1</v>
      </c>
      <c r="W39" s="62">
        <v>1744.4</v>
      </c>
      <c r="X39" s="62">
        <v>2521</v>
      </c>
      <c r="Y39" s="62">
        <v>3300</v>
      </c>
      <c r="Z39" s="62">
        <v>3179</v>
      </c>
      <c r="AA39" s="62">
        <v>2881</v>
      </c>
      <c r="AB39" s="62">
        <v>2643</v>
      </c>
      <c r="AC39" s="62">
        <f t="shared" ref="AC39:AE39" si="43">+AC44*17%</f>
        <v>2706.012336448598</v>
      </c>
      <c r="AD39" s="62">
        <f t="shared" si="43"/>
        <v>3156.4042990654207</v>
      </c>
      <c r="AE39" s="62">
        <f t="shared" si="43"/>
        <v>3542.2280373831777</v>
      </c>
      <c r="AF39" s="62">
        <f>+AF44*18%</f>
        <v>4470.8130841121492</v>
      </c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</row>
    <row r="40" spans="2:70">
      <c r="B40" s="58" t="s">
        <v>31</v>
      </c>
      <c r="C40" s="62">
        <v>833</v>
      </c>
      <c r="D40" s="62">
        <f t="shared" si="41"/>
        <v>812</v>
      </c>
      <c r="E40" s="62">
        <v>836</v>
      </c>
      <c r="F40" s="62">
        <f t="shared" si="42"/>
        <v>877</v>
      </c>
      <c r="G40" s="62">
        <v>846</v>
      </c>
      <c r="H40" s="62">
        <f t="shared" si="40"/>
        <v>860</v>
      </c>
      <c r="I40" s="62"/>
      <c r="J40" s="62"/>
      <c r="K40" s="62">
        <v>402</v>
      </c>
      <c r="L40" s="62"/>
      <c r="M40" s="62">
        <v>511</v>
      </c>
      <c r="N40" s="62">
        <v>353.7</v>
      </c>
      <c r="O40" s="62">
        <v>945</v>
      </c>
      <c r="P40" s="62">
        <v>556.9</v>
      </c>
      <c r="Q40" s="62">
        <v>1130.5</v>
      </c>
      <c r="R40" s="62">
        <v>1285.8</v>
      </c>
      <c r="S40" s="62">
        <v>1173.4000000000001</v>
      </c>
      <c r="T40" s="62">
        <v>1176</v>
      </c>
      <c r="U40" s="62">
        <v>1109</v>
      </c>
      <c r="V40" s="62">
        <v>1167.5999999999999</v>
      </c>
      <c r="W40" s="62">
        <v>1210.3</v>
      </c>
      <c r="X40" s="62">
        <v>1503</v>
      </c>
      <c r="Y40" s="62">
        <v>1740</v>
      </c>
      <c r="Z40" s="62">
        <v>1645</v>
      </c>
      <c r="AA40" s="62">
        <v>1713</v>
      </c>
      <c r="AB40" s="62">
        <v>1706</v>
      </c>
      <c r="AC40" s="62">
        <f>+AC44*7%</f>
        <v>1114.2403738317757</v>
      </c>
      <c r="AD40" s="62">
        <f>+AD44*7%</f>
        <v>1299.6958878504674</v>
      </c>
      <c r="AE40" s="62">
        <f>+AE44*6%</f>
        <v>1250.1981308411214</v>
      </c>
      <c r="AF40" s="62">
        <f>+AF44*6%</f>
        <v>1490.2710280373831</v>
      </c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</row>
    <row r="41" spans="2:70">
      <c r="B41" s="58" t="s">
        <v>32</v>
      </c>
      <c r="C41" s="62">
        <v>1856</v>
      </c>
      <c r="D41" s="62">
        <f t="shared" si="41"/>
        <v>1658</v>
      </c>
      <c r="E41" s="62">
        <v>1717</v>
      </c>
      <c r="F41" s="62">
        <f t="shared" si="42"/>
        <v>1504</v>
      </c>
      <c r="G41" s="62">
        <v>1459</v>
      </c>
      <c r="H41" s="62">
        <f t="shared" si="40"/>
        <v>1441</v>
      </c>
      <c r="I41" s="62"/>
      <c r="J41" s="62"/>
      <c r="K41" s="62">
        <v>509</v>
      </c>
      <c r="L41" s="62"/>
      <c r="M41" s="62">
        <v>565</v>
      </c>
      <c r="N41" s="62">
        <v>737.5</v>
      </c>
      <c r="O41" s="62">
        <v>1156</v>
      </c>
      <c r="P41" s="62">
        <v>1244</v>
      </c>
      <c r="Q41" s="62">
        <v>1423.6</v>
      </c>
      <c r="R41" s="62">
        <v>1707.9</v>
      </c>
      <c r="S41" s="62">
        <v>1697.5</v>
      </c>
      <c r="T41" s="62">
        <v>1624</v>
      </c>
      <c r="U41" s="62">
        <v>2109</v>
      </c>
      <c r="V41" s="62">
        <v>2537.5</v>
      </c>
      <c r="W41" s="62">
        <v>2281.3000000000002</v>
      </c>
      <c r="X41" s="62">
        <v>3285</v>
      </c>
      <c r="Y41" s="62">
        <v>3874</v>
      </c>
      <c r="Z41" s="62">
        <v>3514</v>
      </c>
      <c r="AA41" s="62">
        <v>3221</v>
      </c>
      <c r="AB41" s="62">
        <v>2900</v>
      </c>
      <c r="AC41" s="62">
        <f t="shared" ref="AC41:AF41" si="44">20%*AC44</f>
        <v>3183.5439252336446</v>
      </c>
      <c r="AD41" s="62">
        <f t="shared" si="44"/>
        <v>3713.4168224299065</v>
      </c>
      <c r="AE41" s="62">
        <f t="shared" si="44"/>
        <v>4167.3271028037379</v>
      </c>
      <c r="AF41" s="62">
        <f t="shared" si="44"/>
        <v>4967.5700934579436</v>
      </c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</row>
    <row r="42" spans="2:70">
      <c r="B42" s="58" t="s">
        <v>14</v>
      </c>
      <c r="C42" s="62">
        <v>869</v>
      </c>
      <c r="D42" s="62">
        <f t="shared" si="41"/>
        <v>699</v>
      </c>
      <c r="E42" s="62">
        <v>1067</v>
      </c>
      <c r="F42" s="62">
        <f t="shared" si="42"/>
        <v>874</v>
      </c>
      <c r="G42" s="62">
        <v>1092</v>
      </c>
      <c r="H42" s="62">
        <f t="shared" si="40"/>
        <v>539</v>
      </c>
      <c r="I42" s="62"/>
      <c r="J42" s="62"/>
      <c r="K42" s="62"/>
      <c r="L42" s="62"/>
      <c r="M42" s="62"/>
      <c r="N42" s="62">
        <v>3155.7</v>
      </c>
      <c r="O42" s="62">
        <f>3532+261</f>
        <v>3793</v>
      </c>
      <c r="P42" s="62">
        <f>3001.9+245.1+31.2</f>
        <v>3278.2</v>
      </c>
      <c r="Q42" s="62">
        <f>3245.1+33.8</f>
        <v>3278.9</v>
      </c>
      <c r="R42" s="62">
        <f>3403.4+279.1+36.4</f>
        <v>3718.9</v>
      </c>
      <c r="S42" s="62">
        <f>3883.7+31.8</f>
        <v>3915.5</v>
      </c>
      <c r="T42" s="62">
        <v>302.10000000000002</v>
      </c>
      <c r="U42" s="62">
        <v>418.2</v>
      </c>
      <c r="V42" s="62">
        <v>500.9</v>
      </c>
      <c r="W42" s="62">
        <v>423.6</v>
      </c>
      <c r="X42" s="62">
        <v>733</v>
      </c>
      <c r="Y42" s="62">
        <v>1139</v>
      </c>
      <c r="Z42" s="62">
        <v>1568</v>
      </c>
      <c r="AA42" s="62">
        <v>1941</v>
      </c>
      <c r="AB42" s="62">
        <v>1631</v>
      </c>
      <c r="AC42" s="59">
        <f>+AC44*15%</f>
        <v>2387.6579439252332</v>
      </c>
      <c r="AD42" s="59">
        <f>+AD44*16%</f>
        <v>2970.7334579439253</v>
      </c>
      <c r="AE42" s="59">
        <f t="shared" ref="AE42:AF42" si="45">+AE44*16%</f>
        <v>3333.8616822429904</v>
      </c>
      <c r="AF42" s="59">
        <f t="shared" si="45"/>
        <v>3974.0560747663549</v>
      </c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</row>
    <row r="43" spans="2:70">
      <c r="B43" s="58" t="s">
        <v>33</v>
      </c>
      <c r="C43" s="62">
        <v>-127</v>
      </c>
      <c r="D43" s="62">
        <f t="shared" si="41"/>
        <v>-86</v>
      </c>
      <c r="E43" s="62">
        <v>-128</v>
      </c>
      <c r="F43" s="62">
        <f t="shared" si="42"/>
        <v>-84</v>
      </c>
      <c r="G43" s="62">
        <v>-125</v>
      </c>
      <c r="H43" s="62">
        <f t="shared" si="40"/>
        <v>-72</v>
      </c>
      <c r="I43" s="62"/>
      <c r="J43" s="62"/>
      <c r="K43" s="62"/>
      <c r="L43" s="62"/>
      <c r="M43" s="62"/>
      <c r="N43" s="62">
        <v>-10.4</v>
      </c>
      <c r="O43" s="62">
        <v>-7.9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-128</v>
      </c>
      <c r="Y43" s="62">
        <v>-189</v>
      </c>
      <c r="Z43" s="62">
        <v>-213</v>
      </c>
      <c r="AA43" s="62">
        <v>-212</v>
      </c>
      <c r="AB43" s="62">
        <v>-197</v>
      </c>
      <c r="AC43" s="62">
        <f t="shared" ref="AC43:AF43" si="46">-1%*AC44</f>
        <v>-159.17719626168221</v>
      </c>
      <c r="AD43" s="62">
        <f t="shared" si="46"/>
        <v>-185.67084112149533</v>
      </c>
      <c r="AE43" s="62">
        <f t="shared" si="46"/>
        <v>-208.3663551401869</v>
      </c>
      <c r="AF43" s="62">
        <f t="shared" si="46"/>
        <v>-248.37850467289718</v>
      </c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</row>
    <row r="44" spans="2:70">
      <c r="B44" s="57" t="s">
        <v>34</v>
      </c>
      <c r="C44" s="81">
        <f t="shared" ref="C44:H44" si="47">SUM(C38:C43)</f>
        <v>10135</v>
      </c>
      <c r="D44" s="81">
        <f t="shared" si="47"/>
        <v>9431</v>
      </c>
      <c r="E44" s="81">
        <f t="shared" si="47"/>
        <v>9018</v>
      </c>
      <c r="F44" s="81">
        <f t="shared" si="47"/>
        <v>8176</v>
      </c>
      <c r="G44" s="81">
        <v>7587</v>
      </c>
      <c r="H44" s="81">
        <f t="shared" si="47"/>
        <v>7088</v>
      </c>
      <c r="I44" s="81"/>
      <c r="J44" s="81">
        <v>19098.2</v>
      </c>
      <c r="K44" s="81">
        <v>20201.2</v>
      </c>
      <c r="L44" s="81">
        <v>13584.3</v>
      </c>
      <c r="M44" s="81">
        <v>14605.1</v>
      </c>
      <c r="N44" s="81">
        <v>8062.3</v>
      </c>
      <c r="O44" s="81">
        <v>9736.2999999999993</v>
      </c>
      <c r="P44" s="81">
        <v>9655.7000000000007</v>
      </c>
      <c r="Q44" s="81">
        <v>10037.5</v>
      </c>
      <c r="R44" s="81">
        <v>11584.2</v>
      </c>
      <c r="S44" s="81">
        <v>12384.9</v>
      </c>
      <c r="T44" s="81">
        <v>15477.7</v>
      </c>
      <c r="U44" s="81">
        <f>SUM(U38:U43)</f>
        <v>13665.2</v>
      </c>
      <c r="V44" s="81">
        <f t="shared" ref="V44:AA44" si="48">SUM(V38:V43)</f>
        <v>15883.5</v>
      </c>
      <c r="W44" s="81">
        <f t="shared" si="48"/>
        <v>13100.199999999999</v>
      </c>
      <c r="X44" s="81">
        <f t="shared" si="48"/>
        <v>17645</v>
      </c>
      <c r="Y44" s="81">
        <f t="shared" si="48"/>
        <v>20351</v>
      </c>
      <c r="Z44" s="81">
        <f t="shared" si="48"/>
        <v>19566</v>
      </c>
      <c r="AA44" s="81">
        <f t="shared" si="48"/>
        <v>17194</v>
      </c>
      <c r="AB44" s="81">
        <v>14675</v>
      </c>
      <c r="AC44" s="81">
        <f>+AC9/Main!$H$19</f>
        <v>15917.719626168222</v>
      </c>
      <c r="AD44" s="81">
        <f>+AD9/Main!$H$19</f>
        <v>18567.084112149532</v>
      </c>
      <c r="AE44" s="81">
        <f>+AE9/Main!$H$19</f>
        <v>20836.63551401869</v>
      </c>
      <c r="AF44" s="81">
        <f>+AF9/Main!$H$19</f>
        <v>24837.850467289718</v>
      </c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</row>
    <row r="45" spans="2:70">
      <c r="B45" s="58" t="s">
        <v>43</v>
      </c>
      <c r="C45" s="62">
        <v>2405</v>
      </c>
      <c r="D45" s="62">
        <f t="shared" si="41"/>
        <v>2234</v>
      </c>
      <c r="E45" s="62">
        <v>2310</v>
      </c>
      <c r="F45" s="62">
        <f>+AA45-E45</f>
        <v>2203</v>
      </c>
      <c r="G45" s="62">
        <v>2048</v>
      </c>
      <c r="H45" s="62">
        <f t="shared" ref="H45" si="49">+AB45-G45</f>
        <v>1967</v>
      </c>
      <c r="I45" s="62"/>
      <c r="J45" s="62">
        <v>10792.8</v>
      </c>
      <c r="K45" s="62">
        <v>11385.9</v>
      </c>
      <c r="L45" s="62">
        <v>6900.7</v>
      </c>
      <c r="M45" s="62">
        <v>7175.9</v>
      </c>
      <c r="N45" s="62">
        <v>3086.5</v>
      </c>
      <c r="O45" s="62">
        <v>3776.2</v>
      </c>
      <c r="P45" s="62">
        <v>3615.2</v>
      </c>
      <c r="Q45" s="62">
        <v>3741.7</v>
      </c>
      <c r="R45" s="62">
        <v>4510</v>
      </c>
      <c r="S45" s="62">
        <v>4595.3</v>
      </c>
      <c r="T45" s="62">
        <v>5344.7</v>
      </c>
      <c r="U45" s="62">
        <v>3467</v>
      </c>
      <c r="V45" s="62">
        <v>4108.5</v>
      </c>
      <c r="W45" s="62">
        <v>3590.6</v>
      </c>
      <c r="X45" s="62">
        <v>4577</v>
      </c>
      <c r="Y45" s="62">
        <v>5153</v>
      </c>
      <c r="Z45" s="62">
        <v>4639</v>
      </c>
      <c r="AA45" s="62">
        <v>4513</v>
      </c>
      <c r="AB45" s="62">
        <v>4015</v>
      </c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</row>
    <row r="46" spans="2:70">
      <c r="B46" s="58" t="s">
        <v>44</v>
      </c>
      <c r="C46" s="62">
        <f t="shared" ref="C46" si="50">+C44-C45</f>
        <v>7730</v>
      </c>
      <c r="D46" s="62">
        <f>+D44-D45</f>
        <v>7197</v>
      </c>
      <c r="E46" s="62">
        <f t="shared" ref="E46:H46" si="51">+E44-E45</f>
        <v>6708</v>
      </c>
      <c r="F46" s="62">
        <f t="shared" si="51"/>
        <v>5973</v>
      </c>
      <c r="G46" s="62">
        <f t="shared" si="51"/>
        <v>5539</v>
      </c>
      <c r="H46" s="62">
        <f t="shared" si="51"/>
        <v>5121</v>
      </c>
      <c r="I46" s="62"/>
      <c r="J46" s="62">
        <f t="shared" ref="J46:S46" si="52">J44-J45</f>
        <v>8305.4000000000015</v>
      </c>
      <c r="K46" s="62">
        <f t="shared" si="52"/>
        <v>8815.3000000000011</v>
      </c>
      <c r="L46" s="62">
        <f t="shared" si="52"/>
        <v>6683.5999999999995</v>
      </c>
      <c r="M46" s="62">
        <f t="shared" si="52"/>
        <v>7429.2000000000007</v>
      </c>
      <c r="N46" s="62">
        <f t="shared" si="52"/>
        <v>4975.8</v>
      </c>
      <c r="O46" s="62">
        <f t="shared" si="52"/>
        <v>5960.0999999999995</v>
      </c>
      <c r="P46" s="62">
        <f t="shared" si="52"/>
        <v>6040.5000000000009</v>
      </c>
      <c r="Q46" s="62">
        <f t="shared" si="52"/>
        <v>6295.8</v>
      </c>
      <c r="R46" s="62">
        <f t="shared" si="52"/>
        <v>7074.2000000000007</v>
      </c>
      <c r="S46" s="62">
        <f t="shared" si="52"/>
        <v>7789.5999999999995</v>
      </c>
      <c r="T46" s="62">
        <f t="shared" ref="T46:X46" si="53">T44-T45</f>
        <v>10133</v>
      </c>
      <c r="U46" s="62">
        <f t="shared" si="53"/>
        <v>10198.200000000001</v>
      </c>
      <c r="V46" s="62">
        <f t="shared" si="53"/>
        <v>11775</v>
      </c>
      <c r="W46" s="62">
        <f t="shared" si="53"/>
        <v>9509.5999999999985</v>
      </c>
      <c r="X46" s="62">
        <f t="shared" si="53"/>
        <v>13068</v>
      </c>
      <c r="Y46" s="62">
        <f>Y44-Y45</f>
        <v>15198</v>
      </c>
      <c r="Z46" s="62">
        <f>Z44-Z45</f>
        <v>14927</v>
      </c>
      <c r="AA46" s="62">
        <f>AA44-AA45</f>
        <v>12681</v>
      </c>
      <c r="AB46" s="62">
        <f>AB44-AB45</f>
        <v>10660</v>
      </c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</row>
    <row r="47" spans="2:70">
      <c r="B47" s="58" t="s">
        <v>323</v>
      </c>
      <c r="C47" s="62">
        <v>1505</v>
      </c>
      <c r="D47" s="62">
        <f t="shared" si="41"/>
        <v>1477</v>
      </c>
      <c r="E47" s="62">
        <v>1547</v>
      </c>
      <c r="F47" s="62">
        <f>+AA47-E47</f>
        <v>1470</v>
      </c>
      <c r="G47" s="62">
        <v>1453</v>
      </c>
      <c r="H47" s="62">
        <f t="shared" ref="H47:H48" si="54">+AB47-G47</f>
        <v>1324</v>
      </c>
      <c r="I47" s="62"/>
      <c r="J47" s="62">
        <v>2695.7</v>
      </c>
      <c r="K47" s="62">
        <v>2803</v>
      </c>
      <c r="L47" s="62">
        <v>2049.1999999999998</v>
      </c>
      <c r="M47" s="62">
        <v>2225.8000000000002</v>
      </c>
      <c r="N47" s="62">
        <v>1229.0999999999999</v>
      </c>
      <c r="O47" s="62">
        <v>1493.6</v>
      </c>
      <c r="P47" s="62">
        <v>1515.5</v>
      </c>
      <c r="Q47" s="62">
        <v>1545.2</v>
      </c>
      <c r="R47" s="62">
        <v>1820.6</v>
      </c>
      <c r="S47" s="62">
        <v>1983.7</v>
      </c>
      <c r="T47" s="62">
        <v>2443.6</v>
      </c>
      <c r="U47" s="62">
        <v>2080.4</v>
      </c>
      <c r="V47" s="62">
        <v>2290.8000000000002</v>
      </c>
      <c r="W47" s="62">
        <v>2070</v>
      </c>
      <c r="X47" s="62">
        <v>2444</v>
      </c>
      <c r="Y47" s="62">
        <v>2840</v>
      </c>
      <c r="Z47" s="62">
        <v>2982</v>
      </c>
      <c r="AA47" s="62">
        <v>3017</v>
      </c>
      <c r="AB47" s="62">
        <v>2777</v>
      </c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</row>
    <row r="48" spans="2:70">
      <c r="B48" s="58" t="s">
        <v>324</v>
      </c>
      <c r="C48" s="62">
        <v>3486</v>
      </c>
      <c r="D48" s="62">
        <f t="shared" si="41"/>
        <v>3713</v>
      </c>
      <c r="E48" s="62">
        <v>3579</v>
      </c>
      <c r="F48" s="62">
        <f>+AA48-E48</f>
        <v>3531</v>
      </c>
      <c r="G48" s="62">
        <v>3117</v>
      </c>
      <c r="H48" s="62">
        <f t="shared" si="54"/>
        <v>3135</v>
      </c>
      <c r="I48" s="62"/>
      <c r="J48" s="62">
        <v>3976</v>
      </c>
      <c r="K48" s="62">
        <v>4291.1000000000004</v>
      </c>
      <c r="L48" s="62">
        <v>3394.8</v>
      </c>
      <c r="M48" s="62">
        <v>3672.1</v>
      </c>
      <c r="N48" s="62">
        <v>2245.3000000000002</v>
      </c>
      <c r="O48" s="62">
        <v>2675</v>
      </c>
      <c r="P48" s="62">
        <v>2773.8</v>
      </c>
      <c r="Q48" s="62">
        <v>3086.6</v>
      </c>
      <c r="R48" s="62">
        <v>3606.9</v>
      </c>
      <c r="S48" s="62">
        <v>3919.7</v>
      </c>
      <c r="T48" s="62">
        <v>4741.3999999999996</v>
      </c>
      <c r="U48" s="62">
        <v>4174</v>
      </c>
      <c r="V48" s="62">
        <v>4705.8999999999996</v>
      </c>
      <c r="W48" s="62">
        <v>4304.3999999999996</v>
      </c>
      <c r="X48" s="62">
        <v>5607</v>
      </c>
      <c r="Y48" s="62">
        <v>6779</v>
      </c>
      <c r="Z48" s="62">
        <v>7199</v>
      </c>
      <c r="AA48" s="62">
        <v>7110</v>
      </c>
      <c r="AB48" s="62">
        <v>6252</v>
      </c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</row>
    <row r="49" spans="2:70">
      <c r="B49" s="58" t="s">
        <v>325</v>
      </c>
      <c r="C49" s="62">
        <f t="shared" ref="C49" si="55">+SUM(C47:C48)</f>
        <v>4991</v>
      </c>
      <c r="D49" s="62">
        <f>+SUM(D47:D48)</f>
        <v>5190</v>
      </c>
      <c r="E49" s="62">
        <f t="shared" ref="E49:H49" si="56">+SUM(E47:E48)</f>
        <v>5126</v>
      </c>
      <c r="F49" s="62">
        <f t="shared" si="56"/>
        <v>5001</v>
      </c>
      <c r="G49" s="62">
        <f t="shared" si="56"/>
        <v>4570</v>
      </c>
      <c r="H49" s="62">
        <f t="shared" si="56"/>
        <v>4459</v>
      </c>
      <c r="I49" s="62"/>
      <c r="J49" s="62">
        <f t="shared" ref="J49:X49" si="57">SUM(J47:J48)</f>
        <v>6671.7</v>
      </c>
      <c r="K49" s="62">
        <f t="shared" si="57"/>
        <v>7094.1</v>
      </c>
      <c r="L49" s="62">
        <f t="shared" si="57"/>
        <v>5444</v>
      </c>
      <c r="M49" s="62">
        <f t="shared" si="57"/>
        <v>5897.9</v>
      </c>
      <c r="N49" s="62">
        <f t="shared" si="57"/>
        <v>3474.4</v>
      </c>
      <c r="O49" s="62">
        <f t="shared" si="57"/>
        <v>4168.6000000000004</v>
      </c>
      <c r="P49" s="62">
        <f t="shared" si="57"/>
        <v>4289.3</v>
      </c>
      <c r="Q49" s="62">
        <f t="shared" si="57"/>
        <v>4631.8</v>
      </c>
      <c r="R49" s="62">
        <f t="shared" si="57"/>
        <v>5427.5</v>
      </c>
      <c r="S49" s="62">
        <f t="shared" si="57"/>
        <v>5903.4</v>
      </c>
      <c r="T49" s="62">
        <f t="shared" si="57"/>
        <v>7185</v>
      </c>
      <c r="U49" s="62">
        <f t="shared" si="57"/>
        <v>6254.4</v>
      </c>
      <c r="V49" s="62">
        <f t="shared" si="57"/>
        <v>6996.7</v>
      </c>
      <c r="W49" s="62">
        <f t="shared" si="57"/>
        <v>6374.4</v>
      </c>
      <c r="X49" s="62">
        <f t="shared" si="57"/>
        <v>8051</v>
      </c>
      <c r="Y49" s="62">
        <f>SUM(Y47:Y48)</f>
        <v>9619</v>
      </c>
      <c r="Z49" s="62">
        <f>SUM(Z47:Z48)</f>
        <v>10181</v>
      </c>
      <c r="AA49" s="62">
        <f>SUM(AA47:AA48)</f>
        <v>10127</v>
      </c>
      <c r="AB49" s="62">
        <f>SUM(AB47:AB48)</f>
        <v>9029</v>
      </c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</row>
    <row r="50" spans="2:70">
      <c r="B50" s="82" t="s">
        <v>527</v>
      </c>
      <c r="C50" s="62">
        <v>1810</v>
      </c>
      <c r="D50" s="62">
        <f t="shared" si="41"/>
        <v>1454</v>
      </c>
      <c r="E50" s="62">
        <v>1007</v>
      </c>
      <c r="F50" s="62">
        <f t="shared" ref="F50:F55" si="58">+AA50-E50</f>
        <v>598</v>
      </c>
      <c r="G50" s="62">
        <v>486</v>
      </c>
      <c r="H50" s="62">
        <f t="shared" ref="H50:H55" si="59">+AB50-G50</f>
        <v>480</v>
      </c>
      <c r="I50" s="62"/>
      <c r="J50" s="62"/>
      <c r="K50" s="62">
        <v>625</v>
      </c>
      <c r="L50" s="62"/>
      <c r="M50" s="62">
        <v>765</v>
      </c>
      <c r="N50" s="62"/>
      <c r="O50" s="62">
        <v>1126</v>
      </c>
      <c r="P50" s="62"/>
      <c r="Q50" s="62">
        <v>1056</v>
      </c>
      <c r="R50" s="62"/>
      <c r="S50" s="62">
        <v>1256</v>
      </c>
      <c r="T50" s="62">
        <v>2124</v>
      </c>
      <c r="U50" s="62">
        <v>3275</v>
      </c>
      <c r="V50" s="62">
        <v>3946.9</v>
      </c>
      <c r="W50" s="62">
        <v>2614.5</v>
      </c>
      <c r="X50" s="62">
        <v>3715</v>
      </c>
      <c r="Y50" s="62">
        <v>3732</v>
      </c>
      <c r="Z50" s="62">
        <v>3264</v>
      </c>
      <c r="AA50" s="62">
        <v>1605</v>
      </c>
      <c r="AB50" s="62">
        <v>966</v>
      </c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</row>
    <row r="51" spans="2:70">
      <c r="B51" s="82" t="s">
        <v>528</v>
      </c>
      <c r="C51" s="62">
        <v>481</v>
      </c>
      <c r="D51" s="62">
        <f t="shared" si="41"/>
        <v>488</v>
      </c>
      <c r="E51" s="62">
        <v>316</v>
      </c>
      <c r="F51" s="62">
        <f t="shared" si="58"/>
        <v>277</v>
      </c>
      <c r="G51" s="62">
        <v>262</v>
      </c>
      <c r="H51" s="62">
        <f t="shared" si="59"/>
        <v>267</v>
      </c>
      <c r="I51" s="62"/>
      <c r="J51" s="62"/>
      <c r="K51" s="62">
        <v>0.3</v>
      </c>
      <c r="L51" s="62"/>
      <c r="M51" s="62">
        <v>12</v>
      </c>
      <c r="N51" s="62"/>
      <c r="O51" s="62">
        <v>65</v>
      </c>
      <c r="P51" s="62"/>
      <c r="Q51" s="62">
        <v>105</v>
      </c>
      <c r="R51" s="62"/>
      <c r="S51" s="62">
        <v>269</v>
      </c>
      <c r="T51" s="62">
        <v>377</v>
      </c>
      <c r="U51" s="62">
        <v>459</v>
      </c>
      <c r="V51" s="62">
        <v>562.20000000000005</v>
      </c>
      <c r="W51" s="62">
        <v>400</v>
      </c>
      <c r="X51" s="62">
        <v>715</v>
      </c>
      <c r="Y51" s="62">
        <v>1019</v>
      </c>
      <c r="Z51" s="62">
        <v>969</v>
      </c>
      <c r="AA51" s="62">
        <v>593</v>
      </c>
      <c r="AB51" s="62">
        <v>529</v>
      </c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</row>
    <row r="52" spans="2:70">
      <c r="B52" s="82" t="s">
        <v>529</v>
      </c>
      <c r="C52" s="62">
        <v>169</v>
      </c>
      <c r="D52" s="62">
        <f t="shared" si="41"/>
        <v>143</v>
      </c>
      <c r="E52" s="62">
        <v>121</v>
      </c>
      <c r="F52" s="62">
        <f t="shared" si="58"/>
        <v>134</v>
      </c>
      <c r="G52" s="62">
        <v>127</v>
      </c>
      <c r="H52" s="62">
        <f t="shared" si="59"/>
        <v>140</v>
      </c>
      <c r="I52" s="62"/>
      <c r="J52" s="62"/>
      <c r="K52" s="62">
        <v>101</v>
      </c>
      <c r="L52" s="62"/>
      <c r="M52" s="62">
        <v>133</v>
      </c>
      <c r="N52" s="62"/>
      <c r="O52" s="62">
        <v>300</v>
      </c>
      <c r="P52" s="62"/>
      <c r="Q52" s="62">
        <v>357</v>
      </c>
      <c r="R52" s="62"/>
      <c r="S52" s="62">
        <v>297</v>
      </c>
      <c r="T52" s="62">
        <v>294</v>
      </c>
      <c r="U52" s="62">
        <v>242</v>
      </c>
      <c r="V52" s="62">
        <v>215.2</v>
      </c>
      <c r="W52" s="62">
        <v>172</v>
      </c>
      <c r="X52" s="62">
        <v>286</v>
      </c>
      <c r="Y52" s="62">
        <v>366</v>
      </c>
      <c r="Z52" s="62">
        <v>312</v>
      </c>
      <c r="AA52" s="62">
        <v>255</v>
      </c>
      <c r="AB52" s="62">
        <v>267</v>
      </c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</row>
    <row r="53" spans="2:70">
      <c r="B53" s="82" t="s">
        <v>530</v>
      </c>
      <c r="C53" s="62">
        <v>224</v>
      </c>
      <c r="D53" s="62">
        <f t="shared" si="41"/>
        <v>-12</v>
      </c>
      <c r="E53" s="62">
        <v>44</v>
      </c>
      <c r="F53" s="62">
        <f t="shared" si="58"/>
        <v>-53</v>
      </c>
      <c r="G53" s="62">
        <v>-29</v>
      </c>
      <c r="H53" s="62">
        <f t="shared" si="59"/>
        <v>-83</v>
      </c>
      <c r="I53" s="62"/>
      <c r="J53" s="62"/>
      <c r="K53" s="62">
        <v>39</v>
      </c>
      <c r="L53" s="62"/>
      <c r="M53" s="62">
        <v>51</v>
      </c>
      <c r="N53" s="62"/>
      <c r="O53" s="62">
        <v>120</v>
      </c>
      <c r="P53" s="62"/>
      <c r="Q53" s="62">
        <v>147</v>
      </c>
      <c r="R53" s="62"/>
      <c r="S53" s="62">
        <v>114</v>
      </c>
      <c r="T53" s="62">
        <v>100</v>
      </c>
      <c r="U53" s="62">
        <v>215</v>
      </c>
      <c r="V53" s="62">
        <v>317.7</v>
      </c>
      <c r="W53" s="62">
        <v>180.6</v>
      </c>
      <c r="X53" s="62">
        <v>459</v>
      </c>
      <c r="Y53" s="62">
        <v>558</v>
      </c>
      <c r="Z53" s="62">
        <v>212</v>
      </c>
      <c r="AA53" s="62">
        <v>-9</v>
      </c>
      <c r="AB53" s="62">
        <v>-112</v>
      </c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</row>
    <row r="54" spans="2:70">
      <c r="B54" s="82" t="s">
        <v>531</v>
      </c>
      <c r="C54" s="62">
        <v>63</v>
      </c>
      <c r="D54" s="62">
        <f t="shared" si="41"/>
        <v>-70</v>
      </c>
      <c r="E54" s="62">
        <v>101</v>
      </c>
      <c r="F54" s="62">
        <f t="shared" si="58"/>
        <v>11</v>
      </c>
      <c r="G54" s="62">
        <v>126</v>
      </c>
      <c r="H54" s="62">
        <f t="shared" si="59"/>
        <v>-143</v>
      </c>
      <c r="I54" s="62"/>
      <c r="J54" s="62"/>
      <c r="K54" s="62"/>
      <c r="L54" s="62"/>
      <c r="M54" s="62"/>
      <c r="N54" s="62"/>
      <c r="O54" s="62">
        <f>305+15</f>
        <v>320</v>
      </c>
      <c r="P54" s="62"/>
      <c r="Q54" s="62">
        <f>10+128</f>
        <v>138</v>
      </c>
      <c r="R54" s="62"/>
      <c r="S54" s="62">
        <v>123</v>
      </c>
      <c r="T54" s="62">
        <v>-204.3</v>
      </c>
      <c r="U54" s="62">
        <v>-247.2</v>
      </c>
      <c r="V54" s="62">
        <v>-263.7</v>
      </c>
      <c r="W54" s="62">
        <v>-231.9</v>
      </c>
      <c r="X54" s="62">
        <v>-164</v>
      </c>
      <c r="Y54" s="62">
        <v>-88</v>
      </c>
      <c r="Z54" s="62">
        <v>-7</v>
      </c>
      <c r="AA54" s="62">
        <v>112</v>
      </c>
      <c r="AB54" s="62">
        <v>-17</v>
      </c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</row>
    <row r="55" spans="2:70">
      <c r="B55" s="82" t="s">
        <v>33</v>
      </c>
      <c r="C55" s="62">
        <v>-8</v>
      </c>
      <c r="D55" s="62">
        <f t="shared" si="41"/>
        <v>4</v>
      </c>
      <c r="E55" s="62">
        <v>-7</v>
      </c>
      <c r="F55" s="62">
        <f t="shared" si="58"/>
        <v>5</v>
      </c>
      <c r="G55" s="62">
        <v>-3</v>
      </c>
      <c r="H55" s="62">
        <f t="shared" si="59"/>
        <v>1</v>
      </c>
      <c r="I55" s="62"/>
      <c r="J55" s="62"/>
      <c r="K55" s="62"/>
      <c r="L55" s="62"/>
      <c r="M55" s="62"/>
      <c r="N55" s="62"/>
      <c r="O55" s="62">
        <v>0</v>
      </c>
      <c r="P55" s="62"/>
      <c r="Q55" s="62">
        <v>0</v>
      </c>
      <c r="R55" s="62"/>
      <c r="S55" s="62">
        <v>0</v>
      </c>
      <c r="T55" s="62">
        <v>0</v>
      </c>
      <c r="U55" s="62">
        <v>0</v>
      </c>
      <c r="V55" s="62">
        <v>0</v>
      </c>
      <c r="W55" s="62">
        <v>0</v>
      </c>
      <c r="X55" s="62">
        <v>6</v>
      </c>
      <c r="Y55" s="62">
        <v>2</v>
      </c>
      <c r="Z55" s="62">
        <f>Z56-SUM(Z50:Z54)</f>
        <v>-4</v>
      </c>
      <c r="AA55" s="62">
        <v>-2</v>
      </c>
      <c r="AB55" s="62">
        <v>-2</v>
      </c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</row>
    <row r="56" spans="2:70">
      <c r="B56" s="58" t="s">
        <v>45</v>
      </c>
      <c r="C56" s="62">
        <f t="shared" ref="C56:D56" si="60">+SUM(C50:C55)</f>
        <v>2739</v>
      </c>
      <c r="D56" s="62">
        <f t="shared" si="60"/>
        <v>2007</v>
      </c>
      <c r="E56" s="62">
        <f>+SUM(E50:E55)</f>
        <v>1582</v>
      </c>
      <c r="F56" s="62">
        <f t="shared" ref="F56:H56" si="61">+SUM(F50:F55)</f>
        <v>972</v>
      </c>
      <c r="G56" s="62">
        <f t="shared" si="61"/>
        <v>969</v>
      </c>
      <c r="H56" s="62">
        <f t="shared" si="61"/>
        <v>662</v>
      </c>
      <c r="I56" s="62"/>
      <c r="J56" s="62">
        <f t="shared" ref="J56:S56" si="62">+J46-J49</f>
        <v>1633.7000000000016</v>
      </c>
      <c r="K56" s="62">
        <f t="shared" si="62"/>
        <v>1721.2000000000007</v>
      </c>
      <c r="L56" s="62">
        <f t="shared" si="62"/>
        <v>1239.5999999999995</v>
      </c>
      <c r="M56" s="62">
        <f t="shared" si="62"/>
        <v>1531.3000000000011</v>
      </c>
      <c r="N56" s="62">
        <f t="shared" si="62"/>
        <v>1501.4</v>
      </c>
      <c r="O56" s="62">
        <f t="shared" si="62"/>
        <v>1791.4999999999991</v>
      </c>
      <c r="P56" s="62">
        <f t="shared" si="62"/>
        <v>1751.2000000000007</v>
      </c>
      <c r="Q56" s="62">
        <f t="shared" si="62"/>
        <v>1664</v>
      </c>
      <c r="R56" s="62">
        <f t="shared" si="62"/>
        <v>1646.7000000000007</v>
      </c>
      <c r="S56" s="62">
        <f t="shared" si="62"/>
        <v>1886.1999999999998</v>
      </c>
      <c r="T56" s="62">
        <v>2948</v>
      </c>
      <c r="U56" s="62">
        <v>3943.8</v>
      </c>
      <c r="V56" s="62">
        <v>4778.3</v>
      </c>
      <c r="W56" s="62">
        <v>3135.2</v>
      </c>
      <c r="X56" s="62">
        <v>5017</v>
      </c>
      <c r="Y56" s="62">
        <v>5589</v>
      </c>
      <c r="Z56" s="62">
        <f>Z46-Z49</f>
        <v>4746</v>
      </c>
      <c r="AA56" s="62">
        <f>AA46-AA49</f>
        <v>2554</v>
      </c>
      <c r="AB56" s="62">
        <f>AB46-AB49</f>
        <v>1631</v>
      </c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</row>
    <row r="57" spans="2:70">
      <c r="B57" s="58" t="s">
        <v>326</v>
      </c>
      <c r="C57" s="62">
        <v>0</v>
      </c>
      <c r="D57" s="62">
        <f t="shared" si="41"/>
        <v>103</v>
      </c>
      <c r="E57" s="62">
        <v>13</v>
      </c>
      <c r="F57" s="62">
        <f>+AA57-E57</f>
        <v>229</v>
      </c>
      <c r="G57" s="62">
        <v>-32</v>
      </c>
      <c r="H57" s="62">
        <f t="shared" ref="H57" si="63">+AB57-G57</f>
        <v>616</v>
      </c>
      <c r="I57" s="62"/>
      <c r="J57" s="62">
        <v>-102.7</v>
      </c>
      <c r="K57" s="62">
        <v>361</v>
      </c>
      <c r="L57" s="62">
        <v>373.6</v>
      </c>
      <c r="M57" s="62">
        <v>193.9</v>
      </c>
      <c r="N57" s="62">
        <v>23.5</v>
      </c>
      <c r="O57" s="62">
        <v>25.2</v>
      </c>
      <c r="P57" s="62">
        <v>440.7</v>
      </c>
      <c r="Q57" s="62">
        <v>112.1</v>
      </c>
      <c r="R57" s="62">
        <v>393.5</v>
      </c>
      <c r="S57" s="62">
        <v>506</v>
      </c>
      <c r="T57" s="62">
        <v>241.7</v>
      </c>
      <c r="U57" s="62">
        <v>222.4</v>
      </c>
      <c r="V57" s="62">
        <v>168.5</v>
      </c>
      <c r="W57" s="62">
        <v>-163</v>
      </c>
      <c r="X57" s="62">
        <v>220</v>
      </c>
      <c r="Y57" s="62">
        <v>194</v>
      </c>
      <c r="Z57" s="62">
        <v>103</v>
      </c>
      <c r="AA57" s="62">
        <v>242</v>
      </c>
      <c r="AB57" s="62">
        <v>584</v>
      </c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</row>
    <row r="58" spans="2:70">
      <c r="B58" s="58" t="s">
        <v>46</v>
      </c>
      <c r="C58" s="62">
        <f>+C56-C57</f>
        <v>2739</v>
      </c>
      <c r="D58" s="62">
        <f t="shared" ref="D58:H58" si="64">+D56-D57</f>
        <v>1904</v>
      </c>
      <c r="E58" s="62">
        <f t="shared" si="64"/>
        <v>1569</v>
      </c>
      <c r="F58" s="62">
        <f t="shared" si="64"/>
        <v>743</v>
      </c>
      <c r="G58" s="62">
        <f t="shared" si="64"/>
        <v>1001</v>
      </c>
      <c r="H58" s="62">
        <f t="shared" si="64"/>
        <v>46</v>
      </c>
      <c r="I58" s="62"/>
      <c r="J58" s="62">
        <f t="shared" ref="J58" si="65">+J56-J57</f>
        <v>1736.4000000000017</v>
      </c>
      <c r="K58" s="62">
        <f t="shared" ref="K58" si="66">+K56-K57</f>
        <v>1360.2000000000007</v>
      </c>
      <c r="L58" s="62">
        <f t="shared" ref="L58:T58" si="67">+L56-L57</f>
        <v>865.99999999999943</v>
      </c>
      <c r="M58" s="62">
        <f t="shared" si="67"/>
        <v>1337.400000000001</v>
      </c>
      <c r="N58" s="62">
        <f t="shared" si="67"/>
        <v>1477.9</v>
      </c>
      <c r="O58" s="62">
        <f t="shared" si="67"/>
        <v>1766.299999999999</v>
      </c>
      <c r="P58" s="62">
        <f t="shared" si="67"/>
        <v>1310.5000000000007</v>
      </c>
      <c r="Q58" s="62">
        <f t="shared" si="67"/>
        <v>1551.9</v>
      </c>
      <c r="R58" s="62">
        <f t="shared" si="67"/>
        <v>1253.2000000000007</v>
      </c>
      <c r="S58" s="62">
        <f t="shared" si="67"/>
        <v>1380.1999999999998</v>
      </c>
      <c r="T58" s="62">
        <f t="shared" si="67"/>
        <v>2706.3</v>
      </c>
      <c r="U58" s="62">
        <v>3721.4</v>
      </c>
      <c r="V58" s="62">
        <v>4609.8</v>
      </c>
      <c r="W58" s="62">
        <v>3298.2</v>
      </c>
      <c r="X58" s="62">
        <v>4797</v>
      </c>
      <c r="Y58" s="62">
        <v>5395</v>
      </c>
      <c r="Z58" s="62">
        <f>Z56-Z57</f>
        <v>4643</v>
      </c>
      <c r="AA58" s="62">
        <f>AA56-AA57</f>
        <v>2312</v>
      </c>
      <c r="AB58" s="62">
        <f>AB56-AB57</f>
        <v>1047</v>
      </c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</row>
    <row r="59" spans="2:70">
      <c r="B59" s="58" t="s">
        <v>47</v>
      </c>
      <c r="C59" s="62">
        <v>-204</v>
      </c>
      <c r="D59" s="62">
        <f t="shared" si="41"/>
        <v>-206</v>
      </c>
      <c r="E59" s="62">
        <v>-288</v>
      </c>
      <c r="F59" s="62">
        <f>+AA59-E59</f>
        <v>-326</v>
      </c>
      <c r="G59" s="62">
        <v>-280</v>
      </c>
      <c r="H59" s="62">
        <f t="shared" ref="H59" si="68">+AB59-G59</f>
        <v>-314</v>
      </c>
      <c r="I59" s="62"/>
      <c r="J59" s="62">
        <v>-309.60000000000002</v>
      </c>
      <c r="K59" s="62">
        <v>-372.7</v>
      </c>
      <c r="L59" s="62">
        <v>-363.5</v>
      </c>
      <c r="M59" s="62">
        <v>-254.2</v>
      </c>
      <c r="N59" s="62">
        <v>-201.8</v>
      </c>
      <c r="O59" s="62">
        <v>-147.69999999999999</v>
      </c>
      <c r="P59" s="62">
        <v>-210.5</v>
      </c>
      <c r="Q59" s="62">
        <v>-197.4</v>
      </c>
      <c r="R59" s="62">
        <v>-249.1</v>
      </c>
      <c r="S59" s="62">
        <v>-201.8</v>
      </c>
      <c r="T59" s="62">
        <v>-242.6</v>
      </c>
      <c r="U59" s="62">
        <v>-207.3</v>
      </c>
      <c r="V59" s="62">
        <v>-309.5</v>
      </c>
      <c r="W59" s="62">
        <v>-341.7</v>
      </c>
      <c r="X59" s="62">
        <v>-273</v>
      </c>
      <c r="Y59" s="62">
        <v>-260</v>
      </c>
      <c r="Z59" s="62">
        <v>-410</v>
      </c>
      <c r="AA59" s="62">
        <v>-614</v>
      </c>
      <c r="AB59" s="62">
        <v>-594</v>
      </c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</row>
    <row r="60" spans="2:70">
      <c r="B60" s="58" t="s">
        <v>48</v>
      </c>
      <c r="C60" s="62">
        <f t="shared" ref="C60:D60" si="69">+C58+C59</f>
        <v>2535</v>
      </c>
      <c r="D60" s="62">
        <f t="shared" si="69"/>
        <v>1698</v>
      </c>
      <c r="E60" s="62">
        <f>+E58+E59</f>
        <v>1281</v>
      </c>
      <c r="F60" s="62">
        <f t="shared" ref="F60:H60" si="70">+F58+F59</f>
        <v>417</v>
      </c>
      <c r="G60" s="62">
        <f t="shared" si="70"/>
        <v>721</v>
      </c>
      <c r="H60" s="62">
        <f t="shared" si="70"/>
        <v>-268</v>
      </c>
      <c r="I60" s="62"/>
      <c r="J60" s="62">
        <f t="shared" ref="J60" si="71">+J58+J59</f>
        <v>1426.8000000000015</v>
      </c>
      <c r="K60" s="62">
        <f t="shared" ref="K60" si="72">+K58+K59</f>
        <v>987.50000000000068</v>
      </c>
      <c r="L60" s="62">
        <f t="shared" ref="L60:T60" si="73">+L58+L59</f>
        <v>502.49999999999943</v>
      </c>
      <c r="M60" s="62">
        <f t="shared" si="73"/>
        <v>1083.200000000001</v>
      </c>
      <c r="N60" s="62">
        <f t="shared" si="73"/>
        <v>1276.1000000000001</v>
      </c>
      <c r="O60" s="62">
        <f t="shared" si="73"/>
        <v>1618.599999999999</v>
      </c>
      <c r="P60" s="62">
        <f t="shared" si="73"/>
        <v>1100.0000000000007</v>
      </c>
      <c r="Q60" s="62">
        <f t="shared" si="73"/>
        <v>1354.5</v>
      </c>
      <c r="R60" s="62">
        <f t="shared" si="73"/>
        <v>1004.1000000000007</v>
      </c>
      <c r="S60" s="62">
        <f t="shared" si="73"/>
        <v>1178.3999999999999</v>
      </c>
      <c r="T60" s="62">
        <f t="shared" si="73"/>
        <v>2463.7000000000003</v>
      </c>
      <c r="U60" s="62">
        <v>3514.1</v>
      </c>
      <c r="V60" s="62">
        <v>4300.3</v>
      </c>
      <c r="W60" s="62">
        <v>2956.5</v>
      </c>
      <c r="X60" s="62">
        <v>4524</v>
      </c>
      <c r="Y60" s="62">
        <v>5135</v>
      </c>
      <c r="Z60" s="62">
        <f>Z58+Z59</f>
        <v>4233</v>
      </c>
      <c r="AA60" s="62">
        <f>AA58+AA59</f>
        <v>1698</v>
      </c>
      <c r="AB60" s="62">
        <f>AB58+AB59</f>
        <v>453</v>
      </c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</row>
    <row r="61" spans="2:70">
      <c r="B61" s="58" t="s">
        <v>49</v>
      </c>
      <c r="C61" s="62">
        <v>692</v>
      </c>
      <c r="D61" s="62">
        <f t="shared" si="41"/>
        <v>471</v>
      </c>
      <c r="E61" s="62">
        <v>345</v>
      </c>
      <c r="F61" s="62">
        <f>+AA61-E61</f>
        <v>116</v>
      </c>
      <c r="G61" s="62">
        <v>199</v>
      </c>
      <c r="H61" s="62">
        <f t="shared" ref="H61:H63" si="74">+AB61-G61</f>
        <v>155</v>
      </c>
      <c r="I61" s="62"/>
      <c r="J61" s="62">
        <v>338.5</v>
      </c>
      <c r="K61" s="62">
        <v>334.5</v>
      </c>
      <c r="L61" s="62">
        <v>172.5</v>
      </c>
      <c r="M61" s="62">
        <v>304</v>
      </c>
      <c r="N61" s="62">
        <v>295.2</v>
      </c>
      <c r="O61" s="62">
        <v>297.60000000000002</v>
      </c>
      <c r="P61" s="62">
        <v>236.9</v>
      </c>
      <c r="Q61" s="62">
        <v>325.60000000000002</v>
      </c>
      <c r="R61" s="62">
        <v>321.7</v>
      </c>
      <c r="S61" s="62">
        <v>296.10000000000002</v>
      </c>
      <c r="T61" s="62">
        <v>591</v>
      </c>
      <c r="U61" s="62">
        <v>867.7</v>
      </c>
      <c r="V61" s="62">
        <v>2133.6999999999998</v>
      </c>
      <c r="W61" s="62">
        <v>759.2</v>
      </c>
      <c r="X61" s="62">
        <v>1280.4000000000001</v>
      </c>
      <c r="Y61" s="62">
        <v>1420</v>
      </c>
      <c r="Z61" s="62">
        <v>1163</v>
      </c>
      <c r="AA61" s="62">
        <v>461</v>
      </c>
      <c r="AB61" s="62">
        <v>354</v>
      </c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</row>
    <row r="62" spans="2:70">
      <c r="B62" s="58" t="s">
        <v>332</v>
      </c>
      <c r="C62" s="62">
        <v>3</v>
      </c>
      <c r="D62" s="62">
        <f t="shared" si="41"/>
        <v>1</v>
      </c>
      <c r="E62" s="62">
        <v>4</v>
      </c>
      <c r="F62" s="62">
        <f>+AA62-E62</f>
        <v>-14</v>
      </c>
      <c r="G62" s="62">
        <v>1</v>
      </c>
      <c r="H62" s="62">
        <f t="shared" si="74"/>
        <v>-61</v>
      </c>
      <c r="I62" s="62"/>
      <c r="J62" s="62">
        <v>1.2</v>
      </c>
      <c r="K62" s="62">
        <v>1.4</v>
      </c>
      <c r="L62" s="62">
        <v>0.5</v>
      </c>
      <c r="M62" s="62">
        <v>35.799999999999997</v>
      </c>
      <c r="N62" s="62">
        <v>46.6</v>
      </c>
      <c r="O62" s="62">
        <v>36.9</v>
      </c>
      <c r="P62" s="62">
        <v>1.6</v>
      </c>
      <c r="Q62" s="62">
        <v>-0.8</v>
      </c>
      <c r="R62" s="62">
        <v>-2.2000000000000002</v>
      </c>
      <c r="S62" s="62">
        <v>-2.2000000000000002</v>
      </c>
      <c r="T62" s="62">
        <v>-2</v>
      </c>
      <c r="U62" s="62">
        <v>11.9</v>
      </c>
      <c r="V62" s="62">
        <v>41.8</v>
      </c>
      <c r="W62" s="62">
        <v>-7.6</v>
      </c>
      <c r="X62" s="62">
        <v>1</v>
      </c>
      <c r="Y62" s="62">
        <v>2</v>
      </c>
      <c r="Z62" s="62">
        <v>4</v>
      </c>
      <c r="AA62" s="62">
        <v>-10</v>
      </c>
      <c r="AB62" s="62">
        <v>-60</v>
      </c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</row>
    <row r="63" spans="2:70">
      <c r="B63" s="58" t="s">
        <v>327</v>
      </c>
      <c r="C63" s="62">
        <v>0</v>
      </c>
      <c r="D63" s="62">
        <f t="shared" si="41"/>
        <v>0</v>
      </c>
      <c r="E63" s="62">
        <v>0</v>
      </c>
      <c r="F63" s="62">
        <f>+AA63-E63</f>
        <v>0</v>
      </c>
      <c r="G63" s="62">
        <v>0</v>
      </c>
      <c r="H63" s="62">
        <f t="shared" si="74"/>
        <v>0</v>
      </c>
      <c r="I63" s="62"/>
      <c r="J63" s="62">
        <v>-48.1</v>
      </c>
      <c r="K63" s="62">
        <v>387.7</v>
      </c>
      <c r="L63" s="62">
        <v>664.6</v>
      </c>
      <c r="M63" s="62">
        <v>200.3</v>
      </c>
      <c r="N63" s="62">
        <v>18</v>
      </c>
      <c r="O63" s="62">
        <v>-275.5</v>
      </c>
      <c r="P63" s="62">
        <v>0</v>
      </c>
      <c r="Q63" s="62">
        <v>0</v>
      </c>
      <c r="R63" s="62">
        <v>41</v>
      </c>
      <c r="S63" s="62">
        <v>-11.6</v>
      </c>
      <c r="T63" s="62">
        <v>-5.6</v>
      </c>
      <c r="U63" s="62">
        <v>1095.2</v>
      </c>
      <c r="V63" s="62">
        <v>125.4</v>
      </c>
      <c r="W63" s="62">
        <v>-9.8000000000000007</v>
      </c>
      <c r="X63" s="62">
        <v>11</v>
      </c>
      <c r="Y63" s="62">
        <v>1</v>
      </c>
      <c r="Z63" s="62">
        <v>0</v>
      </c>
      <c r="AA63" s="62">
        <v>0</v>
      </c>
      <c r="AB63" s="62">
        <v>0</v>
      </c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</row>
    <row r="64" spans="2:70">
      <c r="B64" s="58" t="s">
        <v>328</v>
      </c>
      <c r="C64" s="62">
        <f t="shared" ref="C64:D64" si="75">+C60-C61+C62+C63</f>
        <v>1846</v>
      </c>
      <c r="D64" s="62">
        <f t="shared" si="75"/>
        <v>1228</v>
      </c>
      <c r="E64" s="62">
        <f>+E60-E61+E62+E63</f>
        <v>940</v>
      </c>
      <c r="F64" s="62">
        <f t="shared" ref="F64:H64" si="76">+F60-F61+F62+F63</f>
        <v>287</v>
      </c>
      <c r="G64" s="62">
        <f t="shared" si="76"/>
        <v>523</v>
      </c>
      <c r="H64" s="62">
        <f t="shared" si="76"/>
        <v>-484</v>
      </c>
      <c r="I64" s="62"/>
      <c r="J64" s="62">
        <f t="shared" ref="J64" si="77">+J60-J61+J62+J63</f>
        <v>1041.4000000000017</v>
      </c>
      <c r="K64" s="62">
        <f t="shared" ref="K64" si="78">+K60-K61+K62+K63</f>
        <v>1042.1000000000006</v>
      </c>
      <c r="L64" s="62">
        <f t="shared" ref="L64:S64" si="79">+L60-L61+L62+L63</f>
        <v>995.09999999999945</v>
      </c>
      <c r="M64" s="62">
        <f t="shared" si="79"/>
        <v>1015.3000000000009</v>
      </c>
      <c r="N64" s="62">
        <f t="shared" si="79"/>
        <v>1045.5</v>
      </c>
      <c r="O64" s="62">
        <f t="shared" si="79"/>
        <v>1082.3999999999992</v>
      </c>
      <c r="P64" s="62">
        <f t="shared" si="79"/>
        <v>864.70000000000073</v>
      </c>
      <c r="Q64" s="62">
        <f t="shared" si="79"/>
        <v>1028.1000000000001</v>
      </c>
      <c r="R64" s="62">
        <f t="shared" si="79"/>
        <v>721.20000000000073</v>
      </c>
      <c r="S64" s="62">
        <f t="shared" si="79"/>
        <v>868.49999999999977</v>
      </c>
      <c r="T64" s="62">
        <v>1865.1000000000004</v>
      </c>
      <c r="U64" s="62">
        <v>3753.5</v>
      </c>
      <c r="V64" s="62">
        <v>2333.8000000000006</v>
      </c>
      <c r="W64" s="62">
        <v>2179.9</v>
      </c>
      <c r="X64" s="62">
        <v>3256</v>
      </c>
      <c r="Y64" s="62">
        <v>3718</v>
      </c>
      <c r="Z64" s="62">
        <f>+Z60-Z61+Z62+Z63</f>
        <v>3074</v>
      </c>
      <c r="AA64" s="62">
        <f>+AA60-AA61+AA62+AA63</f>
        <v>1227</v>
      </c>
      <c r="AB64" s="62">
        <f>+AB60-AB61+AB62+AB63</f>
        <v>39</v>
      </c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</row>
    <row r="65" spans="2:70">
      <c r="B65" s="58" t="s">
        <v>329</v>
      </c>
      <c r="C65" s="62">
        <v>61</v>
      </c>
      <c r="D65" s="62">
        <f t="shared" si="41"/>
        <v>30</v>
      </c>
      <c r="E65" s="62">
        <v>62</v>
      </c>
      <c r="F65" s="62">
        <f>+AA65-E65</f>
        <v>32</v>
      </c>
      <c r="G65" s="62">
        <v>49</v>
      </c>
      <c r="H65" s="62">
        <f t="shared" ref="H65" si="80">+AB65-G65</f>
        <v>-78</v>
      </c>
      <c r="I65" s="62"/>
      <c r="J65" s="62">
        <v>119.1</v>
      </c>
      <c r="K65" s="62">
        <v>117.9</v>
      </c>
      <c r="L65" s="62">
        <v>44.2</v>
      </c>
      <c r="M65" s="62">
        <v>50.8</v>
      </c>
      <c r="N65" s="62">
        <v>59.2</v>
      </c>
      <c r="O65" s="62">
        <v>34.200000000000003</v>
      </c>
      <c r="P65" s="62">
        <v>-7.8</v>
      </c>
      <c r="Q65" s="62">
        <v>20.399999999999999</v>
      </c>
      <c r="R65" s="62">
        <v>25.2</v>
      </c>
      <c r="S65" s="62">
        <v>55</v>
      </c>
      <c r="T65" s="62">
        <v>79.5</v>
      </c>
      <c r="U65" s="62">
        <v>38.6</v>
      </c>
      <c r="V65" s="62">
        <v>25.2</v>
      </c>
      <c r="W65" s="62">
        <v>29.5</v>
      </c>
      <c r="X65" s="62">
        <v>80.2</v>
      </c>
      <c r="Y65" s="62">
        <v>104</v>
      </c>
      <c r="Z65" s="62">
        <v>91</v>
      </c>
      <c r="AA65" s="62">
        <v>94</v>
      </c>
      <c r="AB65" s="62">
        <v>-29</v>
      </c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</row>
    <row r="66" spans="2:70">
      <c r="B66" s="58" t="s">
        <v>330</v>
      </c>
      <c r="C66" s="62">
        <f t="shared" ref="C66:D66" si="81">+C64-C65</f>
        <v>1785</v>
      </c>
      <c r="D66" s="62">
        <f t="shared" si="81"/>
        <v>1198</v>
      </c>
      <c r="E66" s="62">
        <f>+E64-E65</f>
        <v>878</v>
      </c>
      <c r="F66" s="62">
        <f t="shared" ref="F66:H66" si="82">+F64-F65</f>
        <v>255</v>
      </c>
      <c r="G66" s="62">
        <f t="shared" si="82"/>
        <v>474</v>
      </c>
      <c r="H66" s="62">
        <f t="shared" si="82"/>
        <v>-406</v>
      </c>
      <c r="I66" s="62"/>
      <c r="J66" s="62">
        <f t="shared" ref="J66" si="83">+J64-J65</f>
        <v>922.30000000000166</v>
      </c>
      <c r="K66" s="62">
        <f t="shared" ref="K66" si="84">+K64-K65</f>
        <v>924.20000000000061</v>
      </c>
      <c r="L66" s="62">
        <f t="shared" ref="L66:S66" si="85">+L64-L65</f>
        <v>950.89999999999941</v>
      </c>
      <c r="M66" s="62">
        <f t="shared" si="85"/>
        <v>964.50000000000091</v>
      </c>
      <c r="N66" s="62">
        <f t="shared" si="85"/>
        <v>986.3</v>
      </c>
      <c r="O66" s="62">
        <f t="shared" si="85"/>
        <v>1048.1999999999991</v>
      </c>
      <c r="P66" s="62">
        <f t="shared" si="85"/>
        <v>872.50000000000068</v>
      </c>
      <c r="Q66" s="62">
        <f t="shared" si="85"/>
        <v>1007.7000000000002</v>
      </c>
      <c r="R66" s="62">
        <f t="shared" si="85"/>
        <v>696.00000000000068</v>
      </c>
      <c r="S66" s="62">
        <f t="shared" si="85"/>
        <v>813.49999999999977</v>
      </c>
      <c r="T66" s="62">
        <f t="shared" ref="T66:AB66" si="86">T64-T65</f>
        <v>1785.6000000000004</v>
      </c>
      <c r="U66" s="62">
        <f t="shared" si="86"/>
        <v>3714.9</v>
      </c>
      <c r="V66" s="62">
        <f t="shared" si="86"/>
        <v>2308.6000000000008</v>
      </c>
      <c r="W66" s="62">
        <f t="shared" si="86"/>
        <v>2150.4</v>
      </c>
      <c r="X66" s="62">
        <f t="shared" si="86"/>
        <v>3175.8</v>
      </c>
      <c r="Y66" s="62">
        <f t="shared" si="86"/>
        <v>3614</v>
      </c>
      <c r="Z66" s="62">
        <f t="shared" si="86"/>
        <v>2983</v>
      </c>
      <c r="AA66" s="62">
        <f t="shared" si="86"/>
        <v>1133</v>
      </c>
      <c r="AB66" s="62">
        <f t="shared" si="86"/>
        <v>68</v>
      </c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</row>
    <row r="67" spans="2:70"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</row>
    <row r="68" spans="2:70">
      <c r="B68" s="58" t="s">
        <v>51</v>
      </c>
      <c r="C68" s="83">
        <v>14.6</v>
      </c>
      <c r="D68" s="62">
        <f>+Y68-C68</f>
        <v>14.930262104363736</v>
      </c>
      <c r="E68" s="83">
        <v>7.16</v>
      </c>
      <c r="F68" s="83">
        <f>+AA68-E68</f>
        <v>2.0801093131844688</v>
      </c>
      <c r="G68" s="83">
        <f>+G66/G69</f>
        <v>3.8662458701214311</v>
      </c>
      <c r="H68" s="83">
        <f>+H66/H69</f>
        <v>-3.311594563859285</v>
      </c>
      <c r="I68" s="62"/>
      <c r="J68" s="79" t="e">
        <f t="shared" ref="J68:M68" si="87">J66/J69</f>
        <v>#DIV/0!</v>
      </c>
      <c r="K68" s="79" t="e">
        <f t="shared" si="87"/>
        <v>#DIV/0!</v>
      </c>
      <c r="L68" s="79">
        <f t="shared" si="87"/>
        <v>7.5192836334437345</v>
      </c>
      <c r="M68" s="79">
        <f t="shared" si="87"/>
        <v>7.6179249450125299</v>
      </c>
      <c r="N68" s="79">
        <f t="shared" ref="N68:S68" si="88">N66/N69</f>
        <v>7.8183124695314303</v>
      </c>
      <c r="O68" s="79">
        <f t="shared" si="88"/>
        <v>8.3200069290528926</v>
      </c>
      <c r="P68" s="79">
        <f t="shared" si="88"/>
        <v>6.9246300487626549</v>
      </c>
      <c r="Q68" s="79">
        <f t="shared" si="88"/>
        <v>7.9976500861181927</v>
      </c>
      <c r="R68" s="79">
        <f t="shared" si="88"/>
        <v>5.5238309615344514</v>
      </c>
      <c r="S68" s="79">
        <f t="shared" si="88"/>
        <v>6.4563742632302734</v>
      </c>
      <c r="T68" s="79">
        <f t="shared" ref="T68:Y68" si="89">T66/T69</f>
        <v>14.171483570281477</v>
      </c>
      <c r="U68" s="79">
        <f t="shared" si="89"/>
        <v>29.493623799122673</v>
      </c>
      <c r="V68" s="79">
        <f t="shared" si="89"/>
        <v>18.395399999391234</v>
      </c>
      <c r="W68" s="79">
        <f>W66/W69</f>
        <v>17.201556219287685</v>
      </c>
      <c r="X68" s="79">
        <f>X66/X69</f>
        <v>25.491130683028981</v>
      </c>
      <c r="Y68" s="79">
        <f t="shared" si="89"/>
        <v>29.530262104363736</v>
      </c>
      <c r="Z68" s="79">
        <f>Z66/Z69</f>
        <v>24.381573206339691</v>
      </c>
      <c r="AA68" s="79">
        <f>AA66/AA69</f>
        <v>9.2401093131844689</v>
      </c>
      <c r="AB68" s="79">
        <f>AB66/AB69</f>
        <v>0.55462749700231995</v>
      </c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</row>
    <row r="69" spans="2:70">
      <c r="B69" s="58" t="s">
        <v>50</v>
      </c>
      <c r="C69" s="79">
        <f>C66/C68</f>
        <v>122.26027397260275</v>
      </c>
      <c r="D69" s="79">
        <f>+Z69</f>
        <v>122.34649400000001</v>
      </c>
      <c r="E69" s="79">
        <f>E66/E68</f>
        <v>122.62569832402234</v>
      </c>
      <c r="F69" s="59">
        <v>122.617597</v>
      </c>
      <c r="G69" s="62">
        <v>122.599549</v>
      </c>
      <c r="H69" s="62">
        <v>122.599549</v>
      </c>
      <c r="I69" s="62"/>
      <c r="J69" s="62"/>
      <c r="K69" s="62"/>
      <c r="L69" s="62">
        <v>126.46151500000001</v>
      </c>
      <c r="M69" s="62">
        <v>126.609281</v>
      </c>
      <c r="N69" s="62">
        <v>126.15254299999999</v>
      </c>
      <c r="O69" s="79">
        <v>125.985472</v>
      </c>
      <c r="P69" s="79">
        <v>125.999511</v>
      </c>
      <c r="Q69" s="79">
        <v>125.999511</v>
      </c>
      <c r="R69" s="79">
        <v>125.999511</v>
      </c>
      <c r="S69" s="79">
        <v>125.999511</v>
      </c>
      <c r="T69" s="79">
        <v>125.999511</v>
      </c>
      <c r="U69" s="79">
        <v>125.95603800000001</v>
      </c>
      <c r="V69" s="79">
        <v>125.498766</v>
      </c>
      <c r="W69" s="79">
        <v>125.011945</v>
      </c>
      <c r="X69" s="79">
        <v>124.584509</v>
      </c>
      <c r="Y69" s="79">
        <v>122.38293</v>
      </c>
      <c r="Z69" s="79">
        <v>122.34649400000001</v>
      </c>
      <c r="AA69" s="59">
        <v>122.617597</v>
      </c>
      <c r="AB69" s="62">
        <v>122.604812</v>
      </c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</row>
    <row r="70" spans="2:70"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</row>
    <row r="71" spans="2:70">
      <c r="B71" s="58" t="s">
        <v>463</v>
      </c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80">
        <f>+V8/U8-1</f>
        <v>6.336828658114646E-2</v>
      </c>
      <c r="W71" s="80">
        <f t="shared" ref="W71:AF71" si="90">+W8/V8-1</f>
        <v>-0.15369791014891754</v>
      </c>
      <c r="X71" s="80">
        <f t="shared" si="90"/>
        <v>0.13021233808481703</v>
      </c>
      <c r="Y71" s="80">
        <f t="shared" si="90"/>
        <v>6.214511866446859E-2</v>
      </c>
      <c r="Z71" s="80">
        <f t="shared" si="90"/>
        <v>0.11921068190776518</v>
      </c>
      <c r="AA71" s="80">
        <f t="shared" si="90"/>
        <v>4.3186370539939789E-2</v>
      </c>
      <c r="AB71" s="80">
        <f t="shared" si="90"/>
        <v>4.4774544763994673E-2</v>
      </c>
      <c r="AC71" s="80">
        <f t="shared" si="90"/>
        <v>4.2350802787034292E-2</v>
      </c>
      <c r="AD71" s="80">
        <f t="shared" si="90"/>
        <v>4.0339455940479052E-2</v>
      </c>
      <c r="AE71" s="80">
        <f t="shared" si="90"/>
        <v>3.8067568070920377E-2</v>
      </c>
      <c r="AF71" s="80">
        <f t="shared" si="90"/>
        <v>3.6545982991854853E-2</v>
      </c>
      <c r="AG71" s="80"/>
      <c r="AH71" s="80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</row>
    <row r="72" spans="2:70">
      <c r="B72" s="58" t="s">
        <v>386</v>
      </c>
      <c r="C72" s="62"/>
      <c r="D72" s="62"/>
      <c r="E72" s="80">
        <f>E17/C17-1</f>
        <v>6.3164108618654069E-2</v>
      </c>
      <c r="F72" s="80">
        <f>F17/D17-1</f>
        <v>2.3715415019762931E-2</v>
      </c>
      <c r="G72" s="80">
        <f>G17/E17-1</f>
        <v>-6.6629650194336421E-3</v>
      </c>
      <c r="H72" s="80">
        <f>H17/F17-1</f>
        <v>-5.1847766133480411E-2</v>
      </c>
      <c r="I72" s="80"/>
      <c r="J72" s="80"/>
      <c r="K72" s="80" t="e">
        <f t="shared" ref="K72" si="91">K17/J17-1</f>
        <v>#DIV/0!</v>
      </c>
      <c r="L72" s="80" t="e">
        <f t="shared" ref="L72" si="92">L17/K17-1</f>
        <v>#DIV/0!</v>
      </c>
      <c r="M72" s="80" t="e">
        <f t="shared" ref="M72" si="93">M17/L17-1</f>
        <v>#DIV/0!</v>
      </c>
      <c r="N72" s="80" t="e">
        <f t="shared" ref="N72" si="94">N17/M17-1</f>
        <v>#DIV/0!</v>
      </c>
      <c r="O72" s="80">
        <f t="shared" ref="O72" si="95">O17/N17-1</f>
        <v>0.23535457348406985</v>
      </c>
      <c r="P72" s="80">
        <f t="shared" ref="P72" si="96">P17/O17-1</f>
        <v>-8.8186356073211347E-2</v>
      </c>
      <c r="Q72" s="80">
        <f t="shared" ref="Q72" si="97">Q17/P17-1</f>
        <v>8.2116788321167977E-2</v>
      </c>
      <c r="R72" s="80">
        <f t="shared" ref="R72" si="98">R17/Q17-1</f>
        <v>6.5767284991568253E-2</v>
      </c>
      <c r="S72" s="80">
        <f t="shared" ref="S72" si="99">S17/R17-1</f>
        <v>3.2436708860759556E-2</v>
      </c>
      <c r="T72" s="80">
        <f t="shared" ref="T72" si="100">T17/S17-1</f>
        <v>6.3601532567049812E-2</v>
      </c>
      <c r="U72" s="80">
        <f t="shared" ref="U72:Z72" si="101">U17/T17-1</f>
        <v>-7.9250720461095048E-2</v>
      </c>
      <c r="V72" s="80">
        <f t="shared" si="101"/>
        <v>8.0594679186228424E-2</v>
      </c>
      <c r="W72" s="80">
        <f t="shared" si="101"/>
        <v>3.7653874004344612E-2</v>
      </c>
      <c r="X72" s="80">
        <f t="shared" si="101"/>
        <v>8.7927424982554125E-2</v>
      </c>
      <c r="Y72" s="80">
        <f t="shared" si="101"/>
        <v>6.6709429121231567E-2</v>
      </c>
      <c r="Z72" s="80">
        <f t="shared" si="101"/>
        <v>6.4942874323511646E-2</v>
      </c>
      <c r="AA72" s="80">
        <f t="shared" ref="AA72:AF72" si="102">AA17/Z17-1</f>
        <v>2.3715415019762931E-2</v>
      </c>
      <c r="AB72" s="80">
        <f t="shared" si="102"/>
        <v>-5.1847766133480411E-2</v>
      </c>
      <c r="AC72" s="80">
        <f t="shared" si="102"/>
        <v>0.13670738801628857</v>
      </c>
      <c r="AD72" s="80">
        <f t="shared" si="102"/>
        <v>3.6847492323439202E-2</v>
      </c>
      <c r="AE72" s="80">
        <f t="shared" si="102"/>
        <v>3.3563672260612076E-2</v>
      </c>
      <c r="AF72" s="80">
        <f t="shared" si="102"/>
        <v>3.2951289398280847E-2</v>
      </c>
      <c r="AG72" s="80"/>
      <c r="AH72" s="80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</row>
    <row r="73" spans="2:70">
      <c r="B73" s="84" t="s">
        <v>11</v>
      </c>
      <c r="C73" s="62"/>
      <c r="D73" s="62"/>
      <c r="E73" s="80">
        <f>E38/C38-1</f>
        <v>-0.20339313572542905</v>
      </c>
      <c r="F73" s="80">
        <f t="shared" ref="F73:H73" si="103">F38/D38-1</f>
        <v>-0.24868282402528974</v>
      </c>
      <c r="G73" s="80">
        <f t="shared" si="103"/>
        <v>-0.25899632802937578</v>
      </c>
      <c r="H73" s="80">
        <f t="shared" si="103"/>
        <v>-0.16830294530154277</v>
      </c>
      <c r="I73" s="80"/>
      <c r="J73" s="80"/>
      <c r="K73" s="80" t="e">
        <f t="shared" ref="K73:K77" si="104">K38/J38-1</f>
        <v>#DIV/0!</v>
      </c>
      <c r="L73" s="80">
        <f t="shared" ref="L73:L77" si="105">L38/K38-1</f>
        <v>-1</v>
      </c>
      <c r="M73" s="80" t="e">
        <f t="shared" ref="M73:M77" si="106">M38/L38-1</f>
        <v>#DIV/0!</v>
      </c>
      <c r="N73" s="80">
        <f t="shared" ref="N73:N77" si="107">N38/M38-1</f>
        <v>0.17899474868717169</v>
      </c>
      <c r="O73" s="80">
        <f t="shared" ref="O73:O77" si="108">O38/N38-1</f>
        <v>0.15773733774497334</v>
      </c>
      <c r="P73" s="80">
        <f t="shared" ref="P73:P77" si="109">P38/O38-1</f>
        <v>-2.1489420170376472E-2</v>
      </c>
      <c r="Q73" s="80">
        <f t="shared" ref="Q73:Q77" si="110">Q38/P38-1</f>
        <v>-1.7861154796675049E-2</v>
      </c>
      <c r="R73" s="80">
        <f t="shared" ref="R73:R77" si="111">R38/Q38-1</f>
        <v>0.11460597049067833</v>
      </c>
      <c r="S73" s="80">
        <f t="shared" ref="S73:S77" si="112">S38/R38-1</f>
        <v>0.12321703437660347</v>
      </c>
      <c r="T73" s="80">
        <f t="shared" ref="T73:T77" si="113">T38/S38-1</f>
        <v>0.41858712285590283</v>
      </c>
      <c r="U73" s="80">
        <f t="shared" ref="U73:Z77" si="114">U38/T38-1</f>
        <v>0.33392368378682979</v>
      </c>
      <c r="V73" s="80">
        <f t="shared" si="114"/>
        <v>0.16214846107423053</v>
      </c>
      <c r="W73" s="80">
        <f t="shared" si="114"/>
        <v>-0.22722363009430424</v>
      </c>
      <c r="X73" s="80">
        <f t="shared" si="114"/>
        <v>0.30782463779802693</v>
      </c>
      <c r="Y73" s="80">
        <f t="shared" si="114"/>
        <v>7.7689857157537734E-2</v>
      </c>
      <c r="Z73" s="80">
        <f t="shared" si="114"/>
        <v>-5.8548679317249941E-2</v>
      </c>
      <c r="AA73" s="80">
        <f t="shared" ref="AA73:AF73" si="115">AA38/Z38-1</f>
        <v>-0.22515952597994526</v>
      </c>
      <c r="AB73" s="80">
        <f t="shared" si="115"/>
        <v>-0.21673202614379083</v>
      </c>
      <c r="AC73" s="80">
        <f t="shared" si="115"/>
        <v>0.22198782176858844</v>
      </c>
      <c r="AD73" s="80">
        <f t="shared" si="115"/>
        <v>0.11572637303761524</v>
      </c>
      <c r="AE73" s="80">
        <f t="shared" si="115"/>
        <v>7.1224517419622879E-2</v>
      </c>
      <c r="AF73" s="80">
        <f t="shared" si="115"/>
        <v>0.16364626423966544</v>
      </c>
      <c r="AG73" s="80"/>
      <c r="AH73" s="80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</row>
    <row r="74" spans="2:70">
      <c r="B74" s="84" t="s">
        <v>12</v>
      </c>
      <c r="C74" s="62"/>
      <c r="D74" s="62"/>
      <c r="E74" s="80">
        <f t="shared" ref="E74:H74" si="116">E39/C39-1</f>
        <v>-8.5659898477157381E-2</v>
      </c>
      <c r="F74" s="80">
        <f t="shared" si="116"/>
        <v>-0.10168434185901432</v>
      </c>
      <c r="G74" s="80">
        <f t="shared" si="116"/>
        <v>-0.10617626648160994</v>
      </c>
      <c r="H74" s="80">
        <f t="shared" si="116"/>
        <v>-5.902777777777779E-2</v>
      </c>
      <c r="I74" s="80"/>
      <c r="J74" s="80"/>
      <c r="K74" s="80" t="e">
        <f t="shared" si="104"/>
        <v>#DIV/0!</v>
      </c>
      <c r="L74" s="80">
        <f t="shared" si="105"/>
        <v>-1</v>
      </c>
      <c r="M74" s="80" t="e">
        <f t="shared" si="106"/>
        <v>#DIV/0!</v>
      </c>
      <c r="N74" s="80">
        <f t="shared" si="107"/>
        <v>1.5375464684014872</v>
      </c>
      <c r="O74" s="80">
        <f t="shared" si="108"/>
        <v>-0.30706123644887195</v>
      </c>
      <c r="P74" s="80">
        <f t="shared" si="109"/>
        <v>1.1475687103594079</v>
      </c>
      <c r="Q74" s="80">
        <f t="shared" si="110"/>
        <v>-0.30370151604646589</v>
      </c>
      <c r="R74" s="80">
        <f t="shared" si="111"/>
        <v>0.37650219143220709</v>
      </c>
      <c r="S74" s="80">
        <f t="shared" si="112"/>
        <v>0.25328677074774042</v>
      </c>
      <c r="T74" s="80">
        <f t="shared" si="113"/>
        <v>0.2309457465989182</v>
      </c>
      <c r="U74" s="80">
        <f t="shared" si="114"/>
        <v>0.16111850865512656</v>
      </c>
      <c r="V74" s="80">
        <f t="shared" si="114"/>
        <v>0.17494266055045871</v>
      </c>
      <c r="W74" s="80">
        <f t="shared" si="114"/>
        <v>-0.14869942901761746</v>
      </c>
      <c r="X74" s="80">
        <f t="shared" si="114"/>
        <v>0.44519605595046996</v>
      </c>
      <c r="Y74" s="80">
        <f t="shared" si="114"/>
        <v>0.30900436334787784</v>
      </c>
      <c r="Z74" s="80">
        <f t="shared" si="114"/>
        <v>-3.6666666666666625E-2</v>
      </c>
      <c r="AA74" s="80">
        <f t="shared" ref="AA74:AF74" si="117">AA39/Z39-1</f>
        <v>-9.3740169864737322E-2</v>
      </c>
      <c r="AB74" s="80">
        <f t="shared" si="117"/>
        <v>-8.2610204790003472E-2</v>
      </c>
      <c r="AC74" s="80">
        <f t="shared" si="117"/>
        <v>2.3841216968822465E-2</v>
      </c>
      <c r="AD74" s="80">
        <f t="shared" si="117"/>
        <v>0.16644120817568853</v>
      </c>
      <c r="AE74" s="80">
        <f t="shared" si="117"/>
        <v>0.12223520872531934</v>
      </c>
      <c r="AF74" s="80">
        <f t="shared" si="117"/>
        <v>0.26214716752537592</v>
      </c>
      <c r="AG74" s="80"/>
      <c r="AH74" s="80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</row>
    <row r="75" spans="2:70">
      <c r="B75" s="84" t="s">
        <v>31</v>
      </c>
      <c r="C75" s="62"/>
      <c r="D75" s="62"/>
      <c r="E75" s="80">
        <f t="shared" ref="E75:H75" si="118">E40/C40-1</f>
        <v>3.6014405762305746E-3</v>
      </c>
      <c r="F75" s="80">
        <f t="shared" si="118"/>
        <v>8.0049261083743772E-2</v>
      </c>
      <c r="G75" s="80">
        <f t="shared" si="118"/>
        <v>1.1961722488038173E-2</v>
      </c>
      <c r="H75" s="80">
        <f t="shared" si="118"/>
        <v>-1.9384264538198415E-2</v>
      </c>
      <c r="I75" s="80"/>
      <c r="J75" s="80"/>
      <c r="K75" s="80" t="e">
        <f t="shared" si="104"/>
        <v>#DIV/0!</v>
      </c>
      <c r="L75" s="80">
        <f t="shared" si="105"/>
        <v>-1</v>
      </c>
      <c r="M75" s="80" t="e">
        <f t="shared" si="106"/>
        <v>#DIV/0!</v>
      </c>
      <c r="N75" s="80">
        <f t="shared" si="107"/>
        <v>-0.3078277886497065</v>
      </c>
      <c r="O75" s="80">
        <f t="shared" si="108"/>
        <v>1.6717557251908399</v>
      </c>
      <c r="P75" s="80">
        <f t="shared" si="109"/>
        <v>-0.41068783068783066</v>
      </c>
      <c r="Q75" s="80">
        <f t="shared" si="110"/>
        <v>1.0299874304183878</v>
      </c>
      <c r="R75" s="80">
        <f t="shared" si="111"/>
        <v>0.13737284387439175</v>
      </c>
      <c r="S75" s="80">
        <f t="shared" si="112"/>
        <v>-8.7416394462591307E-2</v>
      </c>
      <c r="T75" s="80">
        <f t="shared" si="113"/>
        <v>2.2157831941365114E-3</v>
      </c>
      <c r="U75" s="80">
        <f t="shared" si="114"/>
        <v>-5.6972789115646294E-2</v>
      </c>
      <c r="V75" s="80">
        <f t="shared" si="114"/>
        <v>5.2840396753832231E-2</v>
      </c>
      <c r="W75" s="80">
        <f t="shared" si="114"/>
        <v>3.6570743405275774E-2</v>
      </c>
      <c r="X75" s="80">
        <f t="shared" si="114"/>
        <v>0.24184086590101628</v>
      </c>
      <c r="Y75" s="80">
        <f t="shared" si="114"/>
        <v>0.1576846307385229</v>
      </c>
      <c r="Z75" s="80">
        <f t="shared" si="114"/>
        <v>-5.4597701149425304E-2</v>
      </c>
      <c r="AA75" s="80">
        <f t="shared" ref="AA75:AF75" si="119">AA40/Z40-1</f>
        <v>4.133738601823711E-2</v>
      </c>
      <c r="AB75" s="80">
        <f t="shared" si="119"/>
        <v>-4.086398131932234E-3</v>
      </c>
      <c r="AC75" s="80">
        <f t="shared" si="119"/>
        <v>-0.3468696519157235</v>
      </c>
      <c r="AD75" s="80">
        <f t="shared" si="119"/>
        <v>0.16644120817568853</v>
      </c>
      <c r="AE75" s="80">
        <f t="shared" si="119"/>
        <v>-3.8084106806869356E-2</v>
      </c>
      <c r="AF75" s="80">
        <f t="shared" si="119"/>
        <v>0.19202788044063301</v>
      </c>
      <c r="AG75" s="80"/>
      <c r="AH75" s="80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</row>
    <row r="76" spans="2:70">
      <c r="B76" s="84" t="s">
        <v>32</v>
      </c>
      <c r="C76" s="62"/>
      <c r="D76" s="62"/>
      <c r="E76" s="80">
        <f t="shared" ref="E76:H76" si="120">E41/C41-1</f>
        <v>-7.4892241379310387E-2</v>
      </c>
      <c r="F76" s="80">
        <f t="shared" si="120"/>
        <v>-9.2882991556091699E-2</v>
      </c>
      <c r="G76" s="80">
        <f t="shared" si="120"/>
        <v>-0.15026208503203264</v>
      </c>
      <c r="H76" s="80">
        <f t="shared" si="120"/>
        <v>-4.1888297872340385E-2</v>
      </c>
      <c r="I76" s="80"/>
      <c r="J76" s="80"/>
      <c r="K76" s="80" t="e">
        <f t="shared" si="104"/>
        <v>#DIV/0!</v>
      </c>
      <c r="L76" s="80">
        <f t="shared" si="105"/>
        <v>-1</v>
      </c>
      <c r="M76" s="80" t="e">
        <f t="shared" si="106"/>
        <v>#DIV/0!</v>
      </c>
      <c r="N76" s="80">
        <f t="shared" si="107"/>
        <v>0.30530973451327426</v>
      </c>
      <c r="O76" s="80">
        <f t="shared" si="108"/>
        <v>0.567457627118644</v>
      </c>
      <c r="P76" s="80">
        <f t="shared" si="109"/>
        <v>7.6124567474048499E-2</v>
      </c>
      <c r="Q76" s="80">
        <f t="shared" si="110"/>
        <v>0.14437299035369766</v>
      </c>
      <c r="R76" s="80">
        <f t="shared" si="111"/>
        <v>0.19970497330710879</v>
      </c>
      <c r="S76" s="80">
        <f t="shared" si="112"/>
        <v>-6.0893494935301273E-3</v>
      </c>
      <c r="T76" s="80">
        <f t="shared" si="113"/>
        <v>-4.3298969072164906E-2</v>
      </c>
      <c r="U76" s="80">
        <f t="shared" si="114"/>
        <v>0.29864532019704426</v>
      </c>
      <c r="V76" s="80">
        <f t="shared" si="114"/>
        <v>0.20317686107159783</v>
      </c>
      <c r="W76" s="80">
        <f t="shared" si="114"/>
        <v>-0.10096551724137925</v>
      </c>
      <c r="X76" s="80">
        <f t="shared" si="114"/>
        <v>0.43996843904791105</v>
      </c>
      <c r="Y76" s="80">
        <f t="shared" si="114"/>
        <v>0.17929984779299857</v>
      </c>
      <c r="Z76" s="80">
        <f t="shared" si="114"/>
        <v>-9.2927207021166747E-2</v>
      </c>
      <c r="AA76" s="80">
        <f t="shared" ref="AA76:AF76" si="121">AA41/Z41-1</f>
        <v>-8.3380762663631147E-2</v>
      </c>
      <c r="AB76" s="80">
        <f t="shared" si="121"/>
        <v>-9.9658491151816242E-2</v>
      </c>
      <c r="AC76" s="80">
        <f t="shared" si="121"/>
        <v>9.7773767321946314E-2</v>
      </c>
      <c r="AD76" s="80">
        <f t="shared" si="121"/>
        <v>0.16644120817568853</v>
      </c>
      <c r="AE76" s="80">
        <f t="shared" si="121"/>
        <v>0.12223520872531934</v>
      </c>
      <c r="AF76" s="80">
        <f t="shared" si="121"/>
        <v>0.19202788044063301</v>
      </c>
      <c r="AG76" s="80"/>
      <c r="AH76" s="80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</row>
    <row r="77" spans="2:70">
      <c r="B77" s="84" t="s">
        <v>14</v>
      </c>
      <c r="C77" s="62"/>
      <c r="D77" s="62"/>
      <c r="E77" s="80">
        <f t="shared" ref="E77:H77" si="122">E42/C42-1</f>
        <v>0.22784810126582289</v>
      </c>
      <c r="F77" s="80">
        <f t="shared" si="122"/>
        <v>0.25035765379113029</v>
      </c>
      <c r="G77" s="80">
        <f t="shared" si="122"/>
        <v>2.3430178069353325E-2</v>
      </c>
      <c r="H77" s="80">
        <f t="shared" si="122"/>
        <v>-0.3832951945080092</v>
      </c>
      <c r="I77" s="80"/>
      <c r="J77" s="80"/>
      <c r="K77" s="80" t="e">
        <f t="shared" si="104"/>
        <v>#DIV/0!</v>
      </c>
      <c r="L77" s="80" t="e">
        <f t="shared" si="105"/>
        <v>#DIV/0!</v>
      </c>
      <c r="M77" s="80" t="e">
        <f t="shared" si="106"/>
        <v>#DIV/0!</v>
      </c>
      <c r="N77" s="80" t="e">
        <f t="shared" si="107"/>
        <v>#DIV/0!</v>
      </c>
      <c r="O77" s="80">
        <f t="shared" si="108"/>
        <v>0.20195202332287621</v>
      </c>
      <c r="P77" s="80">
        <f t="shared" si="109"/>
        <v>-0.13572370155549707</v>
      </c>
      <c r="Q77" s="80">
        <f t="shared" si="110"/>
        <v>2.1353181624061968E-4</v>
      </c>
      <c r="R77" s="80">
        <f t="shared" si="111"/>
        <v>0.13419134465826943</v>
      </c>
      <c r="S77" s="80">
        <f t="shared" si="112"/>
        <v>5.286509451719601E-2</v>
      </c>
      <c r="T77" s="80">
        <f t="shared" si="113"/>
        <v>-0.92284510279657772</v>
      </c>
      <c r="U77" s="80">
        <f t="shared" si="114"/>
        <v>0.38430983118172768</v>
      </c>
      <c r="V77" s="80">
        <f t="shared" si="114"/>
        <v>0.19775227164036346</v>
      </c>
      <c r="W77" s="80">
        <f t="shared" si="114"/>
        <v>-0.15432222000399276</v>
      </c>
      <c r="X77" s="80">
        <f t="shared" si="114"/>
        <v>0.73040604343720483</v>
      </c>
      <c r="Y77" s="80">
        <f t="shared" si="114"/>
        <v>0.55388813096862211</v>
      </c>
      <c r="Z77" s="80">
        <f t="shared" si="114"/>
        <v>0.3766461808604038</v>
      </c>
      <c r="AA77" s="80">
        <f t="shared" ref="AA77:AF77" si="123">AA42/Z42-1</f>
        <v>0.23788265306122458</v>
      </c>
      <c r="AB77" s="80">
        <f t="shared" si="123"/>
        <v>-0.1597114889232355</v>
      </c>
      <c r="AC77" s="80">
        <f t="shared" si="123"/>
        <v>0.46392271240051075</v>
      </c>
      <c r="AD77" s="80">
        <f t="shared" si="123"/>
        <v>0.24420395538740136</v>
      </c>
      <c r="AE77" s="80">
        <f t="shared" si="123"/>
        <v>0.12223520872531934</v>
      </c>
      <c r="AF77" s="80">
        <f t="shared" si="123"/>
        <v>0.19202788044063301</v>
      </c>
      <c r="AG77" s="80"/>
      <c r="AH77" s="80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</row>
    <row r="78" spans="2:70">
      <c r="B78" s="85" t="s">
        <v>539</v>
      </c>
      <c r="C78" s="81"/>
      <c r="D78" s="81"/>
      <c r="E78" s="86">
        <f>E44/C44-1</f>
        <v>-0.11021213616181547</v>
      </c>
      <c r="F78" s="86">
        <f>F44/D44-1</f>
        <v>-0.13307178454034563</v>
      </c>
      <c r="G78" s="86">
        <f>G44/E44-1</f>
        <v>-0.1586826347305389</v>
      </c>
      <c r="H78" s="86">
        <f>H44/F44-1</f>
        <v>-0.13307240704500978</v>
      </c>
      <c r="I78" s="86"/>
      <c r="J78" s="86"/>
      <c r="K78" s="86">
        <f t="shared" ref="K78" si="124">K44/J44-1</f>
        <v>5.7754133897435445E-2</v>
      </c>
      <c r="L78" s="86">
        <f t="shared" ref="L78" si="125">L44/K44-1</f>
        <v>-0.32754984852385016</v>
      </c>
      <c r="M78" s="86">
        <f t="shared" ref="M78" si="126">M44/L44-1</f>
        <v>7.5145572462328003E-2</v>
      </c>
      <c r="N78" s="86">
        <f t="shared" ref="N78" si="127">N44/M44-1</f>
        <v>-0.4479804999623419</v>
      </c>
      <c r="O78" s="86">
        <f t="shared" ref="O78" si="128">O44/N44-1</f>
        <v>0.20763305756421846</v>
      </c>
      <c r="P78" s="86">
        <f t="shared" ref="P78" si="129">P44/O44-1</f>
        <v>-8.2782987377133521E-3</v>
      </c>
      <c r="Q78" s="86">
        <f t="shared" ref="Q78" si="130">Q44/P44-1</f>
        <v>3.954141077291129E-2</v>
      </c>
      <c r="R78" s="86">
        <f t="shared" ref="R78" si="131">R44/Q44-1</f>
        <v>0.15409215442092172</v>
      </c>
      <c r="S78" s="86">
        <f t="shared" ref="S78" si="132">S44/R44-1</f>
        <v>6.9120008287149703E-2</v>
      </c>
      <c r="T78" s="86">
        <f t="shared" ref="T78" si="133">T44/S44-1</f>
        <v>0.24972345356038406</v>
      </c>
      <c r="U78" s="86">
        <f t="shared" ref="U78:Z78" si="134">U44/T44-1</f>
        <v>-0.11710396247504473</v>
      </c>
      <c r="V78" s="86">
        <f t="shared" si="134"/>
        <v>0.16233205514738169</v>
      </c>
      <c r="W78" s="86">
        <f t="shared" si="134"/>
        <v>-0.17523215915887558</v>
      </c>
      <c r="X78" s="86">
        <f t="shared" si="134"/>
        <v>0.34692600112975391</v>
      </c>
      <c r="Y78" s="86">
        <f t="shared" si="134"/>
        <v>0.15335789175403791</v>
      </c>
      <c r="Z78" s="86">
        <f t="shared" si="134"/>
        <v>-3.8573043093705461E-2</v>
      </c>
      <c r="AA78" s="86">
        <f t="shared" ref="AA78" si="135">AA44/Z44-1</f>
        <v>-0.12123070632730248</v>
      </c>
      <c r="AB78" s="86">
        <f t="shared" ref="AB78" si="136">AB44/AA44-1</f>
        <v>-0.14650459462603238</v>
      </c>
      <c r="AC78" s="86">
        <f t="shared" ref="AC78" si="137">AC44/AB44-1</f>
        <v>8.4682768393064434E-2</v>
      </c>
      <c r="AD78" s="86">
        <f t="shared" ref="AD78" si="138">AD44/AC44-1</f>
        <v>0.16644120817568875</v>
      </c>
      <c r="AE78" s="86">
        <f t="shared" ref="AE78" si="139">AE44/AD44-1</f>
        <v>0.12223520872531934</v>
      </c>
      <c r="AF78" s="86">
        <f t="shared" ref="AF78" si="140">AF44/AE44-1</f>
        <v>0.19202788044063301</v>
      </c>
      <c r="AG78" s="80"/>
      <c r="AH78" s="80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</row>
    <row r="79" spans="2:70">
      <c r="B79" s="84" t="s">
        <v>54</v>
      </c>
      <c r="C79" s="80">
        <f t="shared" ref="C79:D79" si="141">C46/C44</f>
        <v>0.76270350271336951</v>
      </c>
      <c r="D79" s="80">
        <f t="shared" si="141"/>
        <v>0.7631216201887393</v>
      </c>
      <c r="E79" s="80">
        <f>E46/E44</f>
        <v>0.74384564204923487</v>
      </c>
      <c r="F79" s="80">
        <f t="shared" ref="F79:H79" si="142">F46/F44</f>
        <v>0.73055283757338552</v>
      </c>
      <c r="G79" s="80">
        <f t="shared" si="142"/>
        <v>0.73006458415711084</v>
      </c>
      <c r="H79" s="80">
        <f t="shared" si="142"/>
        <v>0.72248871331828446</v>
      </c>
      <c r="I79" s="80"/>
      <c r="J79" s="80"/>
      <c r="K79" s="80">
        <f t="shared" ref="K79:M79" si="143">K46/K44</f>
        <v>0.43637506682771326</v>
      </c>
      <c r="L79" s="80">
        <f t="shared" si="143"/>
        <v>0.4920091576304999</v>
      </c>
      <c r="M79" s="80">
        <f t="shared" si="143"/>
        <v>0.50867162840377678</v>
      </c>
      <c r="N79" s="80">
        <f t="shared" ref="N79:Q79" si="144">N46/N44</f>
        <v>0.61716879798568647</v>
      </c>
      <c r="O79" s="80">
        <f t="shared" si="144"/>
        <v>0.61215246038022653</v>
      </c>
      <c r="P79" s="80">
        <f t="shared" si="144"/>
        <v>0.62558903031370072</v>
      </c>
      <c r="Q79" s="80">
        <f t="shared" si="144"/>
        <v>0.62722789539227897</v>
      </c>
      <c r="R79" s="80">
        <f t="shared" ref="R79:T79" si="145">R46/R44</f>
        <v>0.61067661124635286</v>
      </c>
      <c r="S79" s="80">
        <f t="shared" si="145"/>
        <v>0.62895945869566972</v>
      </c>
      <c r="T79" s="80">
        <f t="shared" si="145"/>
        <v>0.65468383545358799</v>
      </c>
      <c r="U79" s="80">
        <f t="shared" ref="U79:Z79" si="146">U46/U44</f>
        <v>0.74628984573954282</v>
      </c>
      <c r="V79" s="80">
        <f t="shared" si="146"/>
        <v>0.74133534800264422</v>
      </c>
      <c r="W79" s="80">
        <f t="shared" si="146"/>
        <v>0.72591258148730553</v>
      </c>
      <c r="X79" s="80">
        <f t="shared" si="146"/>
        <v>0.74060640408047607</v>
      </c>
      <c r="Y79" s="80">
        <f t="shared" si="146"/>
        <v>0.74679376934794361</v>
      </c>
      <c r="Z79" s="80">
        <f t="shared" si="146"/>
        <v>0.76290503935398135</v>
      </c>
      <c r="AA79" s="80">
        <f t="shared" ref="AA79:AF79" si="147">AA46/AA44</f>
        <v>0.73752471792485752</v>
      </c>
      <c r="AB79" s="80">
        <f t="shared" si="147"/>
        <v>0.72640545144804092</v>
      </c>
      <c r="AC79" s="80">
        <f t="shared" si="147"/>
        <v>0</v>
      </c>
      <c r="AD79" s="80">
        <f t="shared" si="147"/>
        <v>0</v>
      </c>
      <c r="AE79" s="80">
        <f t="shared" si="147"/>
        <v>0</v>
      </c>
      <c r="AF79" s="80">
        <f t="shared" si="147"/>
        <v>0</v>
      </c>
      <c r="AG79" s="80"/>
      <c r="AH79" s="80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</row>
    <row r="80" spans="2:70">
      <c r="B80" s="84" t="s">
        <v>11</v>
      </c>
      <c r="C80" s="80">
        <f t="shared" ref="C80:D80" si="148">C50/C38</f>
        <v>0.35296411856474258</v>
      </c>
      <c r="D80" s="80">
        <f t="shared" si="148"/>
        <v>0.30642781875658587</v>
      </c>
      <c r="E80" s="80">
        <f>E50/E38</f>
        <v>0.24651162790697675</v>
      </c>
      <c r="F80" s="80">
        <f t="shared" ref="F80:H80" si="149">F50/F38</f>
        <v>0.16774193548387098</v>
      </c>
      <c r="G80" s="80">
        <f t="shared" si="149"/>
        <v>0.1605550049554014</v>
      </c>
      <c r="H80" s="80">
        <f t="shared" si="149"/>
        <v>0.16188870151770657</v>
      </c>
      <c r="I80" s="80"/>
      <c r="J80" s="80"/>
      <c r="K80" s="80">
        <f t="shared" ref="K80:M80" si="150">K50/K38</f>
        <v>0.28331822302810517</v>
      </c>
      <c r="L80" s="80" t="e">
        <f t="shared" si="150"/>
        <v>#DIV/0!</v>
      </c>
      <c r="M80" s="80">
        <f t="shared" si="150"/>
        <v>0.28694673668417103</v>
      </c>
      <c r="N80" s="80">
        <f t="shared" ref="N80:Q80" si="151">N50/N38</f>
        <v>0</v>
      </c>
      <c r="O80" s="80">
        <f t="shared" si="151"/>
        <v>0.30942566639186592</v>
      </c>
      <c r="P80" s="80">
        <f t="shared" si="151"/>
        <v>0</v>
      </c>
      <c r="Q80" s="80">
        <f t="shared" si="151"/>
        <v>0.30195585039460143</v>
      </c>
      <c r="R80" s="80">
        <f t="shared" ref="R80:T80" si="152">R50/R38</f>
        <v>0</v>
      </c>
      <c r="S80" s="80">
        <f t="shared" si="152"/>
        <v>0.28686933284608179</v>
      </c>
      <c r="T80" s="80">
        <f t="shared" si="152"/>
        <v>0.34197391724360005</v>
      </c>
      <c r="U80" s="80">
        <f t="shared" ref="U80:Z84" si="153">U50/U38</f>
        <v>0.39529269764634883</v>
      </c>
      <c r="V80" s="80">
        <f t="shared" si="153"/>
        <v>0.4099227285945744</v>
      </c>
      <c r="W80" s="80">
        <f t="shared" si="153"/>
        <v>0.35138295298766226</v>
      </c>
      <c r="X80" s="80">
        <f t="shared" si="153"/>
        <v>0.3817696023019217</v>
      </c>
      <c r="Y80" s="80">
        <f t="shared" si="153"/>
        <v>0.35586917135501095</v>
      </c>
      <c r="Z80" s="80">
        <f t="shared" si="153"/>
        <v>0.33059860224855669</v>
      </c>
      <c r="AA80" s="80">
        <f t="shared" ref="AA80:AF80" si="154">AA50/AA38</f>
        <v>0.20980392156862746</v>
      </c>
      <c r="AB80" s="80">
        <f t="shared" si="154"/>
        <v>0.16121495327102803</v>
      </c>
      <c r="AC80" s="80">
        <f t="shared" si="154"/>
        <v>0</v>
      </c>
      <c r="AD80" s="80">
        <f t="shared" si="154"/>
        <v>0</v>
      </c>
      <c r="AE80" s="80">
        <f t="shared" si="154"/>
        <v>0</v>
      </c>
      <c r="AF80" s="80">
        <f t="shared" si="154"/>
        <v>0</v>
      </c>
      <c r="AG80" s="80"/>
      <c r="AH80" s="80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</row>
    <row r="81" spans="1:70">
      <c r="B81" s="84" t="s">
        <v>12</v>
      </c>
      <c r="C81" s="80">
        <f t="shared" ref="C81:D84" si="155">C51/C39</f>
        <v>0.30520304568527917</v>
      </c>
      <c r="D81" s="80">
        <f t="shared" si="155"/>
        <v>0.30442919525888956</v>
      </c>
      <c r="E81" s="80">
        <f>E51/E39</f>
        <v>0.21929215822345594</v>
      </c>
      <c r="F81" s="80">
        <f t="shared" ref="F81:H84" si="156">F51/F39</f>
        <v>0.19236111111111112</v>
      </c>
      <c r="G81" s="80">
        <f t="shared" si="156"/>
        <v>0.20341614906832298</v>
      </c>
      <c r="H81" s="80">
        <f t="shared" si="156"/>
        <v>0.19704797047970479</v>
      </c>
      <c r="I81" s="80"/>
      <c r="J81" s="80"/>
      <c r="K81" s="80">
        <f t="shared" ref="K81:M81" si="157">K51/K39</f>
        <v>1.1406844106463879E-3</v>
      </c>
      <c r="L81" s="80" t="e">
        <f t="shared" si="157"/>
        <v>#DIV/0!</v>
      </c>
      <c r="M81" s="80">
        <f t="shared" si="157"/>
        <v>4.4609665427509292E-2</v>
      </c>
      <c r="N81" s="80">
        <f t="shared" ref="N81:Q81" si="158">N51/N39</f>
        <v>0</v>
      </c>
      <c r="O81" s="80">
        <f t="shared" si="158"/>
        <v>0.13742071881606766</v>
      </c>
      <c r="P81" s="80">
        <f t="shared" si="158"/>
        <v>0</v>
      </c>
      <c r="Q81" s="80">
        <f t="shared" si="158"/>
        <v>0.14845185918280787</v>
      </c>
      <c r="R81" s="80">
        <f t="shared" ref="R81:T81" si="159">R51/R39</f>
        <v>0</v>
      </c>
      <c r="S81" s="80">
        <f t="shared" si="159"/>
        <v>0.22045566300606456</v>
      </c>
      <c r="T81" s="80">
        <f t="shared" si="159"/>
        <v>0.25099866844207724</v>
      </c>
      <c r="U81" s="80">
        <f t="shared" si="153"/>
        <v>0.2631880733944954</v>
      </c>
      <c r="V81" s="80">
        <f t="shared" si="153"/>
        <v>0.27436435508271928</v>
      </c>
      <c r="W81" s="80">
        <f t="shared" si="153"/>
        <v>0.22930520522815867</v>
      </c>
      <c r="X81" s="80">
        <f t="shared" si="153"/>
        <v>0.28361761205870684</v>
      </c>
      <c r="Y81" s="80">
        <f t="shared" si="153"/>
        <v>0.30878787878787878</v>
      </c>
      <c r="Z81" s="80">
        <f t="shared" si="153"/>
        <v>0.30481283422459893</v>
      </c>
      <c r="AA81" s="80">
        <f t="shared" ref="AA81:AF81" si="160">AA51/AA39</f>
        <v>0.205831308573412</v>
      </c>
      <c r="AB81" s="80">
        <f t="shared" si="160"/>
        <v>0.20015134317063943</v>
      </c>
      <c r="AC81" s="80">
        <f t="shared" si="160"/>
        <v>0</v>
      </c>
      <c r="AD81" s="80">
        <f t="shared" si="160"/>
        <v>0</v>
      </c>
      <c r="AE81" s="80">
        <f t="shared" si="160"/>
        <v>0</v>
      </c>
      <c r="AF81" s="80">
        <f t="shared" si="160"/>
        <v>0</v>
      </c>
      <c r="AG81" s="80"/>
      <c r="AH81" s="80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</row>
    <row r="82" spans="1:70">
      <c r="B82" s="84" t="s">
        <v>31</v>
      </c>
      <c r="C82" s="80">
        <f t="shared" si="155"/>
        <v>0.2028811524609844</v>
      </c>
      <c r="D82" s="80">
        <f t="shared" si="155"/>
        <v>0.17610837438423646</v>
      </c>
      <c r="E82" s="80">
        <f>E52/E40</f>
        <v>0.14473684210526316</v>
      </c>
      <c r="F82" s="80">
        <f t="shared" si="156"/>
        <v>0.15279361459521096</v>
      </c>
      <c r="G82" s="80">
        <f t="shared" si="156"/>
        <v>0.15011820330969267</v>
      </c>
      <c r="H82" s="80">
        <f t="shared" si="156"/>
        <v>0.16279069767441862</v>
      </c>
      <c r="I82" s="80"/>
      <c r="J82" s="80"/>
      <c r="K82" s="80">
        <f t="shared" ref="K82:M82" si="161">K52/K40</f>
        <v>0.25124378109452739</v>
      </c>
      <c r="L82" s="80" t="e">
        <f t="shared" si="161"/>
        <v>#DIV/0!</v>
      </c>
      <c r="M82" s="80">
        <f t="shared" si="161"/>
        <v>0.26027397260273971</v>
      </c>
      <c r="N82" s="80">
        <f t="shared" ref="N82:Q82" si="162">N52/N40</f>
        <v>0</v>
      </c>
      <c r="O82" s="80">
        <f t="shared" si="162"/>
        <v>0.31746031746031744</v>
      </c>
      <c r="P82" s="80">
        <f t="shared" si="162"/>
        <v>0</v>
      </c>
      <c r="Q82" s="80">
        <f t="shared" si="162"/>
        <v>0.31578947368421051</v>
      </c>
      <c r="R82" s="80">
        <f t="shared" ref="R82:T82" si="163">R52/R40</f>
        <v>0</v>
      </c>
      <c r="S82" s="80">
        <f t="shared" si="163"/>
        <v>0.25311061871484575</v>
      </c>
      <c r="T82" s="80">
        <f t="shared" si="163"/>
        <v>0.25</v>
      </c>
      <c r="U82" s="80">
        <f t="shared" si="153"/>
        <v>0.218214607754734</v>
      </c>
      <c r="V82" s="80">
        <f t="shared" si="153"/>
        <v>0.18430969510106202</v>
      </c>
      <c r="W82" s="80">
        <f t="shared" si="153"/>
        <v>0.14211352557217219</v>
      </c>
      <c r="X82" s="80">
        <f t="shared" si="153"/>
        <v>0.19028609447771125</v>
      </c>
      <c r="Y82" s="80">
        <f t="shared" si="153"/>
        <v>0.2103448275862069</v>
      </c>
      <c r="Z82" s="80">
        <f t="shared" si="153"/>
        <v>0.18966565349544073</v>
      </c>
      <c r="AA82" s="80">
        <f t="shared" ref="AA82:AF82" si="164">AA52/AA40</f>
        <v>0.14886164623467601</v>
      </c>
      <c r="AB82" s="80">
        <f t="shared" si="164"/>
        <v>0.15650644783118406</v>
      </c>
      <c r="AC82" s="80">
        <f t="shared" si="164"/>
        <v>0</v>
      </c>
      <c r="AD82" s="80">
        <f t="shared" si="164"/>
        <v>0</v>
      </c>
      <c r="AE82" s="80">
        <f t="shared" si="164"/>
        <v>0</v>
      </c>
      <c r="AF82" s="80">
        <f t="shared" si="164"/>
        <v>0</v>
      </c>
      <c r="AG82" s="80"/>
      <c r="AH82" s="80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</row>
    <row r="83" spans="1:70">
      <c r="B83" s="84" t="s">
        <v>32</v>
      </c>
      <c r="C83" s="80">
        <f t="shared" si="155"/>
        <v>0.1206896551724138</v>
      </c>
      <c r="D83" s="80">
        <f t="shared" si="155"/>
        <v>-7.2376357056694813E-3</v>
      </c>
      <c r="E83" s="80">
        <f>E53/E41</f>
        <v>2.5626092020966801E-2</v>
      </c>
      <c r="F83" s="80">
        <f t="shared" si="156"/>
        <v>-3.5239361702127658E-2</v>
      </c>
      <c r="G83" s="80">
        <f t="shared" si="156"/>
        <v>-1.9876627827278958E-2</v>
      </c>
      <c r="H83" s="80">
        <f t="shared" si="156"/>
        <v>-5.7598889659958359E-2</v>
      </c>
      <c r="I83" s="80"/>
      <c r="J83" s="80"/>
      <c r="K83" s="80">
        <f t="shared" ref="K83:M83" si="165">K53/K41</f>
        <v>7.6620825147347735E-2</v>
      </c>
      <c r="L83" s="80" t="e">
        <f t="shared" si="165"/>
        <v>#DIV/0!</v>
      </c>
      <c r="M83" s="80">
        <f t="shared" si="165"/>
        <v>9.0265486725663716E-2</v>
      </c>
      <c r="N83" s="80">
        <f t="shared" ref="N83:Q83" si="166">N53/N41</f>
        <v>0</v>
      </c>
      <c r="O83" s="80">
        <f t="shared" si="166"/>
        <v>0.10380622837370242</v>
      </c>
      <c r="P83" s="80">
        <f t="shared" si="166"/>
        <v>0</v>
      </c>
      <c r="Q83" s="80">
        <f t="shared" si="166"/>
        <v>0.10325934251194156</v>
      </c>
      <c r="R83" s="80">
        <f t="shared" ref="R83:T83" si="167">R53/R41</f>
        <v>0</v>
      </c>
      <c r="S83" s="80">
        <f t="shared" si="167"/>
        <v>6.7157584683357877E-2</v>
      </c>
      <c r="T83" s="80">
        <f t="shared" si="167"/>
        <v>6.1576354679802957E-2</v>
      </c>
      <c r="U83" s="80">
        <f t="shared" si="153"/>
        <v>0.10194404931247036</v>
      </c>
      <c r="V83" s="80">
        <f t="shared" si="153"/>
        <v>0.12520197044334974</v>
      </c>
      <c r="W83" s="80">
        <f t="shared" si="153"/>
        <v>7.9165388155876024E-2</v>
      </c>
      <c r="X83" s="80">
        <f t="shared" si="153"/>
        <v>0.13972602739726028</v>
      </c>
      <c r="Y83" s="80">
        <f t="shared" si="153"/>
        <v>0.14403717088280846</v>
      </c>
      <c r="Z83" s="80">
        <f t="shared" si="153"/>
        <v>6.033010813887308E-2</v>
      </c>
      <c r="AA83" s="80">
        <f t="shared" ref="AA83:AF83" si="168">AA53/AA41</f>
        <v>-2.7941633033219497E-3</v>
      </c>
      <c r="AB83" s="80">
        <f t="shared" si="168"/>
        <v>-3.8620689655172416E-2</v>
      </c>
      <c r="AC83" s="80">
        <f t="shared" si="168"/>
        <v>0</v>
      </c>
      <c r="AD83" s="80">
        <f t="shared" si="168"/>
        <v>0</v>
      </c>
      <c r="AE83" s="80">
        <f t="shared" si="168"/>
        <v>0</v>
      </c>
      <c r="AF83" s="80">
        <f t="shared" si="168"/>
        <v>0</v>
      </c>
      <c r="AG83" s="80"/>
      <c r="AH83" s="80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</row>
    <row r="84" spans="1:70">
      <c r="B84" s="84" t="s">
        <v>14</v>
      </c>
      <c r="C84" s="80">
        <f t="shared" si="155"/>
        <v>7.2497123130034521E-2</v>
      </c>
      <c r="D84" s="80">
        <f t="shared" si="155"/>
        <v>-0.10014306151645208</v>
      </c>
      <c r="E84" s="80">
        <f>E54/E42</f>
        <v>9.4657919400187446E-2</v>
      </c>
      <c r="F84" s="80">
        <f t="shared" si="156"/>
        <v>1.2585812356979404E-2</v>
      </c>
      <c r="G84" s="80">
        <f t="shared" si="156"/>
        <v>0.11538461538461539</v>
      </c>
      <c r="H84" s="80">
        <f t="shared" si="156"/>
        <v>-0.26530612244897961</v>
      </c>
      <c r="I84" s="80"/>
      <c r="J84" s="80"/>
      <c r="K84" s="80" t="e">
        <f t="shared" ref="K84:M84" si="169">K54/K42</f>
        <v>#DIV/0!</v>
      </c>
      <c r="L84" s="80" t="e">
        <f t="shared" si="169"/>
        <v>#DIV/0!</v>
      </c>
      <c r="M84" s="80" t="e">
        <f t="shared" si="169"/>
        <v>#DIV/0!</v>
      </c>
      <c r="N84" s="80">
        <f t="shared" ref="N84:Q84" si="170">N54/N42</f>
        <v>0</v>
      </c>
      <c r="O84" s="80">
        <f t="shared" si="170"/>
        <v>8.4365937252834172E-2</v>
      </c>
      <c r="P84" s="80">
        <f t="shared" si="170"/>
        <v>0</v>
      </c>
      <c r="Q84" s="80">
        <f t="shared" si="170"/>
        <v>4.2087285370093624E-2</v>
      </c>
      <c r="R84" s="80">
        <f t="shared" ref="R84:T84" si="171">R54/R42</f>
        <v>0</v>
      </c>
      <c r="S84" s="80">
        <f t="shared" si="171"/>
        <v>3.1413612565445025E-2</v>
      </c>
      <c r="T84" s="80">
        <f t="shared" si="171"/>
        <v>-0.67626613704071503</v>
      </c>
      <c r="U84" s="80">
        <f t="shared" si="153"/>
        <v>-0.5911047345767575</v>
      </c>
      <c r="V84" s="80">
        <f t="shared" si="153"/>
        <v>-0.52645238570572972</v>
      </c>
      <c r="W84" s="80">
        <f t="shared" si="153"/>
        <v>-0.5474504249291785</v>
      </c>
      <c r="X84" s="80">
        <f t="shared" si="153"/>
        <v>-0.22373806275579808</v>
      </c>
      <c r="Y84" s="80">
        <f t="shared" si="153"/>
        <v>-7.7260755048287971E-2</v>
      </c>
      <c r="Z84" s="80">
        <f t="shared" si="153"/>
        <v>-4.464285714285714E-3</v>
      </c>
      <c r="AA84" s="80">
        <f t="shared" ref="AA84:AF84" si="172">AA54/AA42</f>
        <v>5.7702215352910868E-2</v>
      </c>
      <c r="AB84" s="80">
        <f t="shared" si="172"/>
        <v>-1.0423053341508276E-2</v>
      </c>
      <c r="AC84" s="80">
        <f t="shared" si="172"/>
        <v>0</v>
      </c>
      <c r="AD84" s="80">
        <f t="shared" si="172"/>
        <v>0</v>
      </c>
      <c r="AE84" s="80">
        <f t="shared" si="172"/>
        <v>0</v>
      </c>
      <c r="AF84" s="80">
        <f t="shared" si="172"/>
        <v>0</v>
      </c>
      <c r="AG84" s="80"/>
      <c r="AH84" s="80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</row>
    <row r="85" spans="1:70">
      <c r="B85" s="84" t="s">
        <v>55</v>
      </c>
      <c r="C85" s="80">
        <f t="shared" ref="C85:D85" si="173">C56/C44</f>
        <v>0.27025160335471138</v>
      </c>
      <c r="D85" s="80">
        <f t="shared" si="173"/>
        <v>0.21280882197009862</v>
      </c>
      <c r="E85" s="80">
        <f>E56/E44</f>
        <v>0.17542692392991793</v>
      </c>
      <c r="F85" s="80">
        <f t="shared" ref="F85:H85" si="174">F56/F44</f>
        <v>0.11888454011741682</v>
      </c>
      <c r="G85" s="80">
        <f t="shared" si="174"/>
        <v>0.12771846579675761</v>
      </c>
      <c r="H85" s="80">
        <f t="shared" si="174"/>
        <v>9.339729119638826E-2</v>
      </c>
      <c r="I85" s="80"/>
      <c r="J85" s="80"/>
      <c r="K85" s="80">
        <f t="shared" ref="K85:M85" si="175">K56/K44</f>
        <v>8.5202859236085018E-2</v>
      </c>
      <c r="L85" s="80">
        <f t="shared" si="175"/>
        <v>9.1252401669574407E-2</v>
      </c>
      <c r="M85" s="80">
        <f t="shared" si="175"/>
        <v>0.10484693702884616</v>
      </c>
      <c r="N85" s="80">
        <f t="shared" ref="N85:Q85" si="176">N56/N44</f>
        <v>0.18622477456805131</v>
      </c>
      <c r="O85" s="80">
        <f t="shared" si="176"/>
        <v>0.18400213633515805</v>
      </c>
      <c r="P85" s="80">
        <f t="shared" si="176"/>
        <v>0.18136437544662745</v>
      </c>
      <c r="Q85" s="80">
        <f t="shared" si="176"/>
        <v>0.16577833125778332</v>
      </c>
      <c r="R85" s="80">
        <f t="shared" ref="R85:T85" si="177">R56/R44</f>
        <v>0.14215051535712442</v>
      </c>
      <c r="S85" s="80">
        <f t="shared" si="177"/>
        <v>0.15229836332953839</v>
      </c>
      <c r="T85" s="80">
        <f t="shared" si="177"/>
        <v>0.19046757593182448</v>
      </c>
      <c r="U85" s="80">
        <f t="shared" ref="U85:Z85" si="178">U56/U44</f>
        <v>0.28860170359745924</v>
      </c>
      <c r="V85" s="80">
        <f t="shared" si="178"/>
        <v>0.30083419901155289</v>
      </c>
      <c r="W85" s="80">
        <f t="shared" si="178"/>
        <v>0.23932459046426774</v>
      </c>
      <c r="X85" s="80">
        <f t="shared" si="178"/>
        <v>0.28432983848115612</v>
      </c>
      <c r="Y85" s="80">
        <f t="shared" si="178"/>
        <v>0.27463023930028008</v>
      </c>
      <c r="Z85" s="80">
        <f t="shared" si="178"/>
        <v>0.24256363078810181</v>
      </c>
      <c r="AA85" s="80">
        <f t="shared" ref="AA85" si="179">AA56/AA44</f>
        <v>0.14854018843782715</v>
      </c>
      <c r="AB85" s="80">
        <v>0.15</v>
      </c>
      <c r="AC85" s="80">
        <f>+AB85*(1+10%)</f>
        <v>0.16500000000000001</v>
      </c>
      <c r="AD85" s="80">
        <f t="shared" ref="AD85:AF85" si="180">+AC85*(1+10%)</f>
        <v>0.18150000000000002</v>
      </c>
      <c r="AE85" s="80">
        <f t="shared" si="180"/>
        <v>0.19965000000000005</v>
      </c>
      <c r="AF85" s="80">
        <f t="shared" si="180"/>
        <v>0.21961500000000006</v>
      </c>
      <c r="AG85" s="80">
        <f>+AF85*(1+10%)</f>
        <v>0.24157650000000008</v>
      </c>
      <c r="AH85" s="80">
        <f>+AG85*(1+10%)</f>
        <v>0.26573415000000011</v>
      </c>
      <c r="AI85" s="80">
        <v>0.28000000000000003</v>
      </c>
      <c r="AJ85" s="80">
        <v>0.28000000000000003</v>
      </c>
      <c r="AK85" s="80">
        <v>0.28000000000000003</v>
      </c>
      <c r="AL85" s="80">
        <v>0.28000000000000003</v>
      </c>
      <c r="AM85" s="80">
        <v>0.28000000000000003</v>
      </c>
      <c r="AN85" s="80">
        <v>0.28000000000000003</v>
      </c>
      <c r="AO85" s="80">
        <v>0.28000000000000003</v>
      </c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</row>
    <row r="86" spans="1:70">
      <c r="B86" s="84" t="s">
        <v>56</v>
      </c>
      <c r="C86" s="80">
        <f t="shared" ref="C86:D86" si="181">C61/C60</f>
        <v>0.27297830374753451</v>
      </c>
      <c r="D86" s="80">
        <f t="shared" si="181"/>
        <v>0.27738515901060068</v>
      </c>
      <c r="E86" s="80">
        <f>E61/E60</f>
        <v>0.26932084309133492</v>
      </c>
      <c r="F86" s="80">
        <f t="shared" ref="F86:H86" si="182">F61/F60</f>
        <v>0.27817745803357313</v>
      </c>
      <c r="G86" s="80">
        <f t="shared" si="182"/>
        <v>0.27600554785020803</v>
      </c>
      <c r="H86" s="80">
        <f t="shared" si="182"/>
        <v>-0.57835820895522383</v>
      </c>
      <c r="I86" s="80"/>
      <c r="J86" s="80"/>
      <c r="K86" s="80">
        <f t="shared" ref="K86:M86" si="183">K61/K60</f>
        <v>0.33873417721518961</v>
      </c>
      <c r="L86" s="80">
        <f t="shared" si="183"/>
        <v>0.34328358208955262</v>
      </c>
      <c r="M86" s="80">
        <f t="shared" si="183"/>
        <v>0.28064992614475603</v>
      </c>
      <c r="N86" s="80">
        <f t="shared" ref="N86:Q86" si="184">N61/N60</f>
        <v>0.23132983308518137</v>
      </c>
      <c r="O86" s="80">
        <f t="shared" si="184"/>
        <v>0.18386259730631421</v>
      </c>
      <c r="P86" s="80">
        <f t="shared" si="184"/>
        <v>0.21536363636363623</v>
      </c>
      <c r="Q86" s="80">
        <f t="shared" si="184"/>
        <v>0.2403839055001846</v>
      </c>
      <c r="R86" s="80">
        <f t="shared" ref="R86:T86" si="185">R61/R60</f>
        <v>0.32038641569564763</v>
      </c>
      <c r="S86" s="80">
        <f t="shared" si="185"/>
        <v>0.25127291242362532</v>
      </c>
      <c r="T86" s="80">
        <f t="shared" si="185"/>
        <v>0.23988310265048501</v>
      </c>
      <c r="U86" s="80">
        <f t="shared" ref="U86:Z86" si="186">U61/U60</f>
        <v>0.24691955265928689</v>
      </c>
      <c r="V86" s="80">
        <f t="shared" si="186"/>
        <v>0.49617468548705895</v>
      </c>
      <c r="W86" s="80">
        <f t="shared" si="186"/>
        <v>0.25679012345679014</v>
      </c>
      <c r="X86" s="80">
        <f t="shared" si="186"/>
        <v>0.28302387267904511</v>
      </c>
      <c r="Y86" s="80">
        <f t="shared" si="186"/>
        <v>0.2765335929892892</v>
      </c>
      <c r="Z86" s="80">
        <f t="shared" si="186"/>
        <v>0.27474604299551147</v>
      </c>
      <c r="AA86" s="80">
        <f t="shared" ref="AA86:AF86" si="187">AA61/AA60</f>
        <v>0.27149587750294463</v>
      </c>
      <c r="AB86" s="80">
        <f t="shared" si="187"/>
        <v>0.7814569536423841</v>
      </c>
      <c r="AC86" s="80" t="e">
        <f t="shared" si="187"/>
        <v>#DIV/0!</v>
      </c>
      <c r="AD86" s="80" t="e">
        <f t="shared" si="187"/>
        <v>#DIV/0!</v>
      </c>
      <c r="AE86" s="80" t="e">
        <f t="shared" si="187"/>
        <v>#DIV/0!</v>
      </c>
      <c r="AF86" s="80" t="e">
        <f t="shared" si="187"/>
        <v>#DIV/0!</v>
      </c>
      <c r="AG86" s="80"/>
      <c r="AH86" s="80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</row>
    <row r="87" spans="1:70"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</row>
    <row r="88" spans="1:70">
      <c r="A88" s="87" t="s">
        <v>52</v>
      </c>
      <c r="B88" s="88" t="s">
        <v>57</v>
      </c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</row>
    <row r="89" spans="1:70">
      <c r="B89" s="58" t="s">
        <v>58</v>
      </c>
      <c r="C89" s="62"/>
      <c r="D89" s="62"/>
      <c r="E89" s="62">
        <v>7090</v>
      </c>
      <c r="F89" s="62"/>
      <c r="G89" s="62">
        <v>6227</v>
      </c>
      <c r="H89" s="62">
        <f>+AB89</f>
        <v>3666</v>
      </c>
      <c r="I89" s="62"/>
      <c r="J89" s="62">
        <v>6653.6</v>
      </c>
      <c r="K89" s="62">
        <v>6178.7</v>
      </c>
      <c r="L89" s="62">
        <v>5543.3</v>
      </c>
      <c r="M89" s="62">
        <v>4539.8</v>
      </c>
      <c r="N89" s="62">
        <v>4214.8999999999996</v>
      </c>
      <c r="O89" s="62">
        <v>3871</v>
      </c>
      <c r="P89" s="62">
        <v>3770.1</v>
      </c>
      <c r="Q89" s="62">
        <v>4039.9</v>
      </c>
      <c r="R89" s="62">
        <v>3758.8</v>
      </c>
      <c r="S89" s="62">
        <v>3533.5</v>
      </c>
      <c r="T89" s="62">
        <v>3421.2</v>
      </c>
      <c r="U89" s="62">
        <v>2399.1999999999998</v>
      </c>
      <c r="V89" s="62">
        <v>2525.9</v>
      </c>
      <c r="W89" s="62">
        <v>2452.1999999999998</v>
      </c>
      <c r="X89" s="62">
        <v>2891</v>
      </c>
      <c r="Y89" s="62">
        <v>4053</v>
      </c>
      <c r="Z89" s="62">
        <v>7112</v>
      </c>
      <c r="AA89" s="62">
        <v>6277</v>
      </c>
      <c r="AB89" s="62">
        <v>3666</v>
      </c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</row>
    <row r="90" spans="1:70">
      <c r="B90" s="58" t="s">
        <v>331</v>
      </c>
      <c r="C90" s="62"/>
      <c r="D90" s="62"/>
      <c r="E90" s="62">
        <v>8185</v>
      </c>
      <c r="F90" s="62"/>
      <c r="G90" s="62">
        <v>9171</v>
      </c>
      <c r="H90" s="62">
        <f t="shared" ref="H90:H96" si="188">+AB90</f>
        <v>7962</v>
      </c>
      <c r="I90" s="62"/>
      <c r="J90" s="62">
        <v>10135.200000000001</v>
      </c>
      <c r="K90" s="62">
        <v>10172.700000000001</v>
      </c>
      <c r="L90" s="62">
        <v>10122.700000000001</v>
      </c>
      <c r="M90" s="62">
        <v>10200.4</v>
      </c>
      <c r="N90" s="62">
        <v>10331.1</v>
      </c>
      <c r="O90" s="62">
        <v>10489.9</v>
      </c>
      <c r="P90" s="62">
        <v>10702.8</v>
      </c>
      <c r="Q90" s="62">
        <v>10748.1</v>
      </c>
      <c r="R90" s="62">
        <v>11285.5</v>
      </c>
      <c r="S90" s="62">
        <v>11272.7</v>
      </c>
      <c r="T90" s="62">
        <v>11159</v>
      </c>
      <c r="U90" s="62">
        <v>7393.6</v>
      </c>
      <c r="V90" s="62">
        <v>7260.5</v>
      </c>
      <c r="W90" s="62">
        <v>6985.8</v>
      </c>
      <c r="X90" s="62">
        <v>7032</v>
      </c>
      <c r="Y90" s="62">
        <v>7357</v>
      </c>
      <c r="Z90" s="62">
        <v>8178</v>
      </c>
      <c r="AA90" s="62">
        <v>9287</v>
      </c>
      <c r="AB90" s="62">
        <v>7962</v>
      </c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</row>
    <row r="91" spans="1:70">
      <c r="B91" s="58" t="s">
        <v>59</v>
      </c>
      <c r="C91" s="62"/>
      <c r="D91" s="62"/>
      <c r="E91" s="62">
        <v>5098</v>
      </c>
      <c r="F91" s="62"/>
      <c r="G91" s="62">
        <v>5625</v>
      </c>
      <c r="H91" s="62">
        <f t="shared" si="188"/>
        <v>5647</v>
      </c>
      <c r="I91" s="62"/>
      <c r="J91" s="62">
        <v>0</v>
      </c>
      <c r="K91" s="62">
        <v>0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0</v>
      </c>
      <c r="S91" s="62">
        <v>0</v>
      </c>
      <c r="T91" s="62">
        <v>0</v>
      </c>
      <c r="U91" s="62">
        <v>0</v>
      </c>
      <c r="V91" s="62">
        <v>4246.7</v>
      </c>
      <c r="W91" s="62">
        <v>3956.8</v>
      </c>
      <c r="X91" s="62">
        <v>4302</v>
      </c>
      <c r="Y91" s="62">
        <v>4929</v>
      </c>
      <c r="Z91" s="62">
        <v>4984</v>
      </c>
      <c r="AA91" s="62">
        <v>5615</v>
      </c>
      <c r="AB91" s="62">
        <v>5647</v>
      </c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</row>
    <row r="92" spans="1:70">
      <c r="B92" s="58" t="s">
        <v>60</v>
      </c>
      <c r="C92" s="62"/>
      <c r="D92" s="62"/>
      <c r="E92" s="62">
        <v>6314</v>
      </c>
      <c r="F92" s="62"/>
      <c r="G92" s="62">
        <v>5886</v>
      </c>
      <c r="H92" s="62">
        <f t="shared" si="188"/>
        <v>3546</v>
      </c>
      <c r="I92" s="62"/>
      <c r="J92" s="62">
        <v>2174.3000000000002</v>
      </c>
      <c r="K92" s="62">
        <v>2253.4</v>
      </c>
      <c r="L92" s="62">
        <v>1861.5</v>
      </c>
      <c r="M92" s="62">
        <v>1423.6</v>
      </c>
      <c r="N92" s="62">
        <v>1372</v>
      </c>
      <c r="O92" s="62">
        <v>1376.3</v>
      </c>
      <c r="P92" s="62">
        <v>1676.9</v>
      </c>
      <c r="Q92" s="62">
        <v>1887.2</v>
      </c>
      <c r="R92" s="62">
        <v>2073</v>
      </c>
      <c r="S92" s="62">
        <v>2206.5</v>
      </c>
      <c r="T92" s="62">
        <v>2267.6</v>
      </c>
      <c r="U92" s="62">
        <v>2228.5</v>
      </c>
      <c r="V92" s="62">
        <v>2619.3000000000002</v>
      </c>
      <c r="W92" s="62">
        <v>2670.2</v>
      </c>
      <c r="X92" s="62">
        <v>2967</v>
      </c>
      <c r="Y92" s="62">
        <v>3388</v>
      </c>
      <c r="Z92" s="62">
        <v>5341</v>
      </c>
      <c r="AA92" s="62">
        <v>6537</v>
      </c>
      <c r="AB92" s="62">
        <v>3546</v>
      </c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</row>
    <row r="93" spans="1:70">
      <c r="B93" s="58" t="s">
        <v>332</v>
      </c>
      <c r="C93" s="62"/>
      <c r="D93" s="62"/>
      <c r="E93" s="62">
        <v>1775</v>
      </c>
      <c r="F93" s="62"/>
      <c r="G93" s="62">
        <v>1927</v>
      </c>
      <c r="H93" s="62">
        <f t="shared" si="188"/>
        <v>2080</v>
      </c>
      <c r="I93" s="62"/>
      <c r="J93" s="62">
        <v>19.7</v>
      </c>
      <c r="K93" s="62">
        <v>74.5</v>
      </c>
      <c r="L93" s="62">
        <v>705.6</v>
      </c>
      <c r="M93" s="62">
        <v>747.7</v>
      </c>
      <c r="N93" s="62">
        <v>735.8</v>
      </c>
      <c r="O93" s="62">
        <v>25.8</v>
      </c>
      <c r="P93" s="62">
        <v>17.3</v>
      </c>
      <c r="Q93" s="62">
        <v>23.2</v>
      </c>
      <c r="R93" s="62">
        <v>20.9</v>
      </c>
      <c r="S93" s="62">
        <v>48.3</v>
      </c>
      <c r="T93" s="62">
        <v>48.6</v>
      </c>
      <c r="U93" s="62">
        <v>1074.7</v>
      </c>
      <c r="V93" s="62">
        <v>1105.3</v>
      </c>
      <c r="W93" s="62">
        <v>36.200000000000003</v>
      </c>
      <c r="X93" s="62">
        <v>31</v>
      </c>
      <c r="Y93" s="62">
        <v>49</v>
      </c>
      <c r="Z93" s="62">
        <v>1750</v>
      </c>
      <c r="AA93" s="62">
        <v>1762</v>
      </c>
      <c r="AB93" s="62">
        <v>2080</v>
      </c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</row>
    <row r="94" spans="1:70">
      <c r="B94" s="58" t="s">
        <v>61</v>
      </c>
      <c r="C94" s="62"/>
      <c r="D94" s="62"/>
      <c r="E94" s="62">
        <v>483</v>
      </c>
      <c r="F94" s="62"/>
      <c r="G94" s="62">
        <v>567</v>
      </c>
      <c r="H94" s="62">
        <f t="shared" si="188"/>
        <v>533</v>
      </c>
      <c r="I94" s="62"/>
      <c r="J94" s="62">
        <v>266.10000000000002</v>
      </c>
      <c r="K94" s="62">
        <v>323.8</v>
      </c>
      <c r="L94" s="62">
        <v>301.8</v>
      </c>
      <c r="M94" s="62">
        <v>271.39999999999998</v>
      </c>
      <c r="N94" s="62">
        <v>279.5</v>
      </c>
      <c r="O94" s="62">
        <v>273.7</v>
      </c>
      <c r="P94" s="62">
        <v>316.8</v>
      </c>
      <c r="Q94" s="62">
        <v>400</v>
      </c>
      <c r="R94" s="62">
        <v>458.4</v>
      </c>
      <c r="S94" s="62">
        <v>480.4</v>
      </c>
      <c r="T94" s="62">
        <v>364.3</v>
      </c>
      <c r="U94" s="62">
        <v>336.3</v>
      </c>
      <c r="V94" s="62">
        <v>458.4</v>
      </c>
      <c r="W94" s="62">
        <v>1688.6</v>
      </c>
      <c r="X94" s="62">
        <v>1054</v>
      </c>
      <c r="Y94" s="62">
        <v>855</v>
      </c>
      <c r="Z94" s="62">
        <v>536</v>
      </c>
      <c r="AA94" s="62">
        <v>492</v>
      </c>
      <c r="AB94" s="62">
        <v>533</v>
      </c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</row>
    <row r="95" spans="1:70">
      <c r="B95" s="58" t="s">
        <v>62</v>
      </c>
      <c r="C95" s="62"/>
      <c r="D95" s="62"/>
      <c r="E95" s="62">
        <v>1507</v>
      </c>
      <c r="F95" s="62"/>
      <c r="G95" s="62">
        <v>1678</v>
      </c>
      <c r="H95" s="62">
        <f t="shared" si="188"/>
        <v>1725</v>
      </c>
      <c r="I95" s="62"/>
      <c r="J95" s="62">
        <v>701.7</v>
      </c>
      <c r="K95" s="62">
        <v>628</v>
      </c>
      <c r="L95" s="62">
        <v>551.1</v>
      </c>
      <c r="M95" s="62">
        <v>560</v>
      </c>
      <c r="N95" s="62">
        <v>562.4</v>
      </c>
      <c r="O95" s="62">
        <v>600.20000000000005</v>
      </c>
      <c r="P95" s="62">
        <v>649.9</v>
      </c>
      <c r="Q95" s="62">
        <v>758</v>
      </c>
      <c r="R95" s="62">
        <v>849.6</v>
      </c>
      <c r="S95" s="62">
        <v>927</v>
      </c>
      <c r="T95" s="62">
        <v>964.6</v>
      </c>
      <c r="U95" s="62">
        <v>830.1</v>
      </c>
      <c r="V95" s="62">
        <v>1367.6</v>
      </c>
      <c r="W95" s="62">
        <v>1177.4000000000001</v>
      </c>
      <c r="X95" s="62">
        <v>1352</v>
      </c>
      <c r="Y95" s="62">
        <v>1640</v>
      </c>
      <c r="Z95" s="62">
        <v>1520</v>
      </c>
      <c r="AA95" s="62">
        <v>1651</v>
      </c>
      <c r="AB95" s="62">
        <v>1725</v>
      </c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</row>
    <row r="96" spans="1:70">
      <c r="B96" s="58" t="s">
        <v>63</v>
      </c>
      <c r="C96" s="62"/>
      <c r="D96" s="62"/>
      <c r="E96" s="62">
        <v>35</v>
      </c>
      <c r="F96" s="62"/>
      <c r="G96" s="62">
        <v>20</v>
      </c>
      <c r="H96" s="62">
        <f t="shared" si="188"/>
        <v>12</v>
      </c>
      <c r="I96" s="62"/>
      <c r="J96" s="62">
        <v>30.4</v>
      </c>
      <c r="K96" s="62">
        <v>16.8</v>
      </c>
      <c r="L96" s="62">
        <v>11.4</v>
      </c>
      <c r="M96" s="62">
        <v>11.2</v>
      </c>
      <c r="N96" s="62">
        <v>12.2</v>
      </c>
      <c r="O96" s="62">
        <v>28.9</v>
      </c>
      <c r="P96" s="62">
        <v>30.1</v>
      </c>
      <c r="Q96" s="62">
        <v>36.200000000000003</v>
      </c>
      <c r="R96" s="62">
        <v>39.9</v>
      </c>
      <c r="S96" s="62">
        <v>30.4</v>
      </c>
      <c r="T96" s="62">
        <v>35.4</v>
      </c>
      <c r="U96" s="62">
        <v>34.200000000000003</v>
      </c>
      <c r="V96" s="62">
        <v>18.8</v>
      </c>
      <c r="W96" s="62">
        <v>17.399999999999999</v>
      </c>
      <c r="X96" s="62">
        <v>6</v>
      </c>
      <c r="Y96" s="62">
        <v>8</v>
      </c>
      <c r="Z96" s="62">
        <v>16</v>
      </c>
      <c r="AA96" s="62">
        <v>27</v>
      </c>
      <c r="AB96" s="62">
        <v>12</v>
      </c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</row>
    <row r="97" spans="2:70">
      <c r="B97" s="57" t="s">
        <v>64</v>
      </c>
      <c r="C97" s="81">
        <f t="shared" ref="C97:D97" si="189">+SUM(C89:C96)</f>
        <v>0</v>
      </c>
      <c r="D97" s="81">
        <f t="shared" si="189"/>
        <v>0</v>
      </c>
      <c r="E97" s="81">
        <f>+SUM(E89:E96)</f>
        <v>30487</v>
      </c>
      <c r="F97" s="81">
        <f t="shared" ref="F97:H97" si="190">+SUM(F89:F96)</f>
        <v>0</v>
      </c>
      <c r="G97" s="81">
        <f t="shared" si="190"/>
        <v>31101</v>
      </c>
      <c r="H97" s="81">
        <f t="shared" si="190"/>
        <v>25171</v>
      </c>
      <c r="I97" s="81"/>
      <c r="J97" s="81">
        <f t="shared" ref="J97:N97" si="191">+SUM(J89:J96)</f>
        <v>19981.000000000004</v>
      </c>
      <c r="K97" s="81">
        <f t="shared" si="191"/>
        <v>19647.900000000001</v>
      </c>
      <c r="L97" s="81">
        <f t="shared" si="191"/>
        <v>19097.399999999998</v>
      </c>
      <c r="M97" s="81">
        <f t="shared" si="191"/>
        <v>17754.100000000002</v>
      </c>
      <c r="N97" s="81">
        <f t="shared" si="191"/>
        <v>17507.900000000001</v>
      </c>
      <c r="O97" s="81">
        <f t="shared" ref="O97:R97" si="192">+SUM(O89:O96)</f>
        <v>16665.8</v>
      </c>
      <c r="P97" s="81">
        <f t="shared" si="192"/>
        <v>17163.899999999998</v>
      </c>
      <c r="Q97" s="81">
        <f t="shared" si="192"/>
        <v>17892.600000000002</v>
      </c>
      <c r="R97" s="81">
        <f t="shared" si="192"/>
        <v>18486.100000000002</v>
      </c>
      <c r="S97" s="81">
        <f>+SUM(S89:S96)</f>
        <v>18498.800000000003</v>
      </c>
      <c r="T97" s="81">
        <v>18260.699999999997</v>
      </c>
      <c r="U97" s="81">
        <v>14296.6</v>
      </c>
      <c r="V97" s="81">
        <v>19602.499999999996</v>
      </c>
      <c r="W97" s="81">
        <v>18984.600000000002</v>
      </c>
      <c r="X97" s="81">
        <v>19635</v>
      </c>
      <c r="Y97" s="81">
        <v>22279</v>
      </c>
      <c r="Z97" s="81">
        <f>SUM(Z89:Z96)</f>
        <v>29437</v>
      </c>
      <c r="AA97" s="81">
        <f>SUM(AA89:AA96)</f>
        <v>31648</v>
      </c>
      <c r="AB97" s="81">
        <f>SUM(AB89:AB96)</f>
        <v>25171</v>
      </c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</row>
    <row r="98" spans="2:70">
      <c r="B98" s="58" t="s">
        <v>65</v>
      </c>
      <c r="C98" s="62"/>
      <c r="D98" s="62"/>
      <c r="E98" s="62">
        <v>4346</v>
      </c>
      <c r="F98" s="62"/>
      <c r="G98" s="62">
        <v>3890</v>
      </c>
      <c r="H98" s="62">
        <f t="shared" ref="H98:H105" si="193">+AB98</f>
        <v>3677</v>
      </c>
      <c r="I98" s="62"/>
      <c r="J98" s="62">
        <v>3234.1</v>
      </c>
      <c r="K98" s="62">
        <v>3465.5</v>
      </c>
      <c r="L98" s="62">
        <v>2347.5</v>
      </c>
      <c r="M98" s="62">
        <v>2227</v>
      </c>
      <c r="N98" s="62">
        <v>2202.5</v>
      </c>
      <c r="O98" s="62">
        <v>1736.5</v>
      </c>
      <c r="P98" s="62">
        <v>1805.5</v>
      </c>
      <c r="Q98" s="62">
        <v>2234.6999999999998</v>
      </c>
      <c r="R98" s="62">
        <v>2191.1999999999998</v>
      </c>
      <c r="S98" s="62">
        <v>2432.1999999999998</v>
      </c>
      <c r="T98" s="62">
        <v>2699.1</v>
      </c>
      <c r="U98" s="62">
        <v>2414.6999999999998</v>
      </c>
      <c r="V98" s="62">
        <v>2959.2</v>
      </c>
      <c r="W98" s="62">
        <v>2845.5</v>
      </c>
      <c r="X98" s="62">
        <v>3369</v>
      </c>
      <c r="Y98" s="62">
        <v>4465</v>
      </c>
      <c r="Z98" s="62">
        <v>4550</v>
      </c>
      <c r="AA98" s="62">
        <v>3992</v>
      </c>
      <c r="AB98" s="62">
        <v>3677</v>
      </c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</row>
    <row r="99" spans="2:70">
      <c r="B99" s="58" t="s">
        <v>333</v>
      </c>
      <c r="C99" s="62"/>
      <c r="D99" s="62"/>
      <c r="E99" s="62">
        <v>1155</v>
      </c>
      <c r="F99" s="62"/>
      <c r="G99" s="62">
        <v>951</v>
      </c>
      <c r="H99" s="62">
        <f t="shared" si="193"/>
        <v>824</v>
      </c>
      <c r="I99" s="62"/>
      <c r="J99" s="62">
        <f>1503.8+253.8</f>
        <v>1757.6</v>
      </c>
      <c r="K99" s="62">
        <f>1303+189.5</f>
        <v>1492.5</v>
      </c>
      <c r="L99" s="62">
        <f>891.4+214.9</f>
        <v>1106.3</v>
      </c>
      <c r="M99" s="62">
        <f>954.7+238.2</f>
        <v>1192.9000000000001</v>
      </c>
      <c r="N99" s="62">
        <v>1087.4000000000001</v>
      </c>
      <c r="O99" s="62">
        <v>985.3</v>
      </c>
      <c r="P99" s="62">
        <v>949.9</v>
      </c>
      <c r="Q99" s="62">
        <v>1030</v>
      </c>
      <c r="R99" s="62">
        <v>1137.0999999999999</v>
      </c>
      <c r="S99" s="62">
        <v>1196.4000000000001</v>
      </c>
      <c r="T99" s="62">
        <v>1366.5</v>
      </c>
      <c r="U99" s="62">
        <v>849.5</v>
      </c>
      <c r="V99" s="62">
        <v>996</v>
      </c>
      <c r="W99" s="62">
        <v>824.2</v>
      </c>
      <c r="X99" s="62">
        <v>977</v>
      </c>
      <c r="Y99" s="62">
        <v>1180</v>
      </c>
      <c r="Z99" s="62">
        <v>1151</v>
      </c>
      <c r="AA99" s="62">
        <v>1003</v>
      </c>
      <c r="AB99" s="62">
        <v>824</v>
      </c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</row>
    <row r="100" spans="2:70">
      <c r="B100" s="58" t="s">
        <v>66</v>
      </c>
      <c r="C100" s="62"/>
      <c r="D100" s="62"/>
      <c r="E100" s="62">
        <v>762</v>
      </c>
      <c r="F100" s="62"/>
      <c r="G100" s="62">
        <v>630</v>
      </c>
      <c r="H100" s="62">
        <f t="shared" si="193"/>
        <v>486</v>
      </c>
      <c r="I100" s="62"/>
      <c r="J100" s="62">
        <v>105.1</v>
      </c>
      <c r="K100" s="62">
        <v>101.3</v>
      </c>
      <c r="L100" s="62">
        <v>77.599999999999994</v>
      </c>
      <c r="M100" s="62">
        <v>124.4</v>
      </c>
      <c r="N100" s="62">
        <v>95.2</v>
      </c>
      <c r="O100" s="62">
        <v>75.8</v>
      </c>
      <c r="P100" s="62">
        <v>119.1</v>
      </c>
      <c r="Q100" s="62">
        <v>138.30000000000001</v>
      </c>
      <c r="R100" s="62">
        <v>123.8</v>
      </c>
      <c r="S100" s="62">
        <v>105.6</v>
      </c>
      <c r="T100" s="62">
        <v>78.599999999999994</v>
      </c>
      <c r="U100" s="62">
        <v>90.6</v>
      </c>
      <c r="V100" s="62">
        <v>280.7</v>
      </c>
      <c r="W100" s="62">
        <v>600.5</v>
      </c>
      <c r="X100" s="62">
        <v>822</v>
      </c>
      <c r="Y100" s="62">
        <v>378</v>
      </c>
      <c r="Z100" s="62">
        <v>765</v>
      </c>
      <c r="AA100" s="62">
        <v>680</v>
      </c>
      <c r="AB100" s="62">
        <v>486</v>
      </c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</row>
    <row r="101" spans="2:70">
      <c r="B101" s="58" t="s">
        <v>67</v>
      </c>
      <c r="C101" s="62"/>
      <c r="D101" s="62"/>
      <c r="E101" s="62">
        <v>64</v>
      </c>
      <c r="F101" s="62"/>
      <c r="G101" s="62">
        <v>207</v>
      </c>
      <c r="H101" s="62">
        <f t="shared" si="193"/>
        <v>102</v>
      </c>
      <c r="I101" s="62"/>
      <c r="J101" s="62">
        <v>93.5</v>
      </c>
      <c r="K101" s="62">
        <v>143.1</v>
      </c>
      <c r="L101" s="62">
        <v>27.9</v>
      </c>
      <c r="M101" s="62">
        <v>50.3</v>
      </c>
      <c r="N101" s="62">
        <v>45.3</v>
      </c>
      <c r="O101" s="62">
        <v>87</v>
      </c>
      <c r="P101" s="62">
        <v>107.7</v>
      </c>
      <c r="Q101" s="62">
        <v>106.3</v>
      </c>
      <c r="R101" s="62">
        <v>81.2</v>
      </c>
      <c r="S101" s="62">
        <v>131</v>
      </c>
      <c r="T101" s="62">
        <v>155.6</v>
      </c>
      <c r="U101" s="62">
        <v>60.9</v>
      </c>
      <c r="V101" s="62">
        <v>38.4</v>
      </c>
      <c r="W101" s="62">
        <v>158</v>
      </c>
      <c r="X101" s="62">
        <v>22</v>
      </c>
      <c r="Y101" s="62">
        <v>167</v>
      </c>
      <c r="Z101" s="62">
        <v>136</v>
      </c>
      <c r="AA101" s="62">
        <v>42</v>
      </c>
      <c r="AB101" s="62">
        <v>102</v>
      </c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</row>
    <row r="102" spans="2:70">
      <c r="B102" s="58" t="s">
        <v>68</v>
      </c>
      <c r="C102" s="62"/>
      <c r="D102" s="62"/>
      <c r="E102" s="62">
        <v>1404</v>
      </c>
      <c r="F102" s="62"/>
      <c r="G102" s="62">
        <v>1413</v>
      </c>
      <c r="H102" s="62">
        <f t="shared" si="193"/>
        <v>1358</v>
      </c>
      <c r="I102" s="62"/>
      <c r="J102" s="62">
        <v>1062.5999999999999</v>
      </c>
      <c r="K102" s="62">
        <v>999.2</v>
      </c>
      <c r="L102" s="62">
        <v>698.5</v>
      </c>
      <c r="M102" s="62">
        <v>1947.6</v>
      </c>
      <c r="N102" s="62">
        <v>575.5</v>
      </c>
      <c r="O102" s="62">
        <v>494.7</v>
      </c>
      <c r="P102" s="62">
        <v>523.4</v>
      </c>
      <c r="Q102" s="62">
        <v>673.5</v>
      </c>
      <c r="R102" s="62">
        <v>685</v>
      </c>
      <c r="S102" s="62">
        <v>725.4</v>
      </c>
      <c r="T102" s="62">
        <v>880.3</v>
      </c>
      <c r="U102" s="62">
        <v>899.5</v>
      </c>
      <c r="V102" s="62">
        <v>979.4</v>
      </c>
      <c r="W102" s="62">
        <v>1149.0999999999999</v>
      </c>
      <c r="X102" s="62">
        <v>975</v>
      </c>
      <c r="Y102" s="62">
        <v>1136</v>
      </c>
      <c r="Z102" s="62">
        <v>1406</v>
      </c>
      <c r="AA102" s="62">
        <v>1388</v>
      </c>
      <c r="AB102" s="62">
        <v>1358</v>
      </c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</row>
    <row r="103" spans="2:70">
      <c r="B103" s="58" t="s">
        <v>69</v>
      </c>
      <c r="C103" s="62"/>
      <c r="D103" s="62"/>
      <c r="E103" s="62">
        <v>3934</v>
      </c>
      <c r="F103" s="62"/>
      <c r="G103" s="62">
        <v>4240</v>
      </c>
      <c r="H103" s="62">
        <f t="shared" si="193"/>
        <v>4313</v>
      </c>
      <c r="I103" s="62"/>
      <c r="J103" s="62">
        <v>1713.2</v>
      </c>
      <c r="K103" s="62">
        <v>1116.5999999999999</v>
      </c>
      <c r="L103" s="62">
        <v>944.5</v>
      </c>
      <c r="M103" s="62">
        <v>1398.2</v>
      </c>
      <c r="N103" s="62">
        <v>1270.7</v>
      </c>
      <c r="O103" s="62">
        <v>2081</v>
      </c>
      <c r="P103" s="62">
        <v>1419.2</v>
      </c>
      <c r="Q103" s="62">
        <v>1089.9000000000001</v>
      </c>
      <c r="R103" s="62">
        <v>1146.4000000000001</v>
      </c>
      <c r="S103" s="62">
        <v>1049.5999999999999</v>
      </c>
      <c r="T103" s="62">
        <v>2136.6</v>
      </c>
      <c r="U103" s="62">
        <v>2755.7</v>
      </c>
      <c r="V103" s="62">
        <v>2292</v>
      </c>
      <c r="W103" s="62">
        <v>3443.5</v>
      </c>
      <c r="X103" s="62">
        <v>5268</v>
      </c>
      <c r="Y103" s="62">
        <v>4336</v>
      </c>
      <c r="Z103" s="62">
        <v>3922</v>
      </c>
      <c r="AA103" s="62">
        <v>3518</v>
      </c>
      <c r="AB103" s="62">
        <v>4313</v>
      </c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</row>
    <row r="104" spans="2:70">
      <c r="B104" s="57" t="s">
        <v>70</v>
      </c>
      <c r="C104" s="81">
        <f t="shared" ref="C104:H104" si="194">+SUM(C98:C103)</f>
        <v>0</v>
      </c>
      <c r="D104" s="81">
        <f t="shared" si="194"/>
        <v>0</v>
      </c>
      <c r="E104" s="81">
        <f t="shared" si="194"/>
        <v>11665</v>
      </c>
      <c r="F104" s="81">
        <f t="shared" si="194"/>
        <v>0</v>
      </c>
      <c r="G104" s="81">
        <f t="shared" si="194"/>
        <v>11331</v>
      </c>
      <c r="H104" s="81">
        <f t="shared" si="194"/>
        <v>10760</v>
      </c>
      <c r="I104" s="81"/>
      <c r="J104" s="81">
        <f t="shared" ref="J104:O104" si="195">+SUM(J98:J103)</f>
        <v>7966.0999999999995</v>
      </c>
      <c r="K104" s="81">
        <f t="shared" si="195"/>
        <v>7318.2000000000007</v>
      </c>
      <c r="L104" s="81">
        <f t="shared" si="195"/>
        <v>5202.3</v>
      </c>
      <c r="M104" s="81">
        <f t="shared" si="195"/>
        <v>6940.4000000000005</v>
      </c>
      <c r="N104" s="81">
        <f t="shared" si="195"/>
        <v>5276.6</v>
      </c>
      <c r="O104" s="81">
        <f t="shared" si="195"/>
        <v>5460.3</v>
      </c>
      <c r="P104" s="81">
        <f>+SUM(P98:P103)</f>
        <v>4924.8</v>
      </c>
      <c r="Q104" s="81">
        <f>+SUM(Q98:Q103)</f>
        <v>5272.7000000000007</v>
      </c>
      <c r="R104" s="81">
        <f>+SUM(R98:R103)</f>
        <v>5364.6999999999989</v>
      </c>
      <c r="S104" s="81">
        <f>+SUM(S98:S103)</f>
        <v>5640.1999999999989</v>
      </c>
      <c r="T104" s="81">
        <v>7316.7000000000007</v>
      </c>
      <c r="U104" s="81">
        <v>7070.9</v>
      </c>
      <c r="V104" s="81">
        <v>7545.6999999999989</v>
      </c>
      <c r="W104" s="81">
        <v>9020.7999999999993</v>
      </c>
      <c r="X104" s="81">
        <v>11433</v>
      </c>
      <c r="Y104" s="81">
        <v>11662</v>
      </c>
      <c r="Z104" s="81">
        <f>SUM(Z98:Z103)</f>
        <v>11930</v>
      </c>
      <c r="AA104" s="81">
        <f>SUM(AA98:AA103)</f>
        <v>10623</v>
      </c>
      <c r="AB104" s="81">
        <f>SUM(AB98:AB103)</f>
        <v>10760</v>
      </c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</row>
    <row r="105" spans="2:70">
      <c r="B105" s="58" t="s">
        <v>485</v>
      </c>
      <c r="C105" s="62">
        <v>0</v>
      </c>
      <c r="D105" s="62">
        <v>0</v>
      </c>
      <c r="E105" s="62">
        <v>0</v>
      </c>
      <c r="F105" s="62">
        <v>0</v>
      </c>
      <c r="G105" s="62">
        <v>0</v>
      </c>
      <c r="H105" s="62">
        <f t="shared" si="193"/>
        <v>5251</v>
      </c>
      <c r="I105" s="62"/>
      <c r="J105" s="62">
        <v>283.5</v>
      </c>
      <c r="K105" s="62">
        <v>61.6</v>
      </c>
      <c r="L105" s="62">
        <v>74.900000000000006</v>
      </c>
      <c r="M105" s="62">
        <v>0</v>
      </c>
      <c r="N105" s="62">
        <v>2169.3000000000002</v>
      </c>
      <c r="O105" s="62">
        <v>3130.5</v>
      </c>
      <c r="P105" s="62">
        <v>722.1</v>
      </c>
      <c r="Q105" s="62">
        <v>88.5</v>
      </c>
      <c r="R105" s="62">
        <v>0</v>
      </c>
      <c r="S105" s="62">
        <v>0</v>
      </c>
      <c r="T105" s="62">
        <v>0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1075</v>
      </c>
      <c r="AB105" s="62">
        <v>5251</v>
      </c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</row>
    <row r="106" spans="2:70">
      <c r="B106" s="57" t="s">
        <v>87</v>
      </c>
      <c r="C106" s="81">
        <f>+C104+C97+C105</f>
        <v>0</v>
      </c>
      <c r="D106" s="81">
        <f t="shared" ref="D106:H106" si="196">+D104+D97+D105</f>
        <v>0</v>
      </c>
      <c r="E106" s="81">
        <f t="shared" si="196"/>
        <v>42152</v>
      </c>
      <c r="F106" s="81">
        <f t="shared" si="196"/>
        <v>0</v>
      </c>
      <c r="G106" s="81">
        <f t="shared" si="196"/>
        <v>42432</v>
      </c>
      <c r="H106" s="81">
        <f t="shared" si="196"/>
        <v>41182</v>
      </c>
      <c r="I106" s="81"/>
      <c r="J106" s="81">
        <f t="shared" ref="J106:O106" si="197">+J104+J105+J97</f>
        <v>28230.600000000002</v>
      </c>
      <c r="K106" s="81">
        <f t="shared" si="197"/>
        <v>27027.700000000004</v>
      </c>
      <c r="L106" s="81">
        <f t="shared" si="197"/>
        <v>24374.6</v>
      </c>
      <c r="M106" s="81">
        <f t="shared" si="197"/>
        <v>24694.500000000004</v>
      </c>
      <c r="N106" s="81">
        <f t="shared" si="197"/>
        <v>24953.800000000003</v>
      </c>
      <c r="O106" s="81">
        <f t="shared" si="197"/>
        <v>25256.6</v>
      </c>
      <c r="P106" s="81">
        <f t="shared" ref="P106:R106" si="198">+P104+P105+P97</f>
        <v>22810.799999999999</v>
      </c>
      <c r="Q106" s="81">
        <f t="shared" si="198"/>
        <v>23253.800000000003</v>
      </c>
      <c r="R106" s="81">
        <f t="shared" si="198"/>
        <v>23850.800000000003</v>
      </c>
      <c r="S106" s="81">
        <f>+S104+S105+S97</f>
        <v>24139</v>
      </c>
      <c r="T106" s="81">
        <f t="shared" ref="T106" si="199">+T104+T97+T105</f>
        <v>25577.399999999998</v>
      </c>
      <c r="U106" s="81">
        <f t="shared" ref="U106" si="200">+U104+U97+U105</f>
        <v>21367.5</v>
      </c>
      <c r="V106" s="81">
        <f t="shared" ref="V106" si="201">+V104+V97+V105</f>
        <v>27148.199999999997</v>
      </c>
      <c r="W106" s="81">
        <f t="shared" ref="W106" si="202">+W104+W97+W105</f>
        <v>28005.4</v>
      </c>
      <c r="X106" s="81">
        <f t="shared" ref="X106" si="203">+X104+X97+X105</f>
        <v>31068</v>
      </c>
      <c r="Y106" s="81">
        <f t="shared" ref="Y106" si="204">+Y104+Y97+Y105</f>
        <v>33941</v>
      </c>
      <c r="Z106" s="81">
        <f t="shared" ref="Z106" si="205">+Z104+Z97+Z105</f>
        <v>41367</v>
      </c>
      <c r="AA106" s="81">
        <f t="shared" ref="AA106:AB106" si="206">+AA104+AA97+AA105</f>
        <v>43346</v>
      </c>
      <c r="AB106" s="81">
        <f t="shared" si="206"/>
        <v>41182</v>
      </c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</row>
    <row r="107" spans="2:70">
      <c r="B107" s="58" t="s">
        <v>335</v>
      </c>
      <c r="C107" s="62"/>
      <c r="D107" s="62"/>
      <c r="E107" s="62">
        <v>14901</v>
      </c>
      <c r="F107" s="62"/>
      <c r="G107" s="62">
        <v>14769</v>
      </c>
      <c r="H107" s="62">
        <f>+AB107</f>
        <v>14706</v>
      </c>
      <c r="I107" s="62"/>
      <c r="J107" s="62">
        <v>9218.2000000000007</v>
      </c>
      <c r="K107" s="62">
        <v>9434.2000000000007</v>
      </c>
      <c r="L107" s="62">
        <v>9880.6</v>
      </c>
      <c r="M107" s="62">
        <v>10599.2</v>
      </c>
      <c r="N107" s="62">
        <v>10925</v>
      </c>
      <c r="O107" s="62">
        <v>11413.8</v>
      </c>
      <c r="P107" s="62">
        <v>10586.6</v>
      </c>
      <c r="Q107" s="62">
        <v>10634.1</v>
      </c>
      <c r="R107" s="62">
        <v>10948.3</v>
      </c>
      <c r="S107" s="62">
        <v>11269.7</v>
      </c>
      <c r="T107" s="62">
        <v>11948.2</v>
      </c>
      <c r="U107" s="62">
        <v>9905.9</v>
      </c>
      <c r="V107" s="62">
        <v>10278.1</v>
      </c>
      <c r="W107" s="62">
        <v>11820.9</v>
      </c>
      <c r="X107" s="62">
        <v>13347</v>
      </c>
      <c r="Y107" s="62">
        <v>13998</v>
      </c>
      <c r="Z107" s="62">
        <v>15212</v>
      </c>
      <c r="AA107" s="62">
        <v>14904</v>
      </c>
      <c r="AB107" s="62">
        <v>14706</v>
      </c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</row>
    <row r="108" spans="2:70">
      <c r="B108" s="58" t="s">
        <v>334</v>
      </c>
      <c r="C108" s="62"/>
      <c r="D108" s="62"/>
      <c r="E108" s="62">
        <v>849</v>
      </c>
      <c r="F108" s="62"/>
      <c r="G108" s="62">
        <v>841</v>
      </c>
      <c r="H108" s="62">
        <f>+AB108</f>
        <v>809</v>
      </c>
      <c r="I108" s="62"/>
      <c r="J108" s="62">
        <v>1443.3</v>
      </c>
      <c r="K108" s="62">
        <v>1256.9000000000001</v>
      </c>
      <c r="L108" s="62">
        <v>1066.2</v>
      </c>
      <c r="M108" s="62">
        <v>1052</v>
      </c>
      <c r="N108" s="62">
        <v>824.5</v>
      </c>
      <c r="O108" s="62">
        <v>704.9</v>
      </c>
      <c r="P108" s="62">
        <v>609.29999999999995</v>
      </c>
      <c r="Q108" s="62">
        <v>628.20000000000005</v>
      </c>
      <c r="R108" s="62">
        <v>674.8</v>
      </c>
      <c r="S108" s="62">
        <v>694.2</v>
      </c>
      <c r="T108" s="62">
        <v>678.2</v>
      </c>
      <c r="U108" s="62">
        <v>155.69999999999999</v>
      </c>
      <c r="V108" s="62">
        <v>160.5</v>
      </c>
      <c r="W108" s="62">
        <v>214.1</v>
      </c>
      <c r="X108" s="62">
        <v>389</v>
      </c>
      <c r="Y108" s="62">
        <v>785</v>
      </c>
      <c r="Z108" s="62">
        <v>798</v>
      </c>
      <c r="AA108" s="62">
        <v>826</v>
      </c>
      <c r="AB108" s="62">
        <v>809</v>
      </c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</row>
    <row r="109" spans="2:70">
      <c r="B109" s="57" t="s">
        <v>71</v>
      </c>
      <c r="C109" s="81">
        <f t="shared" ref="C109:D109" si="207">+SUM(C107:C108)</f>
        <v>0</v>
      </c>
      <c r="D109" s="81">
        <f t="shared" si="207"/>
        <v>0</v>
      </c>
      <c r="E109" s="81">
        <f>+SUM(E107:E108)</f>
        <v>15750</v>
      </c>
      <c r="F109" s="81">
        <f t="shared" ref="F109:H109" si="208">+SUM(F107:F108)</f>
        <v>0</v>
      </c>
      <c r="G109" s="81">
        <f t="shared" si="208"/>
        <v>15610</v>
      </c>
      <c r="H109" s="81">
        <f t="shared" si="208"/>
        <v>15515</v>
      </c>
      <c r="I109" s="81"/>
      <c r="J109" s="81">
        <f t="shared" ref="J109:N109" si="209">+J107+J108</f>
        <v>10661.5</v>
      </c>
      <c r="K109" s="81">
        <f t="shared" si="209"/>
        <v>10691.1</v>
      </c>
      <c r="L109" s="81">
        <f t="shared" si="209"/>
        <v>10946.800000000001</v>
      </c>
      <c r="M109" s="81">
        <f t="shared" si="209"/>
        <v>11651.2</v>
      </c>
      <c r="N109" s="81">
        <f t="shared" si="209"/>
        <v>11749.5</v>
      </c>
      <c r="O109" s="81">
        <f t="shared" ref="O109:R109" si="210">+O107+O108</f>
        <v>12118.699999999999</v>
      </c>
      <c r="P109" s="81">
        <f t="shared" si="210"/>
        <v>11195.9</v>
      </c>
      <c r="Q109" s="81">
        <f t="shared" si="210"/>
        <v>11262.300000000001</v>
      </c>
      <c r="R109" s="81">
        <f t="shared" si="210"/>
        <v>11623.099999999999</v>
      </c>
      <c r="S109" s="81">
        <f>+S107+S108</f>
        <v>11963.900000000001</v>
      </c>
      <c r="T109" s="81">
        <v>12626.400000000001</v>
      </c>
      <c r="U109" s="81">
        <v>10061.6</v>
      </c>
      <c r="V109" s="81">
        <v>10438.6</v>
      </c>
      <c r="W109" s="81">
        <v>12035</v>
      </c>
      <c r="X109" s="81">
        <v>13736</v>
      </c>
      <c r="Y109" s="81">
        <v>14783</v>
      </c>
      <c r="Z109" s="81">
        <f>SUM(Z107:Z108)</f>
        <v>16010</v>
      </c>
      <c r="AA109" s="81">
        <f>SUM(AA107:AA108)</f>
        <v>15730</v>
      </c>
      <c r="AB109" s="81">
        <f>SUM(AB107:AB108)</f>
        <v>15515</v>
      </c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</row>
    <row r="110" spans="2:70">
      <c r="B110" s="58" t="s">
        <v>72</v>
      </c>
      <c r="C110" s="62"/>
      <c r="D110" s="62"/>
      <c r="E110" s="62">
        <v>11018</v>
      </c>
      <c r="F110" s="62"/>
      <c r="G110" s="62">
        <v>10750</v>
      </c>
      <c r="H110" s="62">
        <f t="shared" ref="H110:H116" si="211">+AB110</f>
        <v>10306</v>
      </c>
      <c r="I110" s="62"/>
      <c r="J110" s="62">
        <v>4670.3</v>
      </c>
      <c r="K110" s="62">
        <v>3961.3</v>
      </c>
      <c r="L110" s="62">
        <v>4357.8</v>
      </c>
      <c r="M110" s="62">
        <v>3341.1</v>
      </c>
      <c r="N110" s="62">
        <v>3066.2</v>
      </c>
      <c r="O110" s="62">
        <v>2988.9</v>
      </c>
      <c r="P110" s="62">
        <v>3132.4</v>
      </c>
      <c r="Q110" s="62">
        <v>3192.2</v>
      </c>
      <c r="R110" s="62">
        <v>4039.9</v>
      </c>
      <c r="S110" s="62">
        <v>4185.8</v>
      </c>
      <c r="T110" s="62">
        <v>4245.5</v>
      </c>
      <c r="U110" s="62">
        <v>3171.6</v>
      </c>
      <c r="V110" s="62">
        <v>3122.2</v>
      </c>
      <c r="W110" s="62">
        <v>3815.4</v>
      </c>
      <c r="X110" s="62">
        <v>2976</v>
      </c>
      <c r="Y110" s="62">
        <v>4347</v>
      </c>
      <c r="Z110" s="62">
        <v>10026</v>
      </c>
      <c r="AA110" s="62">
        <v>10556</v>
      </c>
      <c r="AB110" s="62">
        <v>10306</v>
      </c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</row>
    <row r="111" spans="2:70">
      <c r="B111" s="58" t="s">
        <v>73</v>
      </c>
      <c r="C111" s="62"/>
      <c r="D111" s="62"/>
      <c r="E111" s="62">
        <v>4593</v>
      </c>
      <c r="F111" s="62"/>
      <c r="G111" s="62">
        <v>5125</v>
      </c>
      <c r="H111" s="62">
        <f t="shared" si="211"/>
        <v>5032</v>
      </c>
      <c r="I111" s="62"/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>
        <v>0</v>
      </c>
      <c r="U111" s="62">
        <v>0</v>
      </c>
      <c r="V111" s="62">
        <v>3598.6</v>
      </c>
      <c r="W111" s="62">
        <v>3545.8</v>
      </c>
      <c r="X111" s="62">
        <v>3826</v>
      </c>
      <c r="Y111" s="62">
        <v>4420</v>
      </c>
      <c r="Z111" s="62">
        <v>4511</v>
      </c>
      <c r="AA111" s="62">
        <v>5056</v>
      </c>
      <c r="AB111" s="62">
        <v>5032</v>
      </c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</row>
    <row r="112" spans="2:70">
      <c r="B112" s="58" t="s">
        <v>74</v>
      </c>
      <c r="C112" s="62"/>
      <c r="D112" s="62"/>
      <c r="E112" s="62">
        <v>7</v>
      </c>
      <c r="F112" s="62"/>
      <c r="G112" s="62">
        <v>38</v>
      </c>
      <c r="H112" s="62">
        <f t="shared" si="211"/>
        <v>40</v>
      </c>
      <c r="I112" s="62"/>
      <c r="J112" s="62">
        <v>0</v>
      </c>
      <c r="K112" s="62">
        <v>0</v>
      </c>
      <c r="L112" s="62">
        <v>0</v>
      </c>
      <c r="M112" s="62">
        <v>0</v>
      </c>
      <c r="N112" s="62">
        <v>0</v>
      </c>
      <c r="O112" s="62">
        <v>0</v>
      </c>
      <c r="P112" s="62">
        <v>0.7</v>
      </c>
      <c r="Q112" s="62">
        <v>2.8</v>
      </c>
      <c r="R112" s="62">
        <v>14.8</v>
      </c>
      <c r="S112" s="62">
        <v>19.600000000000001</v>
      </c>
      <c r="T112" s="62">
        <v>0.7</v>
      </c>
      <c r="U112" s="62">
        <v>3</v>
      </c>
      <c r="V112" s="62">
        <v>47.9</v>
      </c>
      <c r="W112" s="62">
        <v>80</v>
      </c>
      <c r="X112" s="62">
        <v>0</v>
      </c>
      <c r="Y112" s="62">
        <v>0</v>
      </c>
      <c r="Z112" s="62">
        <v>13</v>
      </c>
      <c r="AA112" s="62">
        <v>13</v>
      </c>
      <c r="AB112" s="62">
        <v>40</v>
      </c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</row>
    <row r="113" spans="2:70">
      <c r="B113" s="58" t="s">
        <v>336</v>
      </c>
      <c r="C113" s="62"/>
      <c r="D113" s="62"/>
      <c r="E113" s="62">
        <v>78</v>
      </c>
      <c r="F113" s="62"/>
      <c r="G113" s="62">
        <v>86</v>
      </c>
      <c r="H113" s="62">
        <f t="shared" si="211"/>
        <v>87</v>
      </c>
      <c r="I113" s="62"/>
      <c r="J113" s="62">
        <v>250</v>
      </c>
      <c r="K113" s="62">
        <v>241</v>
      </c>
      <c r="L113" s="62">
        <v>192.3</v>
      </c>
      <c r="M113" s="62">
        <v>166.2</v>
      </c>
      <c r="N113" s="62">
        <v>119.2</v>
      </c>
      <c r="O113" s="62">
        <v>98.2</v>
      </c>
      <c r="P113" s="62">
        <v>92.8</v>
      </c>
      <c r="Q113" s="62">
        <v>111.9</v>
      </c>
      <c r="R113" s="62">
        <v>133.4</v>
      </c>
      <c r="S113" s="62">
        <v>142.6</v>
      </c>
      <c r="T113" s="62">
        <v>125.7</v>
      </c>
      <c r="U113" s="62">
        <v>88</v>
      </c>
      <c r="V113" s="62">
        <v>106.5</v>
      </c>
      <c r="W113" s="62">
        <v>107.5</v>
      </c>
      <c r="X113" s="62">
        <v>89</v>
      </c>
      <c r="Y113" s="62">
        <v>66</v>
      </c>
      <c r="Z113" s="62">
        <v>68</v>
      </c>
      <c r="AA113" s="62">
        <v>85</v>
      </c>
      <c r="AB113" s="62">
        <v>87</v>
      </c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</row>
    <row r="114" spans="2:70">
      <c r="B114" s="58" t="s">
        <v>75</v>
      </c>
      <c r="C114" s="62"/>
      <c r="D114" s="62"/>
      <c r="E114" s="62">
        <v>27</v>
      </c>
      <c r="F114" s="62"/>
      <c r="G114" s="62">
        <v>57</v>
      </c>
      <c r="H114" s="62">
        <f t="shared" si="211"/>
        <v>232</v>
      </c>
      <c r="I114" s="62"/>
      <c r="J114" s="62">
        <v>145.6</v>
      </c>
      <c r="K114" s="62">
        <v>164.4</v>
      </c>
      <c r="L114" s="62">
        <v>103.5</v>
      </c>
      <c r="M114" s="62">
        <v>190.4</v>
      </c>
      <c r="N114" s="62">
        <v>100.5</v>
      </c>
      <c r="O114" s="62">
        <v>92.3</v>
      </c>
      <c r="P114" s="62">
        <v>113.2</v>
      </c>
      <c r="Q114" s="62">
        <v>49.3</v>
      </c>
      <c r="R114" s="62">
        <v>82.3</v>
      </c>
      <c r="S114" s="62">
        <v>74</v>
      </c>
      <c r="T114" s="62">
        <v>55.5</v>
      </c>
      <c r="U114" s="62">
        <v>14.2</v>
      </c>
      <c r="V114" s="62">
        <v>15.1</v>
      </c>
      <c r="W114" s="62">
        <v>18.399999999999999</v>
      </c>
      <c r="X114" s="62">
        <v>16</v>
      </c>
      <c r="Y114" s="62">
        <v>19</v>
      </c>
      <c r="Z114" s="62">
        <v>21</v>
      </c>
      <c r="AA114" s="62">
        <v>51</v>
      </c>
      <c r="AB114" s="62">
        <v>232</v>
      </c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</row>
    <row r="115" spans="2:70">
      <c r="B115" s="58" t="s">
        <v>76</v>
      </c>
      <c r="C115" s="62"/>
      <c r="D115" s="62"/>
      <c r="E115" s="62">
        <v>1793</v>
      </c>
      <c r="F115" s="62"/>
      <c r="G115" s="62">
        <v>2026</v>
      </c>
      <c r="H115" s="62">
        <f t="shared" si="211"/>
        <v>1779</v>
      </c>
      <c r="I115" s="62"/>
      <c r="J115" s="62">
        <v>2879</v>
      </c>
      <c r="K115" s="62">
        <v>2847.8</v>
      </c>
      <c r="L115" s="62">
        <v>2860</v>
      </c>
      <c r="M115" s="62">
        <v>2850.8</v>
      </c>
      <c r="N115" s="62">
        <v>2846.9</v>
      </c>
      <c r="O115" s="62">
        <v>2772.3</v>
      </c>
      <c r="P115" s="62">
        <v>2810.2</v>
      </c>
      <c r="Q115" s="62">
        <v>2791.8</v>
      </c>
      <c r="R115" s="62">
        <v>2857.9</v>
      </c>
      <c r="S115" s="62">
        <v>2854.5</v>
      </c>
      <c r="T115" s="62">
        <v>2712.2</v>
      </c>
      <c r="U115" s="62">
        <v>1578.6</v>
      </c>
      <c r="V115" s="62">
        <v>1530.4</v>
      </c>
      <c r="W115" s="62">
        <v>1485.1</v>
      </c>
      <c r="X115" s="62">
        <v>1452</v>
      </c>
      <c r="Y115" s="62">
        <v>1572</v>
      </c>
      <c r="Z115" s="62">
        <v>1776</v>
      </c>
      <c r="AA115" s="62">
        <v>1985</v>
      </c>
      <c r="AB115" s="62">
        <v>1779</v>
      </c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</row>
    <row r="116" spans="2:70">
      <c r="B116" s="58" t="s">
        <v>77</v>
      </c>
      <c r="C116" s="62"/>
      <c r="D116" s="62"/>
      <c r="E116" s="62">
        <v>433</v>
      </c>
      <c r="F116" s="62"/>
      <c r="G116" s="62">
        <v>177</v>
      </c>
      <c r="H116" s="62">
        <f t="shared" si="211"/>
        <v>138</v>
      </c>
      <c r="I116" s="62"/>
      <c r="J116" s="62">
        <v>0</v>
      </c>
      <c r="K116" s="62">
        <v>0</v>
      </c>
      <c r="L116" s="62">
        <v>0</v>
      </c>
      <c r="M116" s="62">
        <v>0</v>
      </c>
      <c r="N116" s="62">
        <v>0</v>
      </c>
      <c r="O116" s="62">
        <v>0</v>
      </c>
      <c r="P116" s="62">
        <v>0</v>
      </c>
      <c r="Q116" s="62">
        <v>0</v>
      </c>
      <c r="R116" s="62">
        <v>0</v>
      </c>
      <c r="S116" s="62">
        <v>0</v>
      </c>
      <c r="T116" s="62">
        <v>48.8</v>
      </c>
      <c r="U116" s="62">
        <v>40</v>
      </c>
      <c r="V116" s="62">
        <v>141.4</v>
      </c>
      <c r="W116" s="62">
        <v>183.6</v>
      </c>
      <c r="X116" s="62">
        <v>198</v>
      </c>
      <c r="Y116" s="62">
        <v>228</v>
      </c>
      <c r="Z116" s="62">
        <v>311</v>
      </c>
      <c r="AA116" s="62">
        <v>278</v>
      </c>
      <c r="AB116" s="62">
        <v>138</v>
      </c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</row>
    <row r="117" spans="2:70">
      <c r="B117" s="57" t="s">
        <v>78</v>
      </c>
      <c r="C117" s="81">
        <f t="shared" ref="C117:D117" si="212">+SUM(C110:C116)</f>
        <v>0</v>
      </c>
      <c r="D117" s="81">
        <f t="shared" si="212"/>
        <v>0</v>
      </c>
      <c r="E117" s="81">
        <f>+SUM(E110:E116)</f>
        <v>17949</v>
      </c>
      <c r="F117" s="81">
        <f t="shared" ref="F117:H117" si="213">+SUM(F110:F116)</f>
        <v>0</v>
      </c>
      <c r="G117" s="81">
        <f t="shared" si="213"/>
        <v>18259</v>
      </c>
      <c r="H117" s="81">
        <f t="shared" si="213"/>
        <v>17614</v>
      </c>
      <c r="I117" s="81"/>
      <c r="J117" s="81">
        <f t="shared" ref="J117:N117" si="214">+SUM(J110:J116)</f>
        <v>7944.9000000000005</v>
      </c>
      <c r="K117" s="81">
        <f t="shared" si="214"/>
        <v>7214.5</v>
      </c>
      <c r="L117" s="81">
        <f t="shared" si="214"/>
        <v>7513.6</v>
      </c>
      <c r="M117" s="81">
        <f t="shared" si="214"/>
        <v>6548.5</v>
      </c>
      <c r="N117" s="81">
        <f t="shared" si="214"/>
        <v>6132.7999999999993</v>
      </c>
      <c r="O117" s="81">
        <f t="shared" ref="O117:R117" si="215">+SUM(O110:O116)</f>
        <v>5951.7000000000007</v>
      </c>
      <c r="P117" s="81">
        <f t="shared" si="215"/>
        <v>6149.2999999999993</v>
      </c>
      <c r="Q117" s="81">
        <f t="shared" si="215"/>
        <v>6148</v>
      </c>
      <c r="R117" s="81">
        <f t="shared" si="215"/>
        <v>7128.3000000000011</v>
      </c>
      <c r="S117" s="81">
        <f>+SUM(S110:S116)</f>
        <v>7276.5000000000009</v>
      </c>
      <c r="T117" s="81">
        <v>7188.4</v>
      </c>
      <c r="U117" s="81">
        <v>4895.3999999999996</v>
      </c>
      <c r="V117" s="81">
        <v>8562.0999999999985</v>
      </c>
      <c r="W117" s="81">
        <v>9235.8000000000011</v>
      </c>
      <c r="X117" s="81">
        <v>8557</v>
      </c>
      <c r="Y117" s="81">
        <v>10652</v>
      </c>
      <c r="Z117" s="81">
        <f>SUM(Z110:Z116)</f>
        <v>16726</v>
      </c>
      <c r="AA117" s="81">
        <f>SUM(AA110:AA116)</f>
        <v>18024</v>
      </c>
      <c r="AB117" s="81">
        <f>SUM(AB110:AB116)</f>
        <v>17614</v>
      </c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</row>
    <row r="118" spans="2:70">
      <c r="B118" s="58" t="s">
        <v>79</v>
      </c>
      <c r="C118" s="62"/>
      <c r="D118" s="62"/>
      <c r="E118" s="62">
        <v>2838</v>
      </c>
      <c r="F118" s="62"/>
      <c r="G118" s="62">
        <v>2993</v>
      </c>
      <c r="H118" s="62">
        <f t="shared" ref="H118:H125" si="216">+AB118</f>
        <v>2046</v>
      </c>
      <c r="I118" s="62"/>
      <c r="J118" s="62">
        <v>3184.8</v>
      </c>
      <c r="K118" s="62">
        <v>2722.1</v>
      </c>
      <c r="L118" s="62">
        <v>1006.2</v>
      </c>
      <c r="M118" s="62">
        <v>1877.6</v>
      </c>
      <c r="N118" s="62">
        <v>1611.4</v>
      </c>
      <c r="O118" s="62">
        <v>1595.1</v>
      </c>
      <c r="P118" s="62">
        <v>1737.4</v>
      </c>
      <c r="Q118" s="62">
        <v>2288.4</v>
      </c>
      <c r="R118" s="62">
        <v>1785.9</v>
      </c>
      <c r="S118" s="62">
        <v>1234.5</v>
      </c>
      <c r="T118" s="62">
        <v>939.7</v>
      </c>
      <c r="U118" s="62">
        <v>756.4</v>
      </c>
      <c r="V118" s="62">
        <v>1975.9</v>
      </c>
      <c r="W118" s="62">
        <v>1776.2</v>
      </c>
      <c r="X118" s="62">
        <v>2442</v>
      </c>
      <c r="Y118" s="62">
        <v>2295</v>
      </c>
      <c r="Z118" s="62">
        <v>2400</v>
      </c>
      <c r="AA118" s="62">
        <v>3479</v>
      </c>
      <c r="AB118" s="62">
        <v>2046</v>
      </c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</row>
    <row r="119" spans="2:70">
      <c r="B119" s="58" t="s">
        <v>80</v>
      </c>
      <c r="C119" s="62"/>
      <c r="D119" s="62"/>
      <c r="E119" s="62">
        <v>914</v>
      </c>
      <c r="F119" s="62"/>
      <c r="G119" s="62">
        <v>1018</v>
      </c>
      <c r="H119" s="62">
        <f t="shared" si="216"/>
        <v>1180</v>
      </c>
      <c r="I119" s="62"/>
      <c r="J119" s="62">
        <v>0</v>
      </c>
      <c r="K119" s="62">
        <v>0</v>
      </c>
      <c r="L119" s="62">
        <v>0</v>
      </c>
      <c r="M119" s="62">
        <v>0</v>
      </c>
      <c r="N119" s="62">
        <v>0</v>
      </c>
      <c r="O119" s="62">
        <v>0</v>
      </c>
      <c r="P119" s="62">
        <v>0</v>
      </c>
      <c r="Q119" s="62">
        <v>0</v>
      </c>
      <c r="R119" s="62">
        <v>0</v>
      </c>
      <c r="S119" s="62">
        <v>0</v>
      </c>
      <c r="T119" s="62">
        <v>0</v>
      </c>
      <c r="U119" s="62">
        <v>0</v>
      </c>
      <c r="V119" s="62">
        <v>720</v>
      </c>
      <c r="W119" s="62">
        <v>538</v>
      </c>
      <c r="X119" s="62">
        <v>675</v>
      </c>
      <c r="Y119" s="62">
        <v>812</v>
      </c>
      <c r="Z119" s="62">
        <v>884</v>
      </c>
      <c r="AA119" s="62">
        <v>1051</v>
      </c>
      <c r="AB119" s="62">
        <v>1180</v>
      </c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</row>
    <row r="120" spans="2:70">
      <c r="B120" s="58" t="s">
        <v>81</v>
      </c>
      <c r="C120" s="62"/>
      <c r="D120" s="62"/>
      <c r="E120" s="62">
        <v>58</v>
      </c>
      <c r="F120" s="62"/>
      <c r="G120" s="62">
        <v>13</v>
      </c>
      <c r="H120" s="62">
        <f t="shared" si="216"/>
        <v>170</v>
      </c>
      <c r="I120" s="62"/>
      <c r="J120" s="62">
        <v>72.599999999999994</v>
      </c>
      <c r="K120" s="62">
        <v>75.900000000000006</v>
      </c>
      <c r="L120" s="62">
        <f>214.9+56.5</f>
        <v>271.39999999999998</v>
      </c>
      <c r="M120" s="62">
        <f>238.2+55.3</f>
        <v>293.5</v>
      </c>
      <c r="N120" s="62">
        <v>130.80000000000001</v>
      </c>
      <c r="O120" s="62">
        <v>207.9</v>
      </c>
      <c r="P120" s="62">
        <v>213.2</v>
      </c>
      <c r="Q120" s="62">
        <v>346.8</v>
      </c>
      <c r="R120" s="62">
        <v>238.9</v>
      </c>
      <c r="S120" s="62">
        <v>285.89999999999998</v>
      </c>
      <c r="T120" s="62">
        <v>367.6</v>
      </c>
      <c r="U120" s="62">
        <v>553.20000000000005</v>
      </c>
      <c r="V120" s="62">
        <v>503.2</v>
      </c>
      <c r="W120" s="62">
        <v>338.1</v>
      </c>
      <c r="X120" s="62">
        <v>743</v>
      </c>
      <c r="Y120" s="62">
        <v>663</v>
      </c>
      <c r="Z120" s="62">
        <v>588</v>
      </c>
      <c r="AA120" s="62">
        <v>343</v>
      </c>
      <c r="AB120" s="62">
        <v>170</v>
      </c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</row>
    <row r="121" spans="2:70">
      <c r="B121" s="58" t="s">
        <v>337</v>
      </c>
      <c r="C121" s="62"/>
      <c r="D121" s="62"/>
      <c r="E121" s="62">
        <v>2132</v>
      </c>
      <c r="F121" s="62"/>
      <c r="G121" s="62">
        <v>1990</v>
      </c>
      <c r="H121" s="62">
        <f t="shared" si="216"/>
        <v>1898</v>
      </c>
      <c r="I121" s="62"/>
      <c r="J121" s="62">
        <f>235.3+2942.6</f>
        <v>3177.9</v>
      </c>
      <c r="K121" s="62">
        <f>189.5+2966</f>
        <v>3155.5</v>
      </c>
      <c r="L121" s="62">
        <v>2057.1999999999998</v>
      </c>
      <c r="M121" s="62">
        <v>1928.4</v>
      </c>
      <c r="N121" s="62">
        <v>1535.6</v>
      </c>
      <c r="O121" s="62">
        <v>684.5</v>
      </c>
      <c r="P121" s="62">
        <v>766.1</v>
      </c>
      <c r="Q121" s="62">
        <v>982.8</v>
      </c>
      <c r="R121" s="62">
        <v>939.7</v>
      </c>
      <c r="S121" s="62">
        <v>1098.5</v>
      </c>
      <c r="T121" s="62">
        <v>1240.7</v>
      </c>
      <c r="U121" s="62">
        <v>745.8</v>
      </c>
      <c r="V121" s="62">
        <v>808.7</v>
      </c>
      <c r="W121" s="62">
        <v>666</v>
      </c>
      <c r="X121" s="62">
        <v>1742</v>
      </c>
      <c r="Y121" s="62">
        <v>2263</v>
      </c>
      <c r="Z121" s="62">
        <v>2200</v>
      </c>
      <c r="AA121" s="62">
        <v>2098</v>
      </c>
      <c r="AB121" s="62">
        <v>1898</v>
      </c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</row>
    <row r="122" spans="2:70">
      <c r="B122" s="58" t="s">
        <v>338</v>
      </c>
      <c r="C122" s="62"/>
      <c r="D122" s="62"/>
      <c r="E122" s="62">
        <v>13</v>
      </c>
      <c r="F122" s="62"/>
      <c r="G122" s="62">
        <v>14</v>
      </c>
      <c r="H122" s="62">
        <f t="shared" si="216"/>
        <v>13</v>
      </c>
      <c r="I122" s="62"/>
      <c r="J122" s="62">
        <v>17.2</v>
      </c>
      <c r="K122" s="62">
        <v>17.399999999999999</v>
      </c>
      <c r="L122" s="62">
        <v>11.9</v>
      </c>
      <c r="M122" s="62">
        <v>9</v>
      </c>
      <c r="N122" s="62">
        <v>7.9</v>
      </c>
      <c r="O122" s="62">
        <v>6.6</v>
      </c>
      <c r="P122" s="62">
        <v>7.2</v>
      </c>
      <c r="Q122" s="62">
        <v>7.2</v>
      </c>
      <c r="R122" s="62">
        <v>8.9</v>
      </c>
      <c r="S122" s="62">
        <v>8.1999999999999993</v>
      </c>
      <c r="T122" s="62">
        <v>10.7</v>
      </c>
      <c r="U122" s="62">
        <v>8.6</v>
      </c>
      <c r="V122" s="62">
        <v>8.9</v>
      </c>
      <c r="W122" s="62">
        <v>12.2</v>
      </c>
      <c r="X122" s="62">
        <v>12</v>
      </c>
      <c r="Y122" s="62">
        <v>12</v>
      </c>
      <c r="Z122" s="62">
        <v>12</v>
      </c>
      <c r="AA122" s="62">
        <v>13</v>
      </c>
      <c r="AB122" s="62">
        <v>13</v>
      </c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</row>
    <row r="123" spans="2:70">
      <c r="B123" s="58" t="s">
        <v>82</v>
      </c>
      <c r="C123" s="62"/>
      <c r="D123" s="62"/>
      <c r="E123" s="62">
        <v>135</v>
      </c>
      <c r="F123" s="62"/>
      <c r="G123" s="62">
        <v>289</v>
      </c>
      <c r="H123" s="62">
        <f t="shared" si="216"/>
        <v>186</v>
      </c>
      <c r="I123" s="62"/>
      <c r="J123" s="62">
        <v>95.5</v>
      </c>
      <c r="K123" s="62">
        <v>189.9</v>
      </c>
      <c r="L123" s="62">
        <v>252</v>
      </c>
      <c r="M123" s="62">
        <v>163.4</v>
      </c>
      <c r="N123" s="62">
        <v>136.1</v>
      </c>
      <c r="O123" s="62">
        <v>167.7</v>
      </c>
      <c r="P123" s="62">
        <v>152.69999999999999</v>
      </c>
      <c r="Q123" s="62">
        <v>225.6</v>
      </c>
      <c r="R123" s="62">
        <v>157.30000000000001</v>
      </c>
      <c r="S123" s="62">
        <v>143.69999999999999</v>
      </c>
      <c r="T123" s="62">
        <v>182.4</v>
      </c>
      <c r="U123" s="62">
        <v>255.7</v>
      </c>
      <c r="V123" s="62">
        <v>216</v>
      </c>
      <c r="W123" s="62">
        <v>212.4</v>
      </c>
      <c r="X123" s="62">
        <v>138</v>
      </c>
      <c r="Y123" s="62">
        <v>168</v>
      </c>
      <c r="Z123" s="62">
        <v>163</v>
      </c>
      <c r="AA123" s="62">
        <v>191</v>
      </c>
      <c r="AB123" s="62">
        <v>186</v>
      </c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</row>
    <row r="124" spans="2:70">
      <c r="B124" s="58" t="s">
        <v>83</v>
      </c>
      <c r="C124" s="62"/>
      <c r="D124" s="62"/>
      <c r="E124" s="62">
        <v>743</v>
      </c>
      <c r="F124" s="62"/>
      <c r="G124" s="62">
        <v>611</v>
      </c>
      <c r="H124" s="62">
        <f t="shared" si="216"/>
        <v>519</v>
      </c>
      <c r="I124" s="62"/>
      <c r="J124" s="62">
        <v>319.5</v>
      </c>
      <c r="K124" s="62">
        <v>325</v>
      </c>
      <c r="L124" s="62">
        <v>211.8</v>
      </c>
      <c r="M124" s="62">
        <v>386.8</v>
      </c>
      <c r="N124" s="62">
        <v>338.4</v>
      </c>
      <c r="O124" s="62">
        <v>318.39999999999998</v>
      </c>
      <c r="P124" s="62">
        <v>310.10000000000002</v>
      </c>
      <c r="Q124" s="62">
        <v>277.89999999999998</v>
      </c>
      <c r="R124" s="62">
        <v>334.6</v>
      </c>
      <c r="S124" s="62">
        <v>398.5</v>
      </c>
      <c r="T124" s="62">
        <v>815.4</v>
      </c>
      <c r="U124" s="62">
        <v>1303.3</v>
      </c>
      <c r="V124" s="62">
        <v>1361.5</v>
      </c>
      <c r="W124" s="62">
        <v>901.3</v>
      </c>
      <c r="X124" s="62">
        <v>1148</v>
      </c>
      <c r="Y124" s="62">
        <v>567</v>
      </c>
      <c r="Z124" s="62">
        <v>536</v>
      </c>
      <c r="AA124" s="62">
        <v>528</v>
      </c>
      <c r="AB124" s="62">
        <v>519</v>
      </c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</row>
    <row r="125" spans="2:70">
      <c r="B125" s="58" t="s">
        <v>84</v>
      </c>
      <c r="C125" s="62"/>
      <c r="D125" s="62"/>
      <c r="E125" s="62">
        <v>1620</v>
      </c>
      <c r="F125" s="62"/>
      <c r="G125" s="62">
        <v>1635</v>
      </c>
      <c r="H125" s="62">
        <f t="shared" si="216"/>
        <v>1716</v>
      </c>
      <c r="I125" s="62"/>
      <c r="J125" s="62">
        <v>2509.1</v>
      </c>
      <c r="K125" s="62">
        <v>2565.3000000000002</v>
      </c>
      <c r="L125" s="62">
        <v>2053</v>
      </c>
      <c r="M125" s="62">
        <v>1836.1</v>
      </c>
      <c r="N125" s="62">
        <v>1712.1</v>
      </c>
      <c r="O125" s="62">
        <v>1400.4</v>
      </c>
      <c r="P125" s="62">
        <v>1372.3</v>
      </c>
      <c r="Q125" s="62">
        <v>1651</v>
      </c>
      <c r="R125" s="62">
        <v>1634.1</v>
      </c>
      <c r="S125" s="62">
        <v>1729.3</v>
      </c>
      <c r="T125" s="62">
        <v>2206.1</v>
      </c>
      <c r="U125" s="62">
        <v>2787.5</v>
      </c>
      <c r="V125" s="62">
        <v>2553.3000000000002</v>
      </c>
      <c r="W125" s="62">
        <v>2290.4</v>
      </c>
      <c r="X125" s="62">
        <v>1875</v>
      </c>
      <c r="Y125" s="62">
        <v>1726</v>
      </c>
      <c r="Z125" s="62">
        <v>1848</v>
      </c>
      <c r="AA125" s="62">
        <v>1889</v>
      </c>
      <c r="AB125" s="62">
        <v>1716</v>
      </c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</row>
    <row r="126" spans="2:70">
      <c r="B126" s="57" t="s">
        <v>85</v>
      </c>
      <c r="C126" s="81">
        <f t="shared" ref="C126:D126" si="217">+SUM(C118:C125)</f>
        <v>0</v>
      </c>
      <c r="D126" s="81">
        <f t="shared" si="217"/>
        <v>0</v>
      </c>
      <c r="E126" s="81">
        <f>+SUM(E118:E125)</f>
        <v>8453</v>
      </c>
      <c r="F126" s="81">
        <f t="shared" ref="F126:H126" si="218">+SUM(F118:F125)</f>
        <v>0</v>
      </c>
      <c r="G126" s="81">
        <f t="shared" si="218"/>
        <v>8563</v>
      </c>
      <c r="H126" s="81">
        <f t="shared" si="218"/>
        <v>7728</v>
      </c>
      <c r="I126" s="81"/>
      <c r="J126" s="81">
        <f t="shared" ref="J126:N126" si="219">+SUM(J118:J125)</f>
        <v>9376.6</v>
      </c>
      <c r="K126" s="81">
        <f t="shared" si="219"/>
        <v>9051.0999999999985</v>
      </c>
      <c r="L126" s="81">
        <f t="shared" si="219"/>
        <v>5863.5</v>
      </c>
      <c r="M126" s="81">
        <f t="shared" si="219"/>
        <v>6494.7999999999993</v>
      </c>
      <c r="N126" s="81">
        <f t="shared" si="219"/>
        <v>5472.3</v>
      </c>
      <c r="O126" s="81">
        <f t="shared" ref="O126:R126" si="220">+SUM(O118:O125)</f>
        <v>4380.6000000000004</v>
      </c>
      <c r="P126" s="81">
        <f t="shared" si="220"/>
        <v>4559</v>
      </c>
      <c r="Q126" s="81">
        <f t="shared" si="220"/>
        <v>5779.7</v>
      </c>
      <c r="R126" s="81">
        <f t="shared" si="220"/>
        <v>5099.3999999999996</v>
      </c>
      <c r="S126" s="81">
        <f>+SUM(S118:S125)</f>
        <v>4898.5999999999995</v>
      </c>
      <c r="T126" s="81">
        <v>5762.6</v>
      </c>
      <c r="U126" s="81">
        <v>6410.4999999999991</v>
      </c>
      <c r="V126" s="81">
        <v>8147.5000000000009</v>
      </c>
      <c r="W126" s="81">
        <v>6734.6</v>
      </c>
      <c r="X126" s="81">
        <v>8775</v>
      </c>
      <c r="Y126" s="81">
        <v>8506</v>
      </c>
      <c r="Z126" s="81">
        <f>SUM(Z118:Z125)</f>
        <v>8631</v>
      </c>
      <c r="AA126" s="81">
        <f>SUM(AA118:AA125)</f>
        <v>9592</v>
      </c>
      <c r="AB126" s="81">
        <f>SUM(AB118:AB125)</f>
        <v>7728</v>
      </c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</row>
    <row r="127" spans="2:70">
      <c r="B127" s="58" t="s">
        <v>486</v>
      </c>
      <c r="C127" s="62">
        <v>0</v>
      </c>
      <c r="D127" s="62">
        <v>0</v>
      </c>
      <c r="E127" s="62">
        <v>0</v>
      </c>
      <c r="F127" s="62">
        <v>0</v>
      </c>
      <c r="G127" s="62">
        <v>0</v>
      </c>
      <c r="H127" s="62">
        <f t="shared" ref="H127" si="221">+AB127</f>
        <v>325</v>
      </c>
      <c r="I127" s="62"/>
      <c r="J127" s="62">
        <v>229.1</v>
      </c>
      <c r="K127" s="62">
        <v>71</v>
      </c>
      <c r="L127" s="62">
        <v>50.7</v>
      </c>
      <c r="M127" s="62">
        <v>0</v>
      </c>
      <c r="N127" s="62">
        <v>1599.2</v>
      </c>
      <c r="O127" s="62">
        <v>2805.5</v>
      </c>
      <c r="P127" s="62">
        <v>906.6</v>
      </c>
      <c r="Q127" s="62">
        <v>63.9</v>
      </c>
      <c r="R127" s="62">
        <v>0</v>
      </c>
      <c r="S127" s="62">
        <v>0</v>
      </c>
      <c r="T127" s="62">
        <v>0</v>
      </c>
      <c r="U127" s="62">
        <v>0</v>
      </c>
      <c r="V127" s="62">
        <v>0</v>
      </c>
      <c r="W127" s="62">
        <v>0</v>
      </c>
      <c r="X127" s="62">
        <v>0</v>
      </c>
      <c r="Y127" s="62">
        <v>0</v>
      </c>
      <c r="Z127" s="62">
        <v>0</v>
      </c>
      <c r="AA127" s="62">
        <v>0</v>
      </c>
      <c r="AB127" s="62">
        <v>325</v>
      </c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</row>
    <row r="128" spans="2:70">
      <c r="B128" s="57" t="s">
        <v>86</v>
      </c>
      <c r="C128" s="81">
        <f t="shared" ref="C128" si="222">C126+C117+C109+C127</f>
        <v>0</v>
      </c>
      <c r="D128" s="81">
        <f t="shared" ref="D128" si="223">D126+D117+D109+D127</f>
        <v>0</v>
      </c>
      <c r="E128" s="81">
        <f t="shared" ref="E128" si="224">E126+E117+E109+E127</f>
        <v>42152</v>
      </c>
      <c r="F128" s="81">
        <f t="shared" ref="F128" si="225">F126+F117+F109+F127</f>
        <v>0</v>
      </c>
      <c r="G128" s="81">
        <f t="shared" ref="G128" si="226">G126+G117+G109+G127</f>
        <v>42432</v>
      </c>
      <c r="H128" s="81">
        <f t="shared" ref="H128" si="227">H126+H117+H109+H127</f>
        <v>41182</v>
      </c>
      <c r="I128" s="81"/>
      <c r="J128" s="81">
        <f t="shared" ref="J128:N128" si="228">+SUM(J126,J117,J109)+J127</f>
        <v>28212.1</v>
      </c>
      <c r="K128" s="81">
        <f t="shared" si="228"/>
        <v>27027.699999999997</v>
      </c>
      <c r="L128" s="81">
        <f t="shared" si="228"/>
        <v>24374.600000000002</v>
      </c>
      <c r="M128" s="81">
        <f t="shared" si="228"/>
        <v>24694.5</v>
      </c>
      <c r="N128" s="81">
        <f t="shared" si="228"/>
        <v>24953.8</v>
      </c>
      <c r="O128" s="81">
        <f t="shared" ref="O128:P128" si="229">+SUM(O126,O117,O109)+O127</f>
        <v>25256.5</v>
      </c>
      <c r="P128" s="81">
        <f t="shared" si="229"/>
        <v>22810.799999999996</v>
      </c>
      <c r="Q128" s="81">
        <f>+SUM(Q126,Q117,Q109)+Q127</f>
        <v>23253.9</v>
      </c>
      <c r="R128" s="81">
        <f t="shared" ref="R128:AB128" si="230">+SUM(R126,R117,R109)+R127</f>
        <v>23850.799999999999</v>
      </c>
      <c r="S128" s="81">
        <f t="shared" si="230"/>
        <v>24139</v>
      </c>
      <c r="T128" s="81">
        <f t="shared" si="230"/>
        <v>25577.4</v>
      </c>
      <c r="U128" s="81">
        <f t="shared" si="230"/>
        <v>21367.5</v>
      </c>
      <c r="V128" s="81">
        <f t="shared" si="230"/>
        <v>27148.199999999997</v>
      </c>
      <c r="W128" s="81">
        <f t="shared" si="230"/>
        <v>28005.4</v>
      </c>
      <c r="X128" s="81">
        <f t="shared" si="230"/>
        <v>31068</v>
      </c>
      <c r="Y128" s="81">
        <f t="shared" si="230"/>
        <v>33941</v>
      </c>
      <c r="Z128" s="81">
        <f t="shared" si="230"/>
        <v>41367</v>
      </c>
      <c r="AA128" s="81">
        <f t="shared" si="230"/>
        <v>43346</v>
      </c>
      <c r="AB128" s="81">
        <f t="shared" si="230"/>
        <v>41182</v>
      </c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</row>
    <row r="129" spans="1:70"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</row>
    <row r="130" spans="1:70">
      <c r="A130" s="87" t="s">
        <v>52</v>
      </c>
      <c r="B130" s="88" t="s">
        <v>88</v>
      </c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</row>
    <row r="131" spans="1:70">
      <c r="B131" s="58" t="s">
        <v>89</v>
      </c>
      <c r="C131" s="62"/>
      <c r="D131" s="62"/>
      <c r="E131" s="62">
        <v>940</v>
      </c>
      <c r="F131" s="62"/>
      <c r="G131" s="62">
        <v>523</v>
      </c>
      <c r="H131" s="62">
        <v>-406</v>
      </c>
      <c r="I131" s="62"/>
      <c r="J131" s="62">
        <v>1089.5</v>
      </c>
      <c r="K131" s="62">
        <v>654.4</v>
      </c>
      <c r="L131" s="62">
        <v>330.5</v>
      </c>
      <c r="M131" s="62">
        <v>815</v>
      </c>
      <c r="N131" s="62">
        <v>1027.5</v>
      </c>
      <c r="O131" s="62">
        <v>1357.9</v>
      </c>
      <c r="P131" s="62">
        <v>864.7</v>
      </c>
      <c r="Q131" s="62">
        <v>1028.0999999999999</v>
      </c>
      <c r="R131" s="62">
        <v>680.2</v>
      </c>
      <c r="S131" s="62">
        <v>880.1</v>
      </c>
      <c r="T131" s="62">
        <v>1751.9000000000003</v>
      </c>
      <c r="U131" s="62">
        <v>2658.2999999999997</v>
      </c>
      <c r="V131" s="62">
        <v>2208.4000000000005</v>
      </c>
      <c r="W131" s="62">
        <v>2189.7000000000003</v>
      </c>
      <c r="X131" s="62">
        <v>3245</v>
      </c>
      <c r="Y131" s="62">
        <v>3717</v>
      </c>
      <c r="Z131" s="62">
        <v>3074</v>
      </c>
      <c r="AA131" s="62">
        <v>1227</v>
      </c>
      <c r="AB131" s="62">
        <v>39</v>
      </c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</row>
    <row r="132" spans="1:70">
      <c r="B132" s="58" t="s">
        <v>90</v>
      </c>
      <c r="C132" s="62"/>
      <c r="D132" s="62"/>
      <c r="E132" s="62">
        <v>1013</v>
      </c>
      <c r="F132" s="62"/>
      <c r="G132" s="62">
        <v>1042</v>
      </c>
      <c r="H132" s="62">
        <f t="shared" ref="H132:H156" si="231">+AB132-G132</f>
        <v>1002</v>
      </c>
      <c r="I132" s="62"/>
      <c r="J132" s="62">
        <v>371.8</v>
      </c>
      <c r="K132" s="62">
        <v>419.4</v>
      </c>
      <c r="L132" s="62">
        <v>334.8</v>
      </c>
      <c r="M132" s="62">
        <v>329.4</v>
      </c>
      <c r="N132" s="62">
        <v>238</v>
      </c>
      <c r="O132" s="62">
        <v>275.10000000000002</v>
      </c>
      <c r="P132" s="62">
        <v>292.10000000000002</v>
      </c>
      <c r="Q132" s="62">
        <v>326.7</v>
      </c>
      <c r="R132" s="62">
        <v>409.6</v>
      </c>
      <c r="S132" s="62">
        <v>432</v>
      </c>
      <c r="T132" s="62">
        <v>432.1</v>
      </c>
      <c r="U132" s="62">
        <v>491.9</v>
      </c>
      <c r="V132" s="62">
        <v>1245.3</v>
      </c>
      <c r="W132" s="62">
        <v>1439</v>
      </c>
      <c r="X132" s="62">
        <v>1453</v>
      </c>
      <c r="Y132" s="62">
        <v>1666</v>
      </c>
      <c r="Z132" s="62">
        <v>1823</v>
      </c>
      <c r="AA132" s="62">
        <v>2113</v>
      </c>
      <c r="AB132" s="62">
        <v>2044</v>
      </c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</row>
    <row r="133" spans="1:70">
      <c r="B133" s="58" t="s">
        <v>91</v>
      </c>
      <c r="C133" s="62"/>
      <c r="D133" s="62"/>
      <c r="E133" s="62">
        <v>10</v>
      </c>
      <c r="F133" s="62"/>
      <c r="G133" s="62">
        <v>-234</v>
      </c>
      <c r="H133" s="62">
        <f t="shared" si="231"/>
        <v>371</v>
      </c>
      <c r="I133" s="62"/>
      <c r="J133" s="62">
        <v>-89.8</v>
      </c>
      <c r="K133" s="62">
        <v>314.2</v>
      </c>
      <c r="L133" s="62">
        <v>389</v>
      </c>
      <c r="M133" s="62">
        <v>22.5</v>
      </c>
      <c r="N133" s="62">
        <v>-146.9</v>
      </c>
      <c r="O133" s="62">
        <v>-156.4</v>
      </c>
      <c r="P133" s="62">
        <v>387.8</v>
      </c>
      <c r="Q133" s="62">
        <v>-95</v>
      </c>
      <c r="R133" s="62">
        <v>209.6</v>
      </c>
      <c r="S133" s="62">
        <v>295</v>
      </c>
      <c r="T133" s="62">
        <v>10.3</v>
      </c>
      <c r="U133" s="62">
        <v>-6.6</v>
      </c>
      <c r="V133" s="62">
        <v>-392.4</v>
      </c>
      <c r="W133" s="62">
        <v>-282.8</v>
      </c>
      <c r="X133" s="62">
        <v>18</v>
      </c>
      <c r="Y133" s="62">
        <v>-334</v>
      </c>
      <c r="Z133" s="62">
        <v>94</v>
      </c>
      <c r="AA133" s="62">
        <v>57</v>
      </c>
      <c r="AB133" s="62">
        <v>137</v>
      </c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</row>
    <row r="134" spans="1:70">
      <c r="B134" s="58" t="s">
        <v>92</v>
      </c>
      <c r="C134" s="62"/>
      <c r="D134" s="62"/>
      <c r="E134" s="62">
        <v>229</v>
      </c>
      <c r="F134" s="62"/>
      <c r="G134" s="62">
        <v>268</v>
      </c>
      <c r="H134" s="62">
        <f t="shared" si="231"/>
        <v>343</v>
      </c>
      <c r="I134" s="62"/>
      <c r="J134" s="62">
        <v>275.10000000000002</v>
      </c>
      <c r="K134" s="62">
        <v>354.3</v>
      </c>
      <c r="L134" s="62">
        <v>251.4</v>
      </c>
      <c r="M134" s="62">
        <v>247.7</v>
      </c>
      <c r="N134" s="62">
        <v>207.1</v>
      </c>
      <c r="O134" s="62">
        <v>163.19999999999999</v>
      </c>
      <c r="P134" s="62">
        <v>119</v>
      </c>
      <c r="Q134" s="62">
        <v>218.8</v>
      </c>
      <c r="R134" s="62">
        <v>168.8</v>
      </c>
      <c r="S134" s="62">
        <v>179.3</v>
      </c>
      <c r="T134" s="62">
        <v>181.4</v>
      </c>
      <c r="U134" s="62">
        <v>186.6</v>
      </c>
      <c r="V134" s="62">
        <v>277.10000000000002</v>
      </c>
      <c r="W134" s="62">
        <v>277.39999999999998</v>
      </c>
      <c r="X134" s="62">
        <v>215</v>
      </c>
      <c r="Y134" s="62">
        <v>287</v>
      </c>
      <c r="Z134" s="62">
        <v>300</v>
      </c>
      <c r="AA134" s="62">
        <v>559</v>
      </c>
      <c r="AB134" s="62">
        <v>611</v>
      </c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</row>
    <row r="135" spans="1:70">
      <c r="B135" s="58" t="s">
        <v>93</v>
      </c>
      <c r="C135" s="62"/>
      <c r="D135" s="62"/>
      <c r="E135" s="62">
        <v>-2</v>
      </c>
      <c r="F135" s="62"/>
      <c r="G135" s="62">
        <v>0</v>
      </c>
      <c r="H135" s="62">
        <f t="shared" si="231"/>
        <v>-9</v>
      </c>
      <c r="I135" s="62"/>
      <c r="J135" s="62">
        <v>-0.7</v>
      </c>
      <c r="K135" s="62">
        <v>-1.4</v>
      </c>
      <c r="L135" s="62">
        <v>-0.1</v>
      </c>
      <c r="M135" s="62">
        <v>0</v>
      </c>
      <c r="N135" s="62">
        <v>-0.1</v>
      </c>
      <c r="O135" s="62">
        <v>-0.1</v>
      </c>
      <c r="P135" s="62">
        <v>-0.3</v>
      </c>
      <c r="Q135" s="62">
        <v>0</v>
      </c>
      <c r="R135" s="62">
        <v>-1.4</v>
      </c>
      <c r="S135" s="62">
        <v>-0.7</v>
      </c>
      <c r="T135" s="62">
        <v>-0.2</v>
      </c>
      <c r="U135" s="62">
        <v>-1</v>
      </c>
      <c r="V135" s="62">
        <v>0</v>
      </c>
      <c r="W135" s="62">
        <v>0</v>
      </c>
      <c r="X135" s="62">
        <v>-2</v>
      </c>
      <c r="Y135" s="62">
        <v>-7</v>
      </c>
      <c r="Z135" s="62">
        <v>-9</v>
      </c>
      <c r="AA135" s="62">
        <v>-2</v>
      </c>
      <c r="AB135" s="62">
        <v>-9</v>
      </c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</row>
    <row r="136" spans="1:70">
      <c r="B136" s="58" t="s">
        <v>94</v>
      </c>
      <c r="C136" s="62"/>
      <c r="D136" s="62"/>
      <c r="E136" s="62">
        <v>312</v>
      </c>
      <c r="F136" s="62"/>
      <c r="G136" s="62">
        <v>296</v>
      </c>
      <c r="H136" s="62">
        <f t="shared" si="231"/>
        <v>246</v>
      </c>
      <c r="I136" s="62"/>
      <c r="J136" s="62">
        <v>307.8</v>
      </c>
      <c r="K136" s="62">
        <v>337.4</v>
      </c>
      <c r="L136" s="62">
        <v>178.8</v>
      </c>
      <c r="M136" s="62">
        <v>363.3</v>
      </c>
      <c r="N136" s="62">
        <v>369.8</v>
      </c>
      <c r="O136" s="62">
        <v>361</v>
      </c>
      <c r="P136" s="62">
        <v>320.10000000000002</v>
      </c>
      <c r="Q136" s="62">
        <v>365.7</v>
      </c>
      <c r="R136" s="62">
        <v>378.5</v>
      </c>
      <c r="S136" s="62">
        <v>386.1</v>
      </c>
      <c r="T136" s="62">
        <v>749.4</v>
      </c>
      <c r="U136" s="62">
        <v>1062.4000000000001</v>
      </c>
      <c r="V136" s="62">
        <v>2597.9</v>
      </c>
      <c r="W136" s="62">
        <v>657</v>
      </c>
      <c r="X136" s="62">
        <v>1458</v>
      </c>
      <c r="Y136" s="62">
        <v>1597</v>
      </c>
      <c r="Z136" s="62">
        <v>1007</v>
      </c>
      <c r="AA136" s="62">
        <v>526</v>
      </c>
      <c r="AB136" s="62">
        <v>542</v>
      </c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</row>
    <row r="137" spans="1:70">
      <c r="B137" s="58" t="s">
        <v>95</v>
      </c>
      <c r="C137" s="62"/>
      <c r="D137" s="62"/>
      <c r="E137" s="62">
        <v>44</v>
      </c>
      <c r="F137" s="62"/>
      <c r="G137" s="62">
        <v>-261</v>
      </c>
      <c r="H137" s="62">
        <f t="shared" si="231"/>
        <v>331</v>
      </c>
      <c r="I137" s="62"/>
      <c r="J137" s="62">
        <f>222.8-0.6</f>
        <v>222.20000000000002</v>
      </c>
      <c r="K137" s="62">
        <f>-232.4+8.1</f>
        <v>-224.3</v>
      </c>
      <c r="L137" s="62">
        <f>211.8-11.7</f>
        <v>200.10000000000002</v>
      </c>
      <c r="M137" s="62">
        <f>-143.6-7.5</f>
        <v>-151.1</v>
      </c>
      <c r="N137" s="62">
        <v>-180.5</v>
      </c>
      <c r="O137" s="62">
        <v>-272.5</v>
      </c>
      <c r="P137" s="62">
        <v>-75</v>
      </c>
      <c r="Q137" s="62">
        <v>-160.30000000000001</v>
      </c>
      <c r="R137" s="62">
        <v>-219.3</v>
      </c>
      <c r="S137" s="62">
        <v>-84.4</v>
      </c>
      <c r="T137" s="62">
        <v>-35.799999999999997</v>
      </c>
      <c r="U137" s="62">
        <v>-51.6</v>
      </c>
      <c r="V137" s="62">
        <v>-557.5</v>
      </c>
      <c r="W137" s="62">
        <v>44.4</v>
      </c>
      <c r="X137" s="62">
        <v>-38</v>
      </c>
      <c r="Y137" s="62">
        <v>-902</v>
      </c>
      <c r="Z137" s="62">
        <v>-396</v>
      </c>
      <c r="AA137" s="62">
        <v>667</v>
      </c>
      <c r="AB137" s="62">
        <v>70</v>
      </c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</row>
    <row r="138" spans="1:70">
      <c r="B138" s="58" t="s">
        <v>96</v>
      </c>
      <c r="C138" s="62"/>
      <c r="D138" s="62"/>
      <c r="E138" s="62">
        <v>-100</v>
      </c>
      <c r="F138" s="62"/>
      <c r="G138" s="62">
        <v>-162</v>
      </c>
      <c r="H138" s="62">
        <f t="shared" si="231"/>
        <v>-172</v>
      </c>
      <c r="I138" s="62"/>
      <c r="J138" s="62">
        <v>-303.7</v>
      </c>
      <c r="K138" s="62">
        <v>-322.60000000000002</v>
      </c>
      <c r="L138" s="62">
        <v>-231.9</v>
      </c>
      <c r="M138" s="62">
        <v>-250.6</v>
      </c>
      <c r="N138" s="62">
        <v>-335.6</v>
      </c>
      <c r="O138" s="62">
        <v>-362.2</v>
      </c>
      <c r="P138" s="62">
        <v>-387.2</v>
      </c>
      <c r="Q138" s="62">
        <v>-422.7</v>
      </c>
      <c r="R138" s="62">
        <v>-330.4</v>
      </c>
      <c r="S138" s="62">
        <v>-295.5</v>
      </c>
      <c r="T138" s="62">
        <v>-316</v>
      </c>
      <c r="U138" s="62">
        <v>-562</v>
      </c>
      <c r="V138" s="62">
        <v>-2903.5</v>
      </c>
      <c r="W138" s="62">
        <v>-1436.1</v>
      </c>
      <c r="X138" s="62">
        <v>-1473</v>
      </c>
      <c r="Y138" s="62">
        <v>-1746</v>
      </c>
      <c r="Z138" s="62">
        <v>-1434</v>
      </c>
      <c r="AA138" s="62">
        <v>-438</v>
      </c>
      <c r="AB138" s="62">
        <v>-334</v>
      </c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</row>
    <row r="139" spans="1:70">
      <c r="B139" s="57" t="s">
        <v>107</v>
      </c>
      <c r="C139" s="62"/>
      <c r="D139" s="62"/>
      <c r="E139" s="81">
        <f>+SUM(E131:E138)</f>
        <v>2446</v>
      </c>
      <c r="F139" s="62"/>
      <c r="G139" s="81">
        <f>+SUM(G131:G138)</f>
        <v>1472</v>
      </c>
      <c r="H139" s="81">
        <f>+SUM(H131:H138)</f>
        <v>1706</v>
      </c>
      <c r="I139" s="62"/>
      <c r="J139" s="81">
        <f t="shared" ref="J139:N139" si="232">+SUM(J131:J138)</f>
        <v>1872.1999999999996</v>
      </c>
      <c r="K139" s="81">
        <f t="shared" si="232"/>
        <v>1531.3999999999996</v>
      </c>
      <c r="L139" s="81">
        <f t="shared" si="232"/>
        <v>1452.6</v>
      </c>
      <c r="M139" s="81">
        <f t="shared" si="232"/>
        <v>1376.2000000000003</v>
      </c>
      <c r="N139" s="81">
        <f t="shared" si="232"/>
        <v>1179.2999999999997</v>
      </c>
      <c r="O139" s="81">
        <f t="shared" ref="O139:R139" si="233">+SUM(O131:O138)</f>
        <v>1366</v>
      </c>
      <c r="P139" s="81">
        <f t="shared" si="233"/>
        <v>1521.2</v>
      </c>
      <c r="Q139" s="81">
        <f t="shared" si="233"/>
        <v>1261.3</v>
      </c>
      <c r="R139" s="81">
        <f t="shared" si="233"/>
        <v>1295.5999999999999</v>
      </c>
      <c r="S139" s="81">
        <f>+SUM(S131:S138)</f>
        <v>1791.8999999999996</v>
      </c>
      <c r="T139" s="81">
        <v>2773.1000000000004</v>
      </c>
      <c r="U139" s="81">
        <v>3778</v>
      </c>
      <c r="V139" s="81">
        <v>2475.3000000000011</v>
      </c>
      <c r="W139" s="81">
        <v>2888.6</v>
      </c>
      <c r="X139" s="81">
        <v>4876</v>
      </c>
      <c r="Y139" s="81">
        <v>4278</v>
      </c>
      <c r="Z139" s="81">
        <f>+SUM(Z131:Z138)</f>
        <v>4459</v>
      </c>
      <c r="AA139" s="81">
        <f>+SUM(AA131:AA138)</f>
        <v>4709</v>
      </c>
      <c r="AB139" s="81">
        <f>+SUM(AB131:AB138)</f>
        <v>3100</v>
      </c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</row>
    <row r="140" spans="1:70">
      <c r="B140" s="58" t="s">
        <v>179</v>
      </c>
      <c r="C140" s="62"/>
      <c r="D140" s="62"/>
      <c r="E140" s="62">
        <v>-1391</v>
      </c>
      <c r="F140" s="62"/>
      <c r="G140" s="62">
        <f>-431+1342</f>
        <v>911</v>
      </c>
      <c r="H140" s="62">
        <f t="shared" si="231"/>
        <v>417</v>
      </c>
      <c r="I140" s="62"/>
      <c r="J140" s="62">
        <f>-573.1+46.4</f>
        <v>-526.70000000000005</v>
      </c>
      <c r="K140" s="62">
        <f>-592.7+65.7</f>
        <v>-527</v>
      </c>
      <c r="L140" s="62">
        <v>-279.7</v>
      </c>
      <c r="M140" s="62">
        <v>-342.6</v>
      </c>
      <c r="N140" s="62">
        <f>-252.3+3.9</f>
        <v>-248.4</v>
      </c>
      <c r="O140" s="62">
        <f>-441.9+6.1</f>
        <v>-435.79999999999995</v>
      </c>
      <c r="P140" s="62">
        <f>-674.9+10.3</f>
        <v>-664.6</v>
      </c>
      <c r="Q140" s="62">
        <f>-551.4+367.9</f>
        <v>-183.5</v>
      </c>
      <c r="R140" s="62">
        <f>-672.1+36.7</f>
        <v>-635.4</v>
      </c>
      <c r="S140" s="62">
        <f>-611+8.5</f>
        <v>-602.5</v>
      </c>
      <c r="T140" s="62">
        <v>-567.6</v>
      </c>
      <c r="U140" s="62">
        <v>-822.8</v>
      </c>
      <c r="V140" s="62">
        <v>-954.59999999999991</v>
      </c>
      <c r="W140" s="62">
        <v>-784</v>
      </c>
      <c r="X140" s="62">
        <v>-928</v>
      </c>
      <c r="Y140" s="62">
        <v>-1070</v>
      </c>
      <c r="Z140" s="62">
        <f>-2611+135</f>
        <v>-2476</v>
      </c>
      <c r="AA140" s="62">
        <f>-3309+32</f>
        <v>-3277</v>
      </c>
      <c r="AB140" s="62">
        <f>-830+2158</f>
        <v>1328</v>
      </c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</row>
    <row r="141" spans="1:70">
      <c r="B141" s="58" t="s">
        <v>339</v>
      </c>
      <c r="C141" s="62"/>
      <c r="D141" s="62"/>
      <c r="E141" s="62">
        <v>-23</v>
      </c>
      <c r="F141" s="62"/>
      <c r="G141" s="62">
        <f>-268+343</f>
        <v>75</v>
      </c>
      <c r="H141" s="62">
        <f t="shared" si="231"/>
        <v>-209</v>
      </c>
      <c r="I141" s="62"/>
      <c r="J141" s="62">
        <f>-3337.5+349.2</f>
        <v>-2988.3</v>
      </c>
      <c r="K141" s="62">
        <f>-222.1+1202.2</f>
        <v>980.1</v>
      </c>
      <c r="L141" s="62">
        <f>18.9-62.2+866</f>
        <v>822.7</v>
      </c>
      <c r="M141" s="62">
        <f>47.8-68.4+436.3</f>
        <v>415.7</v>
      </c>
      <c r="N141" s="62">
        <f>-435.7+1171</f>
        <v>735.3</v>
      </c>
      <c r="O141" s="62">
        <f>-219.3+916.5</f>
        <v>697.2</v>
      </c>
      <c r="P141" s="62">
        <f>-342.1+23.6</f>
        <v>-318.5</v>
      </c>
      <c r="Q141" s="62">
        <f>-593.8+3.6</f>
        <v>-590.19999999999993</v>
      </c>
      <c r="R141" s="62">
        <f>-20.2-5.4</f>
        <v>-25.6</v>
      </c>
      <c r="S141" s="62">
        <f>-4.2-6</f>
        <v>-10.199999999999999</v>
      </c>
      <c r="T141" s="62">
        <v>1.6</v>
      </c>
      <c r="U141" s="62">
        <v>-15.8</v>
      </c>
      <c r="V141" s="62">
        <v>-41.6</v>
      </c>
      <c r="W141" s="62">
        <v>662.5</v>
      </c>
      <c r="X141" s="62">
        <v>-488</v>
      </c>
      <c r="Y141" s="62">
        <v>-1597</v>
      </c>
      <c r="Z141" s="62">
        <v>-5093</v>
      </c>
      <c r="AA141" s="62">
        <v>-35</v>
      </c>
      <c r="AB141" s="62">
        <f>-478+344</f>
        <v>-134</v>
      </c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</row>
    <row r="142" spans="1:70">
      <c r="B142" s="58" t="s">
        <v>340</v>
      </c>
      <c r="C142" s="62"/>
      <c r="D142" s="62"/>
      <c r="E142" s="62">
        <f>-35+97</f>
        <v>62</v>
      </c>
      <c r="F142" s="62"/>
      <c r="G142" s="62">
        <f>-17+6</f>
        <v>-11</v>
      </c>
      <c r="H142" s="62">
        <f t="shared" si="231"/>
        <v>-49</v>
      </c>
      <c r="I142" s="62"/>
      <c r="J142" s="62">
        <f>-118.3+12</f>
        <v>-106.3</v>
      </c>
      <c r="K142" s="62">
        <f>-55.2+10.8</f>
        <v>-44.400000000000006</v>
      </c>
      <c r="L142" s="62">
        <f>-26.8+12.7</f>
        <v>-14.100000000000001</v>
      </c>
      <c r="M142" s="62">
        <f>-40.9-7.1</f>
        <v>-48</v>
      </c>
      <c r="N142" s="62">
        <f>-35.4-4.2</f>
        <v>-39.6</v>
      </c>
      <c r="O142" s="62">
        <f>-92.5+21.2</f>
        <v>-71.3</v>
      </c>
      <c r="P142" s="62">
        <f>-57.9+5.1</f>
        <v>-52.8</v>
      </c>
      <c r="Q142" s="62">
        <f>-144.1+9.9</f>
        <v>-134.19999999999999</v>
      </c>
      <c r="R142" s="62">
        <f>-131.1+21</f>
        <v>-110.1</v>
      </c>
      <c r="S142" s="62">
        <f>-87.4+16.4</f>
        <v>-71</v>
      </c>
      <c r="T142" s="62">
        <v>-33.299999999999997</v>
      </c>
      <c r="U142" s="62">
        <v>-58.4</v>
      </c>
      <c r="V142" s="62">
        <v>-209.00000000000003</v>
      </c>
      <c r="W142" s="62">
        <v>-81.899999999999977</v>
      </c>
      <c r="X142" s="62">
        <v>927</v>
      </c>
      <c r="Y142" s="62">
        <v>-120</v>
      </c>
      <c r="Z142" s="62">
        <f>-56+251</f>
        <v>195</v>
      </c>
      <c r="AA142" s="62">
        <f>140-83</f>
        <v>57</v>
      </c>
      <c r="AB142" s="62">
        <f>-76+16</f>
        <v>-60</v>
      </c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</row>
    <row r="143" spans="1:70">
      <c r="B143" s="58" t="s">
        <v>97</v>
      </c>
      <c r="C143" s="62"/>
      <c r="D143" s="62"/>
      <c r="E143" s="62">
        <v>30</v>
      </c>
      <c r="F143" s="62"/>
      <c r="G143" s="62">
        <v>31</v>
      </c>
      <c r="H143" s="62">
        <f t="shared" si="231"/>
        <v>48</v>
      </c>
      <c r="I143" s="62"/>
      <c r="J143" s="62">
        <v>59.2</v>
      </c>
      <c r="K143" s="62">
        <v>47.2</v>
      </c>
      <c r="L143" s="62">
        <v>12.9</v>
      </c>
      <c r="M143" s="62">
        <v>8</v>
      </c>
      <c r="N143" s="62">
        <v>11</v>
      </c>
      <c r="O143" s="62">
        <v>68.900000000000006</v>
      </c>
      <c r="P143" s="62">
        <v>70</v>
      </c>
      <c r="Q143" s="62">
        <v>5.3</v>
      </c>
      <c r="R143" s="62">
        <v>12.4</v>
      </c>
      <c r="S143" s="62">
        <v>14</v>
      </c>
      <c r="T143" s="62">
        <v>5.2</v>
      </c>
      <c r="U143" s="62">
        <v>5.4</v>
      </c>
      <c r="V143" s="62">
        <v>19.11</v>
      </c>
      <c r="W143" s="62">
        <v>6.9</v>
      </c>
      <c r="X143" s="62">
        <v>37</v>
      </c>
      <c r="Y143" s="62">
        <v>17</v>
      </c>
      <c r="Z143" s="62">
        <v>76</v>
      </c>
      <c r="AA143" s="62">
        <v>70</v>
      </c>
      <c r="AB143" s="62">
        <v>79</v>
      </c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</row>
    <row r="144" spans="1:70">
      <c r="B144" s="57" t="s">
        <v>108</v>
      </c>
      <c r="C144" s="81">
        <f t="shared" ref="C144:D144" si="234">+SUM(C140:C143)</f>
        <v>0</v>
      </c>
      <c r="D144" s="81">
        <f t="shared" si="234"/>
        <v>0</v>
      </c>
      <c r="E144" s="81">
        <f>+SUM(E140:E143)</f>
        <v>-1322</v>
      </c>
      <c r="F144" s="81">
        <f t="shared" ref="F144:H144" si="235">+SUM(F140:F143)</f>
        <v>0</v>
      </c>
      <c r="G144" s="81">
        <f t="shared" si="235"/>
        <v>1006</v>
      </c>
      <c r="H144" s="81">
        <f t="shared" si="235"/>
        <v>207</v>
      </c>
      <c r="I144" s="81"/>
      <c r="J144" s="81">
        <f t="shared" ref="J144:O144" si="236">+SUM(J140:J143)</f>
        <v>-3562.1000000000004</v>
      </c>
      <c r="K144" s="81">
        <f t="shared" si="236"/>
        <v>455.90000000000003</v>
      </c>
      <c r="L144" s="81">
        <f t="shared" si="236"/>
        <v>541.79999999999995</v>
      </c>
      <c r="M144" s="81">
        <f t="shared" si="236"/>
        <v>33.099999999999966</v>
      </c>
      <c r="N144" s="81">
        <f t="shared" si="236"/>
        <v>458.29999999999995</v>
      </c>
      <c r="O144" s="81">
        <f t="shared" si="236"/>
        <v>259.00000000000011</v>
      </c>
      <c r="P144" s="81">
        <f t="shared" ref="P144:R144" si="237">+SUM(P140:P143)</f>
        <v>-965.90000000000009</v>
      </c>
      <c r="Q144" s="81">
        <f t="shared" si="237"/>
        <v>-902.59999999999991</v>
      </c>
      <c r="R144" s="81">
        <f t="shared" si="237"/>
        <v>-758.7</v>
      </c>
      <c r="S144" s="81">
        <f>+SUM(S140:S143)</f>
        <v>-669.7</v>
      </c>
      <c r="T144" s="81">
        <v>-594.09999999999991</v>
      </c>
      <c r="U144" s="81">
        <v>-891.59999999999991</v>
      </c>
      <c r="V144" s="81">
        <v>-1186.0900000000001</v>
      </c>
      <c r="W144" s="81">
        <v>-196.49999999999997</v>
      </c>
      <c r="X144" s="81">
        <v>-452</v>
      </c>
      <c r="Y144" s="81">
        <v>-2770</v>
      </c>
      <c r="Z144" s="81">
        <f>SUM(Z140:Z143)</f>
        <v>-7298</v>
      </c>
      <c r="AA144" s="81">
        <f>SUM(AA140:AA143)</f>
        <v>-3185</v>
      </c>
      <c r="AB144" s="81">
        <f>SUM(AB140:AB143)</f>
        <v>1213</v>
      </c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</row>
    <row r="145" spans="2:70">
      <c r="B145" s="58" t="s">
        <v>98</v>
      </c>
      <c r="C145" s="62"/>
      <c r="D145" s="62"/>
      <c r="E145" s="62">
        <v>0</v>
      </c>
      <c r="F145" s="62"/>
      <c r="G145" s="62">
        <v>0</v>
      </c>
      <c r="H145" s="62">
        <f t="shared" si="231"/>
        <v>0</v>
      </c>
      <c r="I145" s="62"/>
      <c r="J145" s="62">
        <v>-6.7</v>
      </c>
      <c r="K145" s="62">
        <v>-174.4</v>
      </c>
      <c r="L145" s="62">
        <v>-44.6</v>
      </c>
      <c r="M145" s="62">
        <v>-84.3</v>
      </c>
      <c r="N145" s="62">
        <v>-324.89999999999998</v>
      </c>
      <c r="O145" s="62">
        <v>-204.9</v>
      </c>
      <c r="P145" s="62">
        <v>-84.2</v>
      </c>
      <c r="Q145" s="62">
        <v>3.2</v>
      </c>
      <c r="R145" s="62">
        <v>2.1</v>
      </c>
      <c r="S145" s="62">
        <v>-0.2</v>
      </c>
      <c r="T145" s="62">
        <v>0</v>
      </c>
      <c r="U145" s="62">
        <v>0</v>
      </c>
      <c r="V145" s="62">
        <v>0</v>
      </c>
      <c r="W145" s="62">
        <v>0</v>
      </c>
      <c r="X145" s="62">
        <v>0</v>
      </c>
      <c r="Y145" s="62">
        <v>38</v>
      </c>
      <c r="Z145" s="62">
        <v>0</v>
      </c>
      <c r="AA145" s="62">
        <v>0</v>
      </c>
      <c r="AB145" s="62">
        <v>0</v>
      </c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</row>
    <row r="146" spans="2:70">
      <c r="B146" s="58" t="s">
        <v>99</v>
      </c>
      <c r="C146" s="62"/>
      <c r="D146" s="62"/>
      <c r="E146" s="62">
        <f>-1716-6</f>
        <v>-1722</v>
      </c>
      <c r="F146" s="62"/>
      <c r="G146" s="62">
        <f>-736-7</f>
        <v>-743</v>
      </c>
      <c r="H146" s="62">
        <f t="shared" si="231"/>
        <v>7</v>
      </c>
      <c r="I146" s="62"/>
      <c r="J146" s="62">
        <v>-385.2</v>
      </c>
      <c r="K146" s="62">
        <v>-433.9</v>
      </c>
      <c r="L146" s="62">
        <v>-417.3</v>
      </c>
      <c r="M146" s="62">
        <v>-417.4</v>
      </c>
      <c r="N146" s="62">
        <v>-441</v>
      </c>
      <c r="O146" s="62">
        <v>-440.7</v>
      </c>
      <c r="P146" s="62">
        <v>-471.2</v>
      </c>
      <c r="Q146" s="62">
        <v>-473.2</v>
      </c>
      <c r="R146" s="62">
        <v>-504.9</v>
      </c>
      <c r="S146" s="62">
        <v>-504.9</v>
      </c>
      <c r="T146" s="62">
        <v>-597.29999999999995</v>
      </c>
      <c r="U146" s="62">
        <v>-780.4</v>
      </c>
      <c r="V146" s="62">
        <v>-1342</v>
      </c>
      <c r="W146" s="62">
        <v>-1009.4</v>
      </c>
      <c r="X146" s="62">
        <v>-1025</v>
      </c>
      <c r="Y146" s="62">
        <v>-1528</v>
      </c>
      <c r="Z146" s="62">
        <f>-1712-42</f>
        <v>-1754</v>
      </c>
      <c r="AA146" s="62">
        <f>-1716-24</f>
        <v>-1740</v>
      </c>
      <c r="AB146" s="62">
        <v>-736</v>
      </c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</row>
    <row r="147" spans="2:70">
      <c r="B147" s="58" t="s">
        <v>100</v>
      </c>
      <c r="C147" s="62"/>
      <c r="D147" s="62"/>
      <c r="E147" s="62">
        <v>-3</v>
      </c>
      <c r="F147" s="62"/>
      <c r="G147" s="62">
        <v>-14</v>
      </c>
      <c r="H147" s="62">
        <f t="shared" si="231"/>
        <v>-44</v>
      </c>
      <c r="I147" s="62"/>
      <c r="J147" s="62">
        <v>-72.099999999999994</v>
      </c>
      <c r="K147" s="62">
        <v>-58.9</v>
      </c>
      <c r="L147" s="62">
        <v>-30.5</v>
      </c>
      <c r="M147" s="62">
        <v>-21.9</v>
      </c>
      <c r="N147" s="62">
        <v>-12.8</v>
      </c>
      <c r="O147" s="62">
        <v>-32.6</v>
      </c>
      <c r="P147" s="62">
        <v>-26</v>
      </c>
      <c r="Q147" s="62">
        <v>-24.4</v>
      </c>
      <c r="R147" s="62">
        <v>-56.6</v>
      </c>
      <c r="S147" s="62">
        <v>-36.5</v>
      </c>
      <c r="T147" s="62">
        <v>-27.8</v>
      </c>
      <c r="U147" s="62">
        <v>-2.7</v>
      </c>
      <c r="V147" s="62">
        <v>-19.2</v>
      </c>
      <c r="W147" s="62">
        <v>-27.5</v>
      </c>
      <c r="X147" s="62">
        <v>2</v>
      </c>
      <c r="Y147" s="62">
        <v>317</v>
      </c>
      <c r="Z147" s="62">
        <v>-24</v>
      </c>
      <c r="AA147" s="62">
        <v>-73</v>
      </c>
      <c r="AB147" s="62">
        <f>-31-27</f>
        <v>-58</v>
      </c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</row>
    <row r="148" spans="2:70">
      <c r="B148" s="58" t="s">
        <v>341</v>
      </c>
      <c r="C148" s="62"/>
      <c r="D148" s="62"/>
      <c r="E148" s="62">
        <v>3</v>
      </c>
      <c r="F148" s="62"/>
      <c r="G148" s="62">
        <v>0</v>
      </c>
      <c r="H148" s="62">
        <f t="shared" si="231"/>
        <v>0</v>
      </c>
      <c r="I148" s="62"/>
      <c r="J148" s="62">
        <v>-147.9</v>
      </c>
      <c r="K148" s="62">
        <v>-131.69999999999999</v>
      </c>
      <c r="L148" s="62">
        <v>-4</v>
      </c>
      <c r="M148" s="62">
        <v>-14.5</v>
      </c>
      <c r="N148" s="62">
        <v>-119.5</v>
      </c>
      <c r="O148" s="62">
        <v>-14.9</v>
      </c>
      <c r="P148" s="62">
        <v>-39</v>
      </c>
      <c r="Q148" s="62">
        <v>-8.5</v>
      </c>
      <c r="R148" s="62">
        <v>-7.3</v>
      </c>
      <c r="S148" s="62">
        <v>0.5</v>
      </c>
      <c r="T148" s="62">
        <v>0.2</v>
      </c>
      <c r="U148" s="62">
        <v>-167.9</v>
      </c>
      <c r="V148" s="62">
        <v>-402.1</v>
      </c>
      <c r="W148" s="62">
        <v>-54.1</v>
      </c>
      <c r="X148" s="62">
        <v>-538</v>
      </c>
      <c r="Y148" s="62">
        <v>-1030</v>
      </c>
      <c r="Z148" s="62">
        <v>-10</v>
      </c>
      <c r="AA148" s="62">
        <v>2</v>
      </c>
      <c r="AB148" s="62">
        <v>0</v>
      </c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</row>
    <row r="149" spans="2:70">
      <c r="B149" s="58" t="s">
        <v>101</v>
      </c>
      <c r="C149" s="62"/>
      <c r="D149" s="62"/>
      <c r="E149" s="62">
        <v>1750</v>
      </c>
      <c r="F149" s="62"/>
      <c r="G149" s="62">
        <v>772</v>
      </c>
      <c r="H149" s="62">
        <f t="shared" si="231"/>
        <v>16</v>
      </c>
      <c r="I149" s="62"/>
      <c r="J149" s="62">
        <v>1797.1</v>
      </c>
      <c r="K149" s="62">
        <v>723</v>
      </c>
      <c r="L149" s="62">
        <v>1563.4</v>
      </c>
      <c r="M149" s="62">
        <v>524.70000000000005</v>
      </c>
      <c r="N149" s="62">
        <v>159</v>
      </c>
      <c r="O149" s="62">
        <v>676.5</v>
      </c>
      <c r="P149" s="62">
        <v>938.9</v>
      </c>
      <c r="Q149" s="62">
        <v>862.7</v>
      </c>
      <c r="R149" s="62">
        <v>1070.4000000000001</v>
      </c>
      <c r="S149" s="62">
        <v>570.5</v>
      </c>
      <c r="T149" s="62">
        <v>299.39999999999998</v>
      </c>
      <c r="U149" s="62">
        <v>73.099999999999994</v>
      </c>
      <c r="V149" s="62">
        <v>644.6</v>
      </c>
      <c r="W149" s="62">
        <v>1443.1</v>
      </c>
      <c r="X149" s="62">
        <v>63</v>
      </c>
      <c r="Y149" s="62">
        <v>1742</v>
      </c>
      <c r="Z149" s="62">
        <v>6205</v>
      </c>
      <c r="AA149" s="62">
        <v>2493</v>
      </c>
      <c r="AB149" s="62">
        <v>788</v>
      </c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</row>
    <row r="150" spans="2:70">
      <c r="B150" s="58" t="s">
        <v>102</v>
      </c>
      <c r="C150" s="62"/>
      <c r="D150" s="62"/>
      <c r="E150" s="62">
        <v>-512</v>
      </c>
      <c r="F150" s="62"/>
      <c r="G150" s="62">
        <v>-775</v>
      </c>
      <c r="H150" s="62">
        <f t="shared" si="231"/>
        <v>-767</v>
      </c>
      <c r="I150" s="62"/>
      <c r="J150" s="62">
        <v>-606.70000000000005</v>
      </c>
      <c r="K150" s="62">
        <v>-1325.7</v>
      </c>
      <c r="L150" s="62">
        <v>-1322.8</v>
      </c>
      <c r="M150" s="62">
        <v>-226.7</v>
      </c>
      <c r="N150" s="62">
        <v>-1236.2</v>
      </c>
      <c r="O150" s="62">
        <v>-138.69999999999999</v>
      </c>
      <c r="P150" s="62">
        <v>-740</v>
      </c>
      <c r="Q150" s="62">
        <v>-948.1</v>
      </c>
      <c r="R150" s="62">
        <v>-756.7</v>
      </c>
      <c r="S150" s="62">
        <v>-51.9</v>
      </c>
      <c r="T150" s="62">
        <v>-410.1</v>
      </c>
      <c r="U150" s="62">
        <v>-1404.5</v>
      </c>
      <c r="V150" s="62">
        <v>-287.60000000000002</v>
      </c>
      <c r="W150" s="62">
        <v>-642.29999999999995</v>
      </c>
      <c r="X150" s="62">
        <v>-583</v>
      </c>
      <c r="Y150" s="62">
        <v>-904</v>
      </c>
      <c r="Z150" s="62">
        <v>-957</v>
      </c>
      <c r="AA150" s="62">
        <v>-525</v>
      </c>
      <c r="AB150" s="62">
        <v>-1542</v>
      </c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</row>
    <row r="151" spans="2:70">
      <c r="B151" s="58" t="s">
        <v>103</v>
      </c>
      <c r="C151" s="62"/>
      <c r="D151" s="62"/>
      <c r="E151" s="62">
        <v>153</v>
      </c>
      <c r="F151" s="62"/>
      <c r="G151" s="62">
        <v>-126</v>
      </c>
      <c r="H151" s="62">
        <f t="shared" si="231"/>
        <v>-33</v>
      </c>
      <c r="I151" s="62"/>
      <c r="J151" s="62">
        <v>1650.5</v>
      </c>
      <c r="K151" s="62">
        <v>-639.20000000000005</v>
      </c>
      <c r="L151" s="62">
        <v>-1683.8</v>
      </c>
      <c r="M151" s="62">
        <v>-358.5</v>
      </c>
      <c r="N151" s="62">
        <v>448.2</v>
      </c>
      <c r="O151" s="62">
        <v>-565.9</v>
      </c>
      <c r="P151" s="62">
        <v>-308.2</v>
      </c>
      <c r="Q151" s="62">
        <v>546.70000000000005</v>
      </c>
      <c r="R151" s="62">
        <v>87.3</v>
      </c>
      <c r="S151" s="62">
        <v>-1054.7</v>
      </c>
      <c r="T151" s="62">
        <v>-364.6</v>
      </c>
      <c r="U151" s="62">
        <v>-27.9</v>
      </c>
      <c r="V151" s="62">
        <v>798.8</v>
      </c>
      <c r="W151" s="62">
        <v>-258.60000000000002</v>
      </c>
      <c r="X151" s="62">
        <v>152</v>
      </c>
      <c r="Y151" s="62">
        <v>343</v>
      </c>
      <c r="Z151" s="62">
        <v>174</v>
      </c>
      <c r="AA151" s="62">
        <v>-394</v>
      </c>
      <c r="AB151" s="62">
        <v>-159</v>
      </c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</row>
    <row r="152" spans="2:70">
      <c r="B152" s="58" t="s">
        <v>104</v>
      </c>
      <c r="C152" s="62"/>
      <c r="D152" s="62"/>
      <c r="E152" s="62">
        <v>-530</v>
      </c>
      <c r="F152" s="62"/>
      <c r="G152" s="62">
        <v>-536</v>
      </c>
      <c r="H152" s="62">
        <f t="shared" si="231"/>
        <v>-540</v>
      </c>
      <c r="I152" s="62"/>
      <c r="J152" s="62">
        <v>0</v>
      </c>
      <c r="K152" s="62">
        <v>0</v>
      </c>
      <c r="L152" s="62">
        <v>0</v>
      </c>
      <c r="M152" s="62">
        <v>0</v>
      </c>
      <c r="N152" s="62">
        <v>0</v>
      </c>
      <c r="O152" s="62">
        <v>0</v>
      </c>
      <c r="P152" s="62">
        <v>0</v>
      </c>
      <c r="Q152" s="62">
        <v>0</v>
      </c>
      <c r="R152" s="62">
        <v>0</v>
      </c>
      <c r="S152" s="62">
        <v>0</v>
      </c>
      <c r="T152" s="62">
        <v>0</v>
      </c>
      <c r="U152" s="62">
        <v>0</v>
      </c>
      <c r="V152" s="62">
        <v>639.6</v>
      </c>
      <c r="W152" s="62">
        <v>787.3</v>
      </c>
      <c r="X152" s="62">
        <v>776</v>
      </c>
      <c r="Y152" s="62">
        <v>824</v>
      </c>
      <c r="Z152" s="62">
        <v>-880</v>
      </c>
      <c r="AA152" s="62">
        <v>-1049</v>
      </c>
      <c r="AB152" s="62">
        <v>-1076</v>
      </c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</row>
    <row r="153" spans="2:70">
      <c r="B153" s="58" t="s">
        <v>105</v>
      </c>
      <c r="C153" s="62"/>
      <c r="D153" s="62"/>
      <c r="E153" s="62">
        <v>-254</v>
      </c>
      <c r="F153" s="62"/>
      <c r="G153" s="62">
        <v>-295</v>
      </c>
      <c r="H153" s="62">
        <f t="shared" si="231"/>
        <v>-372</v>
      </c>
      <c r="I153" s="62"/>
      <c r="J153" s="62">
        <v>-330.9</v>
      </c>
      <c r="K153" s="62">
        <v>-390.4</v>
      </c>
      <c r="L153" s="62">
        <v>-254.7</v>
      </c>
      <c r="M153" s="62">
        <v>-250.2</v>
      </c>
      <c r="N153" s="62">
        <v>-204.1</v>
      </c>
      <c r="O153" s="62">
        <v>-231.1</v>
      </c>
      <c r="P153" s="62">
        <v>-185.6</v>
      </c>
      <c r="Q153" s="62">
        <v>-233.4</v>
      </c>
      <c r="R153" s="62">
        <v>-178.8</v>
      </c>
      <c r="S153" s="62">
        <v>-186.6</v>
      </c>
      <c r="T153" s="62">
        <v>184.7</v>
      </c>
      <c r="U153" s="62">
        <v>192.4</v>
      </c>
      <c r="V153" s="62">
        <v>289.89999999999998</v>
      </c>
      <c r="W153" s="62">
        <v>287</v>
      </c>
      <c r="X153" s="62">
        <v>222</v>
      </c>
      <c r="Y153" s="62">
        <v>298</v>
      </c>
      <c r="Z153" s="62">
        <v>-377</v>
      </c>
      <c r="AA153" s="62">
        <v>-610</v>
      </c>
      <c r="AB153" s="62">
        <v>-667</v>
      </c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</row>
    <row r="154" spans="2:70">
      <c r="B154" s="57" t="s">
        <v>109</v>
      </c>
      <c r="C154" s="62"/>
      <c r="D154" s="62"/>
      <c r="E154" s="81">
        <f>+SUM(E145:E153)</f>
        <v>-1115</v>
      </c>
      <c r="F154" s="62"/>
      <c r="G154" s="81">
        <f>+SUM(G145:G153)</f>
        <v>-1717</v>
      </c>
      <c r="H154" s="81">
        <f>+SUM(H145:H153)</f>
        <v>-1733</v>
      </c>
      <c r="I154" s="62"/>
      <c r="J154" s="81">
        <f t="shared" ref="J154:M154" si="238">+SUM(J145:J153)</f>
        <v>1898.1</v>
      </c>
      <c r="K154" s="81">
        <f t="shared" si="238"/>
        <v>-2431.1999999999998</v>
      </c>
      <c r="L154" s="81">
        <f t="shared" si="238"/>
        <v>-2194.2999999999997</v>
      </c>
      <c r="M154" s="81">
        <f t="shared" si="238"/>
        <v>-848.8</v>
      </c>
      <c r="N154" s="81">
        <f t="shared" ref="N154:R154" si="239">+SUM(N145:N153)</f>
        <v>-1731.3</v>
      </c>
      <c r="O154" s="81">
        <f t="shared" si="239"/>
        <v>-952.30000000000007</v>
      </c>
      <c r="P154" s="81">
        <f t="shared" si="239"/>
        <v>-915.30000000000007</v>
      </c>
      <c r="Q154" s="81">
        <f t="shared" si="239"/>
        <v>-274.99999999999989</v>
      </c>
      <c r="R154" s="81">
        <f t="shared" si="239"/>
        <v>-344.49999999999989</v>
      </c>
      <c r="S154" s="81">
        <f>+SUM(S145:S153)</f>
        <v>-1263.8</v>
      </c>
      <c r="T154" s="81">
        <v>-1284.8999999999999</v>
      </c>
      <c r="U154" s="81">
        <v>-2502.7000000000003</v>
      </c>
      <c r="V154" s="81">
        <v>-1537.0000000000005</v>
      </c>
      <c r="W154" s="81">
        <v>-1623.1</v>
      </c>
      <c r="X154" s="81">
        <v>-2927</v>
      </c>
      <c r="Y154" s="81">
        <v>-2144</v>
      </c>
      <c r="Z154" s="81">
        <f>SUM(Z145:Z153)</f>
        <v>2377</v>
      </c>
      <c r="AA154" s="81">
        <f>SUM(AA145:AA153)</f>
        <v>-1896</v>
      </c>
      <c r="AB154" s="81">
        <f>SUM(AB145:AB153)</f>
        <v>-3450</v>
      </c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</row>
    <row r="155" spans="2:70">
      <c r="B155" s="58" t="s">
        <v>343</v>
      </c>
      <c r="C155" s="62"/>
      <c r="D155" s="62"/>
      <c r="E155" s="62">
        <v>0</v>
      </c>
      <c r="F155" s="62"/>
      <c r="G155" s="62">
        <v>-1</v>
      </c>
      <c r="H155" s="62">
        <f t="shared" si="231"/>
        <v>59</v>
      </c>
      <c r="I155" s="62"/>
      <c r="J155" s="62">
        <v>32.200000000000003</v>
      </c>
      <c r="K155" s="62">
        <v>-21.1</v>
      </c>
      <c r="L155" s="62">
        <v>-4.3</v>
      </c>
      <c r="M155" s="62">
        <v>-86.8</v>
      </c>
      <c r="N155" s="62">
        <v>87.4</v>
      </c>
      <c r="O155" s="62">
        <v>97.1</v>
      </c>
      <c r="P155" s="62">
        <v>-443.4</v>
      </c>
      <c r="Q155" s="62">
        <v>-442.7</v>
      </c>
      <c r="R155" s="62">
        <v>4.5</v>
      </c>
      <c r="S155" s="62">
        <v>-17.7</v>
      </c>
      <c r="T155" s="62">
        <v>87.7</v>
      </c>
      <c r="U155" s="62">
        <v>-379.1</v>
      </c>
      <c r="V155" s="62">
        <v>132.69999999999999</v>
      </c>
      <c r="W155" s="62">
        <v>-4.3</v>
      </c>
      <c r="X155" s="62">
        <v>-2</v>
      </c>
      <c r="Y155" s="62">
        <v>-8</v>
      </c>
      <c r="Z155" s="62">
        <v>0</v>
      </c>
      <c r="AA155" s="62">
        <v>0</v>
      </c>
      <c r="AB155" s="62">
        <v>58</v>
      </c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</row>
    <row r="156" spans="2:70">
      <c r="B156" s="58" t="s">
        <v>342</v>
      </c>
      <c r="C156" s="62"/>
      <c r="D156" s="62"/>
      <c r="E156" s="62">
        <v>37</v>
      </c>
      <c r="F156" s="62"/>
      <c r="G156" s="62">
        <v>109</v>
      </c>
      <c r="H156" s="62">
        <f t="shared" si="231"/>
        <v>-52</v>
      </c>
      <c r="I156" s="62"/>
      <c r="J156" s="62">
        <v>-5.4</v>
      </c>
      <c r="K156" s="62">
        <v>-52.4</v>
      </c>
      <c r="L156" s="62">
        <v>-10.9</v>
      </c>
      <c r="M156" s="62">
        <v>32.799999999999997</v>
      </c>
      <c r="N156" s="62">
        <v>-16.3</v>
      </c>
      <c r="O156" s="62">
        <v>3</v>
      </c>
      <c r="P156" s="62">
        <v>66</v>
      </c>
      <c r="Q156" s="62">
        <v>-73.2</v>
      </c>
      <c r="R156" s="62">
        <v>-98.4</v>
      </c>
      <c r="S156" s="62">
        <v>13.9</v>
      </c>
      <c r="T156" s="62">
        <v>159.80000000000001</v>
      </c>
      <c r="U156" s="62">
        <v>-67.599999999999994</v>
      </c>
      <c r="V156" s="62">
        <v>116.4</v>
      </c>
      <c r="W156" s="62">
        <v>97.8</v>
      </c>
      <c r="X156" s="62">
        <v>21</v>
      </c>
      <c r="Y156" s="62">
        <v>222</v>
      </c>
      <c r="Z156" s="62">
        <v>18</v>
      </c>
      <c r="AA156" s="62">
        <v>31</v>
      </c>
      <c r="AB156" s="62">
        <v>57</v>
      </c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</row>
    <row r="157" spans="2:70">
      <c r="B157" s="57" t="s">
        <v>106</v>
      </c>
      <c r="C157" s="62"/>
      <c r="D157" s="62"/>
      <c r="E157" s="81">
        <f>+E156+E154+E144+E139</f>
        <v>46</v>
      </c>
      <c r="F157" s="62"/>
      <c r="G157" s="81">
        <f>+G156+G154+G144+G139</f>
        <v>870</v>
      </c>
      <c r="H157" s="81">
        <f>+H156+H154+H144+H139</f>
        <v>128</v>
      </c>
      <c r="I157" s="62"/>
      <c r="J157" s="81">
        <f t="shared" ref="J157:N157" si="240">+J155+J156+J154+J144+J139</f>
        <v>234.99999999999909</v>
      </c>
      <c r="K157" s="81">
        <f t="shared" si="240"/>
        <v>-517.40000000000009</v>
      </c>
      <c r="L157" s="81">
        <f t="shared" si="240"/>
        <v>-215.09999999999968</v>
      </c>
      <c r="M157" s="81">
        <f t="shared" si="240"/>
        <v>506.50000000000023</v>
      </c>
      <c r="N157" s="81">
        <f t="shared" si="240"/>
        <v>-22.600000000000364</v>
      </c>
      <c r="O157" s="81">
        <f t="shared" ref="O157:R157" si="241">+O155+O156+O154+O144+O139</f>
        <v>772.80000000000007</v>
      </c>
      <c r="P157" s="81">
        <f t="shared" si="241"/>
        <v>-737.40000000000032</v>
      </c>
      <c r="Q157" s="81">
        <f t="shared" si="241"/>
        <v>-432.19999999999982</v>
      </c>
      <c r="R157" s="81">
        <f t="shared" si="241"/>
        <v>98.5</v>
      </c>
      <c r="S157" s="81">
        <f>+S155+S156+S154+S144+S139</f>
        <v>-145.40000000000032</v>
      </c>
      <c r="T157" s="81">
        <v>1141.6000000000006</v>
      </c>
      <c r="U157" s="81">
        <v>-63.000000000000199</v>
      </c>
      <c r="V157" s="81">
        <v>1.3100000000004854</v>
      </c>
      <c r="W157" s="81">
        <v>1162.5</v>
      </c>
      <c r="X157" s="81">
        <v>1516</v>
      </c>
      <c r="Y157" s="81">
        <v>-422</v>
      </c>
      <c r="Z157" s="81">
        <f>Z139+Z144+Z154+Z155+Z156</f>
        <v>-444</v>
      </c>
      <c r="AA157" s="81">
        <f>AA139+AA144+AA154+AA155+AA156</f>
        <v>-341</v>
      </c>
      <c r="AB157" s="81">
        <f>AB139+AB144+AB154+AB155+AB156</f>
        <v>978</v>
      </c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</row>
    <row r="158" spans="2:70">
      <c r="B158" s="58" t="s">
        <v>344</v>
      </c>
      <c r="C158" s="62"/>
      <c r="D158" s="62"/>
      <c r="E158" s="62">
        <v>3650</v>
      </c>
      <c r="F158" s="62"/>
      <c r="G158" s="62">
        <v>3309</v>
      </c>
      <c r="H158" s="62">
        <f>+G159</f>
        <v>4178</v>
      </c>
      <c r="I158" s="62"/>
      <c r="J158" s="62">
        <f>+J159-J157</f>
        <v>-1685.8999999999987</v>
      </c>
      <c r="K158" s="62">
        <f>+K157-K159</f>
        <v>-1450.8999999999996</v>
      </c>
      <c r="L158" s="62">
        <f>+L159-L157</f>
        <v>933.49999999999966</v>
      </c>
      <c r="M158" s="62">
        <v>718.4</v>
      </c>
      <c r="N158" s="62">
        <f>+N159-N157</f>
        <v>1224.9000000000003</v>
      </c>
      <c r="O158" s="62">
        <v>1202.3</v>
      </c>
      <c r="P158" s="62">
        <v>1975.1</v>
      </c>
      <c r="Q158" s="62">
        <v>1237.5999999999999</v>
      </c>
      <c r="R158" s="62">
        <v>805.4</v>
      </c>
      <c r="S158" s="62">
        <v>902.9</v>
      </c>
      <c r="T158" s="62">
        <v>757.5</v>
      </c>
      <c r="U158" s="62">
        <v>1899.1000000000006</v>
      </c>
      <c r="V158" s="62">
        <v>1836.3</v>
      </c>
      <c r="W158" s="62">
        <v>1837.6100000000004</v>
      </c>
      <c r="X158" s="62">
        <v>3000</v>
      </c>
      <c r="Y158" s="62">
        <v>4516</v>
      </c>
      <c r="Z158" s="62">
        <f>Y159</f>
        <v>4094</v>
      </c>
      <c r="AA158" s="62">
        <f>+Z159</f>
        <v>3650</v>
      </c>
      <c r="AB158" s="62">
        <v>3309</v>
      </c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</row>
    <row r="159" spans="2:70">
      <c r="B159" s="58" t="s">
        <v>345</v>
      </c>
      <c r="C159" s="62"/>
      <c r="D159" s="62"/>
      <c r="E159" s="62">
        <f>+E157+E158</f>
        <v>3696</v>
      </c>
      <c r="F159" s="62"/>
      <c r="G159" s="62">
        <v>4178</v>
      </c>
      <c r="H159" s="62">
        <f>+H157+H158</f>
        <v>4306</v>
      </c>
      <c r="I159" s="62"/>
      <c r="J159" s="62">
        <f>+K158</f>
        <v>-1450.8999999999996</v>
      </c>
      <c r="K159" s="62">
        <f>+L158</f>
        <v>933.49999999999966</v>
      </c>
      <c r="L159" s="62">
        <f>+M158</f>
        <v>718.4</v>
      </c>
      <c r="M159" s="62">
        <f>+M157+M158</f>
        <v>1224.9000000000001</v>
      </c>
      <c r="N159" s="62">
        <f>+O158</f>
        <v>1202.3</v>
      </c>
      <c r="O159" s="62">
        <f>+P158</f>
        <v>1975.1</v>
      </c>
      <c r="P159" s="62">
        <f>+Q158</f>
        <v>1237.5999999999999</v>
      </c>
      <c r="Q159" s="62">
        <f>+Q157+Q158</f>
        <v>805.40000000000009</v>
      </c>
      <c r="R159" s="62">
        <v>902.9</v>
      </c>
      <c r="S159" s="62">
        <v>757.5</v>
      </c>
      <c r="T159" s="62">
        <v>1899.1000000000006</v>
      </c>
      <c r="U159" s="62">
        <v>1836.1000000000004</v>
      </c>
      <c r="V159" s="62">
        <v>1837.6100000000004</v>
      </c>
      <c r="W159" s="62">
        <v>3000.1100000000006</v>
      </c>
      <c r="X159" s="62">
        <v>4516</v>
      </c>
      <c r="Y159" s="62">
        <v>4094</v>
      </c>
      <c r="Z159" s="62">
        <f>Z158+Z157</f>
        <v>3650</v>
      </c>
      <c r="AA159" s="62">
        <f>+AA158+AA157</f>
        <v>3309</v>
      </c>
      <c r="AB159" s="62">
        <f>+AB158+AB157</f>
        <v>4287</v>
      </c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</row>
    <row r="160" spans="2:70"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</row>
    <row r="161" spans="1:70" s="57" customFormat="1">
      <c r="A161" s="58"/>
      <c r="B161" s="57" t="s">
        <v>208</v>
      </c>
      <c r="C161" s="81"/>
      <c r="D161" s="81"/>
      <c r="E161" s="81">
        <f>+E139+E140</f>
        <v>1055</v>
      </c>
      <c r="F161" s="81">
        <f t="shared" ref="F161:AB161" si="242">+F139+F140</f>
        <v>0</v>
      </c>
      <c r="G161" s="81">
        <f t="shared" si="242"/>
        <v>2383</v>
      </c>
      <c r="H161" s="81">
        <f t="shared" si="242"/>
        <v>2123</v>
      </c>
      <c r="I161" s="81"/>
      <c r="J161" s="81">
        <f t="shared" si="242"/>
        <v>1345.4999999999995</v>
      </c>
      <c r="K161" s="81">
        <f t="shared" si="242"/>
        <v>1004.3999999999996</v>
      </c>
      <c r="L161" s="81">
        <f t="shared" si="242"/>
        <v>1172.8999999999999</v>
      </c>
      <c r="M161" s="81">
        <f t="shared" si="242"/>
        <v>1033.6000000000004</v>
      </c>
      <c r="N161" s="81">
        <f t="shared" si="242"/>
        <v>930.89999999999975</v>
      </c>
      <c r="O161" s="81">
        <f t="shared" si="242"/>
        <v>930.2</v>
      </c>
      <c r="P161" s="81">
        <f t="shared" si="242"/>
        <v>856.6</v>
      </c>
      <c r="Q161" s="81">
        <f t="shared" si="242"/>
        <v>1077.8</v>
      </c>
      <c r="R161" s="81">
        <f t="shared" si="242"/>
        <v>660.19999999999993</v>
      </c>
      <c r="S161" s="81">
        <f t="shared" si="242"/>
        <v>1189.3999999999996</v>
      </c>
      <c r="T161" s="81">
        <f t="shared" si="242"/>
        <v>2205.5000000000005</v>
      </c>
      <c r="U161" s="81">
        <f t="shared" si="242"/>
        <v>2955.2</v>
      </c>
      <c r="V161" s="81">
        <f t="shared" si="242"/>
        <v>1520.7000000000012</v>
      </c>
      <c r="W161" s="81">
        <f t="shared" si="242"/>
        <v>2104.6</v>
      </c>
      <c r="X161" s="81">
        <f t="shared" si="242"/>
        <v>3948</v>
      </c>
      <c r="Y161" s="81">
        <f t="shared" si="242"/>
        <v>3208</v>
      </c>
      <c r="Z161" s="81">
        <f t="shared" si="242"/>
        <v>1983</v>
      </c>
      <c r="AA161" s="81">
        <f t="shared" si="242"/>
        <v>1432</v>
      </c>
      <c r="AB161" s="81">
        <f t="shared" si="242"/>
        <v>4428</v>
      </c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</row>
    <row r="162" spans="1:70"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</row>
    <row r="163" spans="1:70"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</row>
    <row r="164" spans="1:70"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</row>
    <row r="165" spans="1:70"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</row>
    <row r="166" spans="1:70"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</row>
    <row r="167" spans="1:70"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</row>
    <row r="168" spans="1:70"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</row>
    <row r="169" spans="1:70"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</row>
    <row r="170" spans="1:70"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</row>
    <row r="171" spans="1:70"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</row>
    <row r="172" spans="1:70"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</row>
    <row r="173" spans="1:70"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</row>
    <row r="174" spans="1:70"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</row>
    <row r="175" spans="1:70"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</row>
    <row r="176" spans="1:70"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</row>
    <row r="177" spans="27:69"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</row>
    <row r="178" spans="27:69"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</row>
    <row r="179" spans="27:69"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</row>
  </sheetData>
  <hyperlinks>
    <hyperlink ref="A1" location="Main!A1" display="Main" xr:uid="{58ACE4BD-BB89-4042-812B-9BB50C8F5E4A}"/>
  </hyperlink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C568-14E8-40DB-82DC-06CAE7AF277C}">
  <dimension ref="A1:AL227"/>
  <sheetViews>
    <sheetView zoomScale="200" zoomScaleNormal="2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S18" sqref="S18"/>
    </sheetView>
  </sheetViews>
  <sheetFormatPr defaultRowHeight="12.75"/>
  <cols>
    <col min="1" max="1" width="4.7109375" style="139" bestFit="1" customWidth="1"/>
    <col min="2" max="2" width="18.85546875" style="139" customWidth="1"/>
    <col min="3" max="16384" width="9.140625" style="139"/>
  </cols>
  <sheetData>
    <row r="1" spans="1:38">
      <c r="A1" s="138" t="s">
        <v>29</v>
      </c>
    </row>
    <row r="2" spans="1:38">
      <c r="C2" s="140" t="s">
        <v>475</v>
      </c>
      <c r="D2" s="140" t="s">
        <v>477</v>
      </c>
      <c r="E2" s="140" t="s">
        <v>476</v>
      </c>
      <c r="F2" s="140" t="s">
        <v>478</v>
      </c>
      <c r="G2" s="140" t="s">
        <v>467</v>
      </c>
      <c r="H2" s="140" t="s">
        <v>468</v>
      </c>
      <c r="I2" s="140" t="s">
        <v>469</v>
      </c>
      <c r="J2" s="140" t="s">
        <v>470</v>
      </c>
      <c r="K2" s="140" t="s">
        <v>466</v>
      </c>
      <c r="L2" s="140" t="s">
        <v>53</v>
      </c>
      <c r="M2" s="140" t="s">
        <v>464</v>
      </c>
      <c r="N2" s="140" t="s">
        <v>471</v>
      </c>
      <c r="O2" s="140" t="s">
        <v>510</v>
      </c>
      <c r="P2" s="140" t="s">
        <v>511</v>
      </c>
      <c r="Q2" s="140" t="s">
        <v>512</v>
      </c>
      <c r="R2" s="140" t="s">
        <v>513</v>
      </c>
      <c r="S2" s="140" t="s">
        <v>548</v>
      </c>
      <c r="T2" s="140" t="s">
        <v>549</v>
      </c>
      <c r="U2" s="140" t="s">
        <v>550</v>
      </c>
      <c r="V2" s="140" t="s">
        <v>551</v>
      </c>
    </row>
    <row r="3" spans="1:38">
      <c r="A3" s="141" t="s">
        <v>52</v>
      </c>
      <c r="B3" s="142" t="s">
        <v>479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</row>
    <row r="4" spans="1:38">
      <c r="B4" s="139" t="s">
        <v>11</v>
      </c>
      <c r="C4" s="143">
        <v>2591</v>
      </c>
      <c r="D4" s="143">
        <v>2582</v>
      </c>
      <c r="E4" s="143">
        <v>2581</v>
      </c>
      <c r="F4" s="143">
        <f>+Model!Y38-SUM(Quart!C4:E4)</f>
        <v>2733</v>
      </c>
      <c r="G4" s="143">
        <v>2616</v>
      </c>
      <c r="H4" s="143">
        <v>2512</v>
      </c>
      <c r="I4" s="143">
        <v>2217</v>
      </c>
      <c r="J4" s="143">
        <f>+Model!Z38-SUM(Quart!G4:I4)</f>
        <v>2528</v>
      </c>
      <c r="K4" s="143">
        <v>2079</v>
      </c>
      <c r="L4" s="143">
        <v>2006</v>
      </c>
      <c r="M4" s="143">
        <v>1641</v>
      </c>
      <c r="N4" s="143">
        <v>1924</v>
      </c>
      <c r="O4" s="143">
        <v>1571</v>
      </c>
      <c r="P4" s="143">
        <f>+Model!G38-Quart!O4</f>
        <v>1456</v>
      </c>
      <c r="Q4" s="143">
        <v>1343</v>
      </c>
      <c r="R4" s="143">
        <f>+Model!AB38-SUM(O4:Q4)</f>
        <v>1622</v>
      </c>
      <c r="S4" s="143">
        <v>1347</v>
      </c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</row>
    <row r="5" spans="1:38">
      <c r="B5" s="139" t="s">
        <v>472</v>
      </c>
      <c r="C5" s="143">
        <v>739</v>
      </c>
      <c r="D5" s="143">
        <v>742</v>
      </c>
      <c r="E5" s="143">
        <v>916</v>
      </c>
      <c r="F5" s="143">
        <f>+Model!Y39-SUM(Quart!C5:E5)</f>
        <v>903</v>
      </c>
      <c r="G5" s="143">
        <v>806</v>
      </c>
      <c r="H5" s="143">
        <v>770</v>
      </c>
      <c r="I5" s="143">
        <v>768</v>
      </c>
      <c r="J5" s="143">
        <f>+Model!Z39-SUM(Quart!G5:I5)</f>
        <v>835</v>
      </c>
      <c r="K5" s="143">
        <v>740</v>
      </c>
      <c r="L5" s="143">
        <v>701</v>
      </c>
      <c r="M5" s="143">
        <v>670</v>
      </c>
      <c r="N5" s="143">
        <v>770</v>
      </c>
      <c r="O5" s="143">
        <v>679</v>
      </c>
      <c r="P5" s="143">
        <f>+Model!G39-Quart!O5</f>
        <v>609</v>
      </c>
      <c r="Q5" s="143">
        <v>620</v>
      </c>
      <c r="R5" s="143">
        <f>+Model!AB39-SUM(O5:Q5)</f>
        <v>735</v>
      </c>
      <c r="S5" s="152" t="s">
        <v>136</v>
      </c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</row>
    <row r="6" spans="1:38">
      <c r="B6" s="139" t="s">
        <v>373</v>
      </c>
      <c r="C6" s="143">
        <v>396</v>
      </c>
      <c r="D6" s="143">
        <v>438</v>
      </c>
      <c r="E6" s="143">
        <v>437</v>
      </c>
      <c r="F6" s="143">
        <f>+Model!Y40-SUM(Quart!C6:E6)</f>
        <v>469</v>
      </c>
      <c r="G6" s="143">
        <v>395</v>
      </c>
      <c r="H6" s="143">
        <v>438</v>
      </c>
      <c r="I6" s="143">
        <v>381</v>
      </c>
      <c r="J6" s="143">
        <f>+Model!Z40-SUM(Quart!G6:I6)</f>
        <v>431</v>
      </c>
      <c r="K6" s="143">
        <v>388</v>
      </c>
      <c r="L6" s="143">
        <v>448</v>
      </c>
      <c r="M6" s="143">
        <v>397</v>
      </c>
      <c r="N6" s="143">
        <v>480</v>
      </c>
      <c r="O6" s="143">
        <v>405</v>
      </c>
      <c r="P6" s="143">
        <f>+Model!G40-Quart!O6</f>
        <v>441</v>
      </c>
      <c r="Q6" s="143">
        <v>393</v>
      </c>
      <c r="R6" s="143">
        <f>+Model!AB40-SUM(O6:Q6)</f>
        <v>467</v>
      </c>
      <c r="S6" s="152" t="s">
        <v>136</v>
      </c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</row>
    <row r="7" spans="1:38">
      <c r="B7" s="139" t="s">
        <v>376</v>
      </c>
      <c r="C7" s="143">
        <v>973</v>
      </c>
      <c r="D7" s="143">
        <v>982</v>
      </c>
      <c r="E7" s="143">
        <v>995</v>
      </c>
      <c r="F7" s="143">
        <f>+Model!Y41-SUM(Quart!C7:E7)</f>
        <v>924</v>
      </c>
      <c r="G7" s="143">
        <v>890</v>
      </c>
      <c r="H7" s="143">
        <v>966</v>
      </c>
      <c r="I7" s="143">
        <v>805</v>
      </c>
      <c r="J7" s="143">
        <f>+Model!Z41-SUM(Quart!G7:I7)</f>
        <v>853</v>
      </c>
      <c r="K7" s="143">
        <v>824</v>
      </c>
      <c r="L7" s="143">
        <v>893</v>
      </c>
      <c r="M7" s="143">
        <v>686</v>
      </c>
      <c r="N7" s="143">
        <v>818</v>
      </c>
      <c r="O7" s="143">
        <v>733</v>
      </c>
      <c r="P7" s="143">
        <f>+Model!G41-Quart!O7</f>
        <v>726</v>
      </c>
      <c r="Q7" s="143">
        <v>652</v>
      </c>
      <c r="R7" s="143">
        <f>+Model!AB41-SUM(O7:Q7)</f>
        <v>789</v>
      </c>
      <c r="S7" s="152" t="s">
        <v>136</v>
      </c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</row>
    <row r="8" spans="1:38">
      <c r="B8" s="139" t="s">
        <v>382</v>
      </c>
      <c r="C8" s="143">
        <v>308</v>
      </c>
      <c r="D8" s="143">
        <v>283</v>
      </c>
      <c r="E8" s="143">
        <v>253</v>
      </c>
      <c r="F8" s="143">
        <f>+Model!Y42-SUM(Quart!C8:E8)</f>
        <v>295</v>
      </c>
      <c r="G8" s="143">
        <v>433</v>
      </c>
      <c r="H8" s="143">
        <v>436</v>
      </c>
      <c r="I8" s="143">
        <v>333</v>
      </c>
      <c r="J8" s="143">
        <f>+Model!Z42-SUM(Quart!G8:I8)</f>
        <v>366</v>
      </c>
      <c r="K8" s="143">
        <v>536</v>
      </c>
      <c r="L8" s="143">
        <v>531</v>
      </c>
      <c r="M8" s="143">
        <v>440</v>
      </c>
      <c r="N8" s="143">
        <v>434</v>
      </c>
      <c r="O8" s="143">
        <v>558</v>
      </c>
      <c r="P8" s="143">
        <f>+Model!G42-Quart!O8</f>
        <v>534</v>
      </c>
      <c r="Q8" s="143">
        <v>448</v>
      </c>
      <c r="R8" s="143">
        <f>+Model!AB42-SUM(O8:Q8)</f>
        <v>91</v>
      </c>
      <c r="S8" s="143">
        <v>489</v>
      </c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</row>
    <row r="9" spans="1:38">
      <c r="B9" s="139" t="s">
        <v>465</v>
      </c>
      <c r="C9" s="143">
        <v>-51</v>
      </c>
      <c r="D9" s="143">
        <v>-53</v>
      </c>
      <c r="E9" s="143">
        <v>-45</v>
      </c>
      <c r="F9" s="143">
        <f>+Model!Y43-SUM(Quart!C9:E9)</f>
        <v>-40</v>
      </c>
      <c r="G9" s="143">
        <v>-63</v>
      </c>
      <c r="H9" s="143">
        <v>-64</v>
      </c>
      <c r="I9" s="143">
        <v>-40</v>
      </c>
      <c r="J9" s="143">
        <f>+Model!Z43-SUM(Quart!G9:I9)</f>
        <v>-46</v>
      </c>
      <c r="K9" s="143">
        <v>-63</v>
      </c>
      <c r="L9" s="143">
        <v>-65</v>
      </c>
      <c r="M9" s="143">
        <v>-48</v>
      </c>
      <c r="N9" s="143">
        <v>-36</v>
      </c>
      <c r="O9" s="143">
        <v>-63</v>
      </c>
      <c r="P9" s="143">
        <f>+Model!G43-Quart!O9</f>
        <v>-62</v>
      </c>
      <c r="Q9" s="143">
        <v>-41</v>
      </c>
      <c r="R9" s="143">
        <f>+Model!AB43-SUM(O9:Q9)</f>
        <v>-31</v>
      </c>
      <c r="S9" s="143">
        <v>-72</v>
      </c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</row>
    <row r="10" spans="1:38">
      <c r="B10" s="144" t="s">
        <v>30</v>
      </c>
      <c r="C10" s="145">
        <f t="shared" ref="C10" si="0">+SUM(C4:C9)</f>
        <v>4956</v>
      </c>
      <c r="D10" s="145">
        <f t="shared" ref="D10" si="1">+SUM(D4:D9)</f>
        <v>4974</v>
      </c>
      <c r="E10" s="145">
        <f t="shared" ref="E10" si="2">+SUM(E4:E9)</f>
        <v>5137</v>
      </c>
      <c r="F10" s="145">
        <f t="shared" ref="F10" si="3">+SUM(F4:F9)</f>
        <v>5284</v>
      </c>
      <c r="G10" s="145">
        <f t="shared" ref="G10:L10" si="4">+SUM(G4:G9)</f>
        <v>5077</v>
      </c>
      <c r="H10" s="145">
        <f t="shared" si="4"/>
        <v>5058</v>
      </c>
      <c r="I10" s="145">
        <f t="shared" si="4"/>
        <v>4464</v>
      </c>
      <c r="J10" s="145">
        <f t="shared" si="4"/>
        <v>4967</v>
      </c>
      <c r="K10" s="145">
        <f t="shared" si="4"/>
        <v>4504</v>
      </c>
      <c r="L10" s="145">
        <f t="shared" si="4"/>
        <v>4514</v>
      </c>
      <c r="M10" s="145">
        <f>+SUM(M4:M9)</f>
        <v>3786</v>
      </c>
      <c r="N10" s="145">
        <f t="shared" ref="N10:O10" si="5">+SUM(N4:N9)</f>
        <v>4390</v>
      </c>
      <c r="O10" s="145">
        <f t="shared" si="5"/>
        <v>3883</v>
      </c>
      <c r="P10" s="145">
        <v>3704</v>
      </c>
      <c r="Q10" s="145">
        <v>3415</v>
      </c>
      <c r="R10" s="145">
        <f>+SUM(R4:R9)</f>
        <v>3673</v>
      </c>
      <c r="S10" s="143">
        <v>3568</v>
      </c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</row>
    <row r="11" spans="1:38"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</row>
    <row r="12" spans="1:38">
      <c r="A12" s="141" t="s">
        <v>52</v>
      </c>
      <c r="B12" s="139" t="s">
        <v>480</v>
      </c>
      <c r="C12" s="143"/>
      <c r="D12" s="143"/>
      <c r="E12" s="143"/>
      <c r="F12" s="143"/>
      <c r="G12" s="146">
        <f t="shared" ref="G12:H18" si="6">+G4/C4-1</f>
        <v>9.6487842531840506E-3</v>
      </c>
      <c r="H12" s="146">
        <f t="shared" si="6"/>
        <v>-2.7110766847405099E-2</v>
      </c>
      <c r="I12" s="146">
        <f>+I4/E4-1</f>
        <v>-0.14103060829135994</v>
      </c>
      <c r="J12" s="146">
        <f t="shared" ref="J12:L18" si="7">+J4/F4-1</f>
        <v>-7.5009147457006931E-2</v>
      </c>
      <c r="K12" s="146">
        <f t="shared" si="7"/>
        <v>-0.20527522935779818</v>
      </c>
      <c r="L12" s="146">
        <f t="shared" si="7"/>
        <v>-0.20143312101910826</v>
      </c>
      <c r="M12" s="146">
        <f>+M4/I4-1</f>
        <v>-0.2598105548037889</v>
      </c>
      <c r="N12" s="146">
        <f>+N4/J4-1</f>
        <v>-0.23892405063291144</v>
      </c>
      <c r="O12" s="146">
        <f>+O4/K4-1</f>
        <v>-0.24434824434824431</v>
      </c>
      <c r="P12" s="146">
        <f t="shared" ref="P12:S17" si="8">+P4/L4-1</f>
        <v>-0.2741774675972084</v>
      </c>
      <c r="Q12" s="146">
        <f t="shared" si="8"/>
        <v>-0.18159658744667884</v>
      </c>
      <c r="R12" s="146">
        <f t="shared" si="8"/>
        <v>-0.156964656964657</v>
      </c>
      <c r="S12" s="146">
        <f t="shared" si="8"/>
        <v>-0.14258434118395924</v>
      </c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</row>
    <row r="13" spans="1:38">
      <c r="B13" s="139" t="s">
        <v>11</v>
      </c>
      <c r="C13" s="143"/>
      <c r="D13" s="143"/>
      <c r="E13" s="143"/>
      <c r="F13" s="143"/>
      <c r="G13" s="146">
        <f t="shared" si="6"/>
        <v>9.0663058186738921E-2</v>
      </c>
      <c r="H13" s="146">
        <f t="shared" si="6"/>
        <v>3.7735849056603765E-2</v>
      </c>
      <c r="I13" s="146">
        <f t="shared" ref="I13:I18" si="9">+I5/E5-1</f>
        <v>-0.16157205240174677</v>
      </c>
      <c r="J13" s="146">
        <f t="shared" si="7"/>
        <v>-7.5304540420819466E-2</v>
      </c>
      <c r="K13" s="146">
        <f t="shared" si="7"/>
        <v>-8.1885856079404462E-2</v>
      </c>
      <c r="L13" s="146">
        <f t="shared" si="7"/>
        <v>-8.9610389610389585E-2</v>
      </c>
      <c r="M13" s="146">
        <f t="shared" ref="M13:N18" si="10">+M5/I5-1</f>
        <v>-0.12760416666666663</v>
      </c>
      <c r="N13" s="146">
        <f t="shared" si="10"/>
        <v>-7.7844311377245456E-2</v>
      </c>
      <c r="O13" s="146">
        <f t="shared" ref="O13:O17" si="11">+O5/K5-1</f>
        <v>-8.2432432432432479E-2</v>
      </c>
      <c r="P13" s="146">
        <f t="shared" si="8"/>
        <v>-0.13124108416547786</v>
      </c>
      <c r="Q13" s="146">
        <f t="shared" si="8"/>
        <v>-7.4626865671641784E-2</v>
      </c>
      <c r="R13" s="146">
        <f t="shared" si="8"/>
        <v>-4.5454545454545414E-2</v>
      </c>
      <c r="S13" s="152" t="s">
        <v>136</v>
      </c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</row>
    <row r="14" spans="1:38">
      <c r="B14" s="139" t="s">
        <v>472</v>
      </c>
      <c r="C14" s="143"/>
      <c r="D14" s="143"/>
      <c r="E14" s="143"/>
      <c r="F14" s="143"/>
      <c r="G14" s="146">
        <f t="shared" si="6"/>
        <v>-2.525252525252486E-3</v>
      </c>
      <c r="H14" s="146">
        <f t="shared" si="6"/>
        <v>0</v>
      </c>
      <c r="I14" s="146">
        <f t="shared" si="9"/>
        <v>-0.12814645308924488</v>
      </c>
      <c r="J14" s="146">
        <f t="shared" si="7"/>
        <v>-8.102345415778256E-2</v>
      </c>
      <c r="K14" s="146">
        <f t="shared" si="7"/>
        <v>-1.7721518987341756E-2</v>
      </c>
      <c r="L14" s="146">
        <f t="shared" si="7"/>
        <v>2.2831050228310446E-2</v>
      </c>
      <c r="M14" s="146">
        <f t="shared" si="10"/>
        <v>4.1994750656167978E-2</v>
      </c>
      <c r="N14" s="146">
        <f t="shared" si="10"/>
        <v>0.11368909512761016</v>
      </c>
      <c r="O14" s="146">
        <f t="shared" si="11"/>
        <v>4.3814432989690788E-2</v>
      </c>
      <c r="P14" s="146">
        <f t="shared" si="8"/>
        <v>-1.5625E-2</v>
      </c>
      <c r="Q14" s="146">
        <f t="shared" si="8"/>
        <v>-1.0075566750629705E-2</v>
      </c>
      <c r="R14" s="146">
        <f t="shared" si="8"/>
        <v>-2.7083333333333348E-2</v>
      </c>
      <c r="S14" s="152" t="s">
        <v>136</v>
      </c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</row>
    <row r="15" spans="1:38">
      <c r="B15" s="139" t="s">
        <v>373</v>
      </c>
      <c r="C15" s="143"/>
      <c r="D15" s="143"/>
      <c r="E15" s="143"/>
      <c r="F15" s="143"/>
      <c r="G15" s="146">
        <f t="shared" si="6"/>
        <v>-8.5303186022610444E-2</v>
      </c>
      <c r="H15" s="146">
        <f t="shared" si="6"/>
        <v>-1.6293279022403295E-2</v>
      </c>
      <c r="I15" s="146">
        <f t="shared" si="9"/>
        <v>-0.19095477386934678</v>
      </c>
      <c r="J15" s="146">
        <f t="shared" si="7"/>
        <v>-7.6839826839826819E-2</v>
      </c>
      <c r="K15" s="146">
        <f t="shared" si="7"/>
        <v>-7.415730337078652E-2</v>
      </c>
      <c r="L15" s="146">
        <f t="shared" si="7"/>
        <v>-7.556935817805388E-2</v>
      </c>
      <c r="M15" s="146">
        <f t="shared" si="10"/>
        <v>-0.14782608695652177</v>
      </c>
      <c r="N15" s="146">
        <f t="shared" si="10"/>
        <v>-4.1031652989448997E-2</v>
      </c>
      <c r="O15" s="146">
        <f t="shared" si="11"/>
        <v>-0.1104368932038835</v>
      </c>
      <c r="P15" s="146">
        <f t="shared" si="8"/>
        <v>-0.18701007838745798</v>
      </c>
      <c r="Q15" s="146">
        <f t="shared" si="8"/>
        <v>-4.9562682215743448E-2</v>
      </c>
      <c r="R15" s="146">
        <f t="shared" si="8"/>
        <v>-3.5452322738386277E-2</v>
      </c>
      <c r="S15" s="152" t="s">
        <v>136</v>
      </c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</row>
    <row r="16" spans="1:38">
      <c r="B16" s="139" t="s">
        <v>376</v>
      </c>
      <c r="C16" s="143"/>
      <c r="D16" s="143"/>
      <c r="E16" s="143"/>
      <c r="F16" s="143"/>
      <c r="G16" s="146">
        <f t="shared" si="6"/>
        <v>0.4058441558441559</v>
      </c>
      <c r="H16" s="146">
        <f t="shared" si="6"/>
        <v>0.54063604240282692</v>
      </c>
      <c r="I16" s="146">
        <f t="shared" si="9"/>
        <v>0.3162055335968379</v>
      </c>
      <c r="J16" s="146">
        <f t="shared" si="7"/>
        <v>0.2406779661016949</v>
      </c>
      <c r="K16" s="146">
        <f t="shared" si="7"/>
        <v>0.23787528868360286</v>
      </c>
      <c r="L16" s="146">
        <f t="shared" si="7"/>
        <v>0.21788990825688082</v>
      </c>
      <c r="M16" s="146">
        <f t="shared" si="10"/>
        <v>0.3213213213213213</v>
      </c>
      <c r="N16" s="146">
        <f t="shared" si="10"/>
        <v>0.18579234972677594</v>
      </c>
      <c r="O16" s="146">
        <f t="shared" si="11"/>
        <v>4.1044776119403048E-2</v>
      </c>
      <c r="P16" s="146">
        <f t="shared" si="8"/>
        <v>5.6497175141243527E-3</v>
      </c>
      <c r="Q16" s="146">
        <f t="shared" si="8"/>
        <v>1.8181818181818077E-2</v>
      </c>
      <c r="R16" s="146">
        <f t="shared" si="8"/>
        <v>-0.79032258064516125</v>
      </c>
      <c r="S16" s="146">
        <f t="shared" si="8"/>
        <v>-0.12365591397849462</v>
      </c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</row>
    <row r="17" spans="2:38">
      <c r="B17" s="139" t="s">
        <v>382</v>
      </c>
      <c r="C17" s="143"/>
      <c r="D17" s="143"/>
      <c r="E17" s="143"/>
      <c r="F17" s="143"/>
      <c r="G17" s="146">
        <f t="shared" si="6"/>
        <v>0.23529411764705888</v>
      </c>
      <c r="H17" s="146">
        <f t="shared" si="6"/>
        <v>0.20754716981132071</v>
      </c>
      <c r="I17" s="146">
        <f t="shared" si="9"/>
        <v>-0.11111111111111116</v>
      </c>
      <c r="J17" s="146">
        <f t="shared" si="7"/>
        <v>0.14999999999999991</v>
      </c>
      <c r="K17" s="146">
        <f t="shared" si="7"/>
        <v>0</v>
      </c>
      <c r="L17" s="146">
        <f t="shared" si="7"/>
        <v>1.5625E-2</v>
      </c>
      <c r="M17" s="146">
        <f t="shared" si="10"/>
        <v>0.19999999999999996</v>
      </c>
      <c r="N17" s="146">
        <f t="shared" si="10"/>
        <v>-0.21739130434782605</v>
      </c>
      <c r="O17" s="146">
        <f t="shared" si="11"/>
        <v>0</v>
      </c>
      <c r="P17" s="146">
        <f t="shared" si="8"/>
        <v>-4.6153846153846101E-2</v>
      </c>
      <c r="Q17" s="146">
        <f t="shared" si="8"/>
        <v>-0.14583333333333337</v>
      </c>
      <c r="R17" s="146">
        <f t="shared" si="8"/>
        <v>-0.13888888888888884</v>
      </c>
      <c r="S17" s="146">
        <f t="shared" si="8"/>
        <v>0.14285714285714279</v>
      </c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</row>
    <row r="18" spans="2:38">
      <c r="B18" s="144" t="s">
        <v>30</v>
      </c>
      <c r="C18" s="145"/>
      <c r="D18" s="145"/>
      <c r="E18" s="145"/>
      <c r="F18" s="145"/>
      <c r="G18" s="147">
        <f t="shared" si="6"/>
        <v>2.4414850686037104E-2</v>
      </c>
      <c r="H18" s="147">
        <f t="shared" si="6"/>
        <v>1.6887816646562026E-2</v>
      </c>
      <c r="I18" s="147">
        <f t="shared" si="9"/>
        <v>-0.13101031730582047</v>
      </c>
      <c r="J18" s="147">
        <f t="shared" si="7"/>
        <v>-5.9992429977289929E-2</v>
      </c>
      <c r="K18" s="147">
        <f t="shared" si="7"/>
        <v>-0.11286192633444947</v>
      </c>
      <c r="L18" s="147">
        <f t="shared" si="7"/>
        <v>-0.1075523922499011</v>
      </c>
      <c r="M18" s="147">
        <f t="shared" si="10"/>
        <v>-0.1518817204301075</v>
      </c>
      <c r="N18" s="147">
        <f t="shared" si="10"/>
        <v>-0.11616670022146169</v>
      </c>
      <c r="O18" s="147">
        <f>+O10/K10-1</f>
        <v>-0.1378774422735346</v>
      </c>
      <c r="P18" s="147">
        <f t="shared" ref="P18:S18" si="12">+P10/L10-1</f>
        <v>-0.17944173681878595</v>
      </c>
      <c r="Q18" s="147">
        <f t="shared" si="12"/>
        <v>-9.7992604331748501E-2</v>
      </c>
      <c r="R18" s="147">
        <f t="shared" si="12"/>
        <v>-0.16332574031890656</v>
      </c>
      <c r="S18" s="147">
        <f t="shared" si="12"/>
        <v>-8.1122843162503178E-2</v>
      </c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</row>
    <row r="19" spans="2:38"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</row>
    <row r="20" spans="2:38"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</row>
    <row r="21" spans="2:38"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</row>
    <row r="22" spans="2:38"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</row>
    <row r="23" spans="2:38"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</row>
    <row r="24" spans="2:38"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</row>
    <row r="25" spans="2:38"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</row>
    <row r="26" spans="2:38"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</row>
    <row r="27" spans="2:38"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</row>
    <row r="28" spans="2:38"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</row>
    <row r="29" spans="2:38"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</row>
    <row r="30" spans="2:38"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</row>
    <row r="31" spans="2:38"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</row>
    <row r="32" spans="2:38"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</row>
    <row r="33" spans="3:38"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</row>
    <row r="34" spans="3:38"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</row>
    <row r="35" spans="3:38"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</row>
    <row r="36" spans="3:38"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</row>
    <row r="37" spans="3:38"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</row>
    <row r="38" spans="3:38"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</row>
    <row r="39" spans="3:38"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</row>
    <row r="40" spans="3:38"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</row>
    <row r="41" spans="3:38"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</row>
    <row r="42" spans="3:38"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</row>
    <row r="43" spans="3:38"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</row>
    <row r="44" spans="3:38"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</row>
    <row r="45" spans="3:38"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</row>
    <row r="46" spans="3:38"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</row>
    <row r="47" spans="3:38"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</row>
    <row r="48" spans="3:38"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</row>
    <row r="49" spans="3:38"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</row>
    <row r="50" spans="3:38"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</row>
    <row r="51" spans="3:38"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</row>
    <row r="52" spans="3:38"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</row>
    <row r="53" spans="3:38"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</row>
    <row r="54" spans="3:38"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</row>
    <row r="55" spans="3:38"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</row>
    <row r="56" spans="3:38"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</row>
    <row r="57" spans="3:38"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</row>
    <row r="58" spans="3:38"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</row>
    <row r="59" spans="3:38"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</row>
    <row r="60" spans="3:38"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</row>
    <row r="61" spans="3:38"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</row>
    <row r="62" spans="3:38"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</row>
    <row r="63" spans="3:38"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</row>
    <row r="64" spans="3:38"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</row>
    <row r="65" spans="3:38"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</row>
    <row r="66" spans="3:38"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</row>
    <row r="67" spans="3:38"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</row>
    <row r="68" spans="3:38"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</row>
    <row r="69" spans="3:38"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</row>
    <row r="70" spans="3:38"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</row>
    <row r="71" spans="3:38"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</row>
    <row r="72" spans="3:38"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</row>
    <row r="73" spans="3:38"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</row>
    <row r="74" spans="3:38"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</row>
    <row r="75" spans="3:38"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</row>
    <row r="76" spans="3:38"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</row>
    <row r="77" spans="3:38"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</row>
    <row r="78" spans="3:38"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</row>
    <row r="79" spans="3:38"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</row>
    <row r="80" spans="3:38"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</row>
    <row r="81" spans="3:38"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</row>
    <row r="82" spans="3:38"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</row>
    <row r="83" spans="3:38"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</row>
    <row r="84" spans="3:38"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</row>
    <row r="85" spans="3:38"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</row>
    <row r="86" spans="3:38"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</row>
    <row r="87" spans="3:38"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</row>
    <row r="88" spans="3:38"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</row>
    <row r="89" spans="3:38"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</row>
    <row r="90" spans="3:38"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</row>
    <row r="91" spans="3:38"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</row>
    <row r="92" spans="3:38"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</row>
    <row r="93" spans="3:38"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</row>
    <row r="94" spans="3:38"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</row>
    <row r="95" spans="3:38"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</row>
    <row r="96" spans="3:38"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</row>
    <row r="97" spans="3:38"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</row>
    <row r="98" spans="3:38"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</row>
    <row r="99" spans="3:38"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</row>
    <row r="100" spans="3:38"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</row>
    <row r="101" spans="3:38"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</row>
    <row r="102" spans="3:38"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</row>
    <row r="103" spans="3:38"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</row>
    <row r="104" spans="3:38"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</row>
    <row r="105" spans="3:38"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</row>
    <row r="106" spans="3:38"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</row>
    <row r="107" spans="3:38"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</row>
    <row r="108" spans="3:38"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</row>
    <row r="109" spans="3:38"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</row>
    <row r="110" spans="3:38"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</row>
    <row r="111" spans="3:38"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</row>
    <row r="112" spans="3:38"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</row>
    <row r="113" spans="3:38"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</row>
    <row r="114" spans="3:38"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</row>
    <row r="115" spans="3:38"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</row>
    <row r="116" spans="3:38"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</row>
    <row r="117" spans="3:38"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</row>
    <row r="118" spans="3:38"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</row>
    <row r="119" spans="3:38"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</row>
    <row r="120" spans="3:38"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</row>
    <row r="121" spans="3:38"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</row>
    <row r="122" spans="3:38"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</row>
    <row r="123" spans="3:38"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</row>
    <row r="124" spans="3:38"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</row>
    <row r="125" spans="3:38"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</row>
    <row r="126" spans="3:38"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</row>
    <row r="127" spans="3:38"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</row>
    <row r="128" spans="3:38"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</row>
    <row r="129" spans="3:38"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</row>
    <row r="130" spans="3:38"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</row>
    <row r="131" spans="3:38"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</row>
    <row r="132" spans="3:38"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</row>
    <row r="133" spans="3:38"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</row>
    <row r="134" spans="3:38"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</row>
    <row r="135" spans="3:38"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</row>
    <row r="136" spans="3:38"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</row>
    <row r="137" spans="3:38"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</row>
    <row r="138" spans="3:38"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</row>
    <row r="139" spans="3:38"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</row>
    <row r="140" spans="3:38"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</row>
    <row r="141" spans="3:38"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</row>
    <row r="142" spans="3:38"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</row>
    <row r="143" spans="3:38"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</row>
    <row r="144" spans="3:38"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</row>
    <row r="145" spans="3:38"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</row>
    <row r="146" spans="3:38"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</row>
    <row r="147" spans="3:38"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</row>
    <row r="148" spans="3:38"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</row>
    <row r="149" spans="3:38"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</row>
    <row r="150" spans="3:38"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</row>
    <row r="151" spans="3:38"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</row>
    <row r="152" spans="3:38"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</row>
    <row r="153" spans="3:38"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</row>
    <row r="154" spans="3:38"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</row>
    <row r="155" spans="3:38"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</row>
    <row r="156" spans="3:38"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</row>
    <row r="157" spans="3:38"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</row>
    <row r="158" spans="3:38"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</row>
    <row r="159" spans="3:38"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</row>
    <row r="160" spans="3:38"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</row>
    <row r="161" spans="3:38"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</row>
    <row r="162" spans="3:38"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</row>
    <row r="163" spans="3:38"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</row>
    <row r="164" spans="3:38"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</row>
    <row r="165" spans="3:38"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</row>
    <row r="166" spans="3:38"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</row>
    <row r="167" spans="3:38"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</row>
    <row r="168" spans="3:38"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</row>
    <row r="169" spans="3:38"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</row>
    <row r="170" spans="3:38"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</row>
    <row r="171" spans="3:38"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</row>
    <row r="172" spans="3:38"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</row>
    <row r="173" spans="3:38"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</row>
    <row r="174" spans="3:38"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</row>
    <row r="175" spans="3:38"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</row>
    <row r="176" spans="3:38"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</row>
    <row r="177" spans="3:38"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</row>
    <row r="178" spans="3:38"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</row>
    <row r="179" spans="3:38"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</row>
    <row r="180" spans="3:38"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</row>
    <row r="181" spans="3:38"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</row>
    <row r="182" spans="3:38"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</row>
    <row r="183" spans="3:38"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</row>
    <row r="184" spans="3:38"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</row>
    <row r="185" spans="3:38"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</row>
    <row r="186" spans="3:38"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</row>
    <row r="187" spans="3:38"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</row>
    <row r="188" spans="3:38"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</row>
    <row r="189" spans="3:38"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</row>
    <row r="190" spans="3:38"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</row>
    <row r="191" spans="3:38"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</row>
    <row r="192" spans="3:38"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</row>
    <row r="193" spans="3:38"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</row>
    <row r="194" spans="3:38"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</row>
    <row r="195" spans="3:38"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</row>
    <row r="196" spans="3:38"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</row>
    <row r="197" spans="3:38"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</row>
    <row r="198" spans="3:38"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</row>
    <row r="199" spans="3:38"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</row>
    <row r="200" spans="3:38"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</row>
    <row r="201" spans="3:38"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</row>
    <row r="202" spans="3:38"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</row>
    <row r="203" spans="3:38"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</row>
    <row r="204" spans="3:38"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</row>
    <row r="205" spans="3:38"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</row>
    <row r="206" spans="3:38"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</row>
    <row r="207" spans="3:38"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</row>
    <row r="208" spans="3:38"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</row>
    <row r="209" spans="3:38"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</row>
    <row r="210" spans="3:38"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</row>
    <row r="211" spans="3:38"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</row>
    <row r="212" spans="3:38"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</row>
    <row r="213" spans="3:38"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</row>
    <row r="214" spans="3:38"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</row>
    <row r="215" spans="3:38"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</row>
    <row r="216" spans="3:38"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</row>
    <row r="217" spans="3:38"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</row>
    <row r="218" spans="3:38"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</row>
    <row r="219" spans="3:38"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</row>
    <row r="220" spans="3:38"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</row>
    <row r="221" spans="3:38"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</row>
    <row r="222" spans="3:38"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</row>
    <row r="223" spans="3:38"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</row>
    <row r="224" spans="3:38"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</row>
    <row r="225" spans="3:38"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</row>
    <row r="226" spans="3:38"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</row>
    <row r="227" spans="3:38"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</row>
  </sheetData>
  <hyperlinks>
    <hyperlink ref="A1" location="Main!A1" display="Main" xr:uid="{E9A34C90-34B2-41FE-9B00-72ABCBD49772}"/>
  </hyperlink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9DB7-F8FF-415E-A6B2-76D392D93B13}">
  <dimension ref="A1:AV73"/>
  <sheetViews>
    <sheetView zoomScale="200" zoomScaleNormal="200" workbookViewId="0">
      <pane xSplit="2" ySplit="2" topLeftCell="H38" activePane="bottomRight" state="frozen"/>
      <selection pane="topRight" activeCell="C1" sqref="C1"/>
      <selection pane="bottomLeft" activeCell="A3" sqref="A3"/>
      <selection pane="bottomRight" activeCell="K58" sqref="K58:K61"/>
    </sheetView>
  </sheetViews>
  <sheetFormatPr defaultRowHeight="15"/>
  <cols>
    <col min="1" max="1" width="4.7109375" bestFit="1" customWidth="1"/>
    <col min="2" max="2" width="29.7109375" bestFit="1" customWidth="1"/>
  </cols>
  <sheetData>
    <row r="1" spans="1:48">
      <c r="A1" s="63" t="s">
        <v>29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0"/>
      <c r="AR1" s="90"/>
      <c r="AS1" s="90"/>
      <c r="AT1" s="90"/>
      <c r="AU1" s="90"/>
      <c r="AV1" s="90"/>
    </row>
    <row r="2" spans="1:48">
      <c r="A2" s="91"/>
      <c r="B2" s="127" t="s">
        <v>193</v>
      </c>
      <c r="C2" s="128">
        <v>17</v>
      </c>
      <c r="D2" s="128">
        <v>18</v>
      </c>
      <c r="E2" s="128">
        <f>+D2+1</f>
        <v>19</v>
      </c>
      <c r="F2" s="128">
        <f t="shared" ref="F2:K2" si="0">+E2+1</f>
        <v>20</v>
      </c>
      <c r="G2" s="128">
        <f t="shared" si="0"/>
        <v>21</v>
      </c>
      <c r="H2" s="128">
        <f t="shared" si="0"/>
        <v>22</v>
      </c>
      <c r="I2" s="128">
        <f t="shared" si="0"/>
        <v>23</v>
      </c>
      <c r="J2" s="128">
        <f t="shared" si="0"/>
        <v>24</v>
      </c>
      <c r="K2" s="128">
        <f t="shared" si="0"/>
        <v>25</v>
      </c>
      <c r="L2" s="129"/>
      <c r="M2" s="130"/>
      <c r="N2" s="129" t="s">
        <v>389</v>
      </c>
      <c r="O2" s="129" t="s">
        <v>141</v>
      </c>
      <c r="P2" s="130"/>
      <c r="Q2" s="129"/>
      <c r="R2" s="129"/>
      <c r="S2" s="129"/>
      <c r="T2" s="129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0"/>
      <c r="AR2" s="90"/>
      <c r="AS2" s="90"/>
      <c r="AT2" s="90"/>
      <c r="AU2" s="90"/>
      <c r="AV2" s="90"/>
    </row>
    <row r="3" spans="1:48">
      <c r="A3" s="91"/>
      <c r="B3" s="91" t="s">
        <v>3</v>
      </c>
      <c r="C3" s="91">
        <v>364.34</v>
      </c>
      <c r="D3" s="91">
        <v>400.8</v>
      </c>
      <c r="E3" s="98">
        <v>585.70000000000005</v>
      </c>
      <c r="F3" s="98">
        <v>587.9</v>
      </c>
      <c r="G3" s="98">
        <v>706.9</v>
      </c>
      <c r="H3" s="98">
        <v>480</v>
      </c>
      <c r="I3" s="98">
        <v>400.1</v>
      </c>
      <c r="J3" s="98">
        <v>230.2</v>
      </c>
      <c r="K3" s="98">
        <v>284.8</v>
      </c>
      <c r="L3" s="98"/>
      <c r="M3" s="98"/>
      <c r="N3" s="98">
        <f>+AVERAGE(C3:J3)</f>
        <v>469.49250000000001</v>
      </c>
      <c r="O3" s="98">
        <f>+MEDIAN(C3:J3)</f>
        <v>440.4</v>
      </c>
      <c r="P3" s="98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0"/>
      <c r="AR3" s="90"/>
      <c r="AS3" s="90"/>
      <c r="AT3" s="90"/>
      <c r="AU3" s="90"/>
      <c r="AV3" s="90"/>
    </row>
    <row r="4" spans="1:48">
      <c r="A4" s="91"/>
      <c r="B4" s="91" t="s">
        <v>194</v>
      </c>
      <c r="C4" s="131">
        <f>Model!T69</f>
        <v>125.999511</v>
      </c>
      <c r="D4" s="131">
        <f>Model!U69</f>
        <v>125.95603800000001</v>
      </c>
      <c r="E4" s="131">
        <f>Model!V69</f>
        <v>125.498766</v>
      </c>
      <c r="F4" s="131">
        <f>Model!W69</f>
        <v>125.011945</v>
      </c>
      <c r="G4" s="131">
        <f>Model!X69</f>
        <v>124.584509</v>
      </c>
      <c r="H4" s="131">
        <f>Model!Y69</f>
        <v>122.38293</v>
      </c>
      <c r="I4" s="131">
        <f>Model!Z69</f>
        <v>122.34649400000001</v>
      </c>
      <c r="J4" s="132">
        <v>122.58443699999999</v>
      </c>
      <c r="K4" s="98">
        <f>+Model!AB69</f>
        <v>122.604812</v>
      </c>
      <c r="L4" s="98"/>
      <c r="M4" s="98"/>
      <c r="N4" s="98">
        <f t="shared" ref="N4:N7" si="1">+AVERAGE(C4:J4)</f>
        <v>124.29557875</v>
      </c>
      <c r="O4" s="98">
        <f t="shared" ref="O4:O7" si="2">+MEDIAN(C4:J4)</f>
        <v>124.798227</v>
      </c>
      <c r="P4" s="98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0"/>
      <c r="AR4" s="90"/>
      <c r="AS4" s="90"/>
      <c r="AT4" s="90"/>
      <c r="AU4" s="90"/>
      <c r="AV4" s="90"/>
    </row>
    <row r="5" spans="1:48">
      <c r="A5" s="91"/>
      <c r="B5" s="91" t="s">
        <v>195</v>
      </c>
      <c r="C5" s="98">
        <f t="shared" ref="C5:I5" si="3">+C3*C4</f>
        <v>45906.661837739994</v>
      </c>
      <c r="D5" s="98">
        <f t="shared" si="3"/>
        <v>50483.180030400006</v>
      </c>
      <c r="E5" s="98">
        <f t="shared" si="3"/>
        <v>73504.627246200005</v>
      </c>
      <c r="F5" s="98">
        <f t="shared" si="3"/>
        <v>73494.522465499991</v>
      </c>
      <c r="G5" s="98">
        <f t="shared" si="3"/>
        <v>88068.789412099999</v>
      </c>
      <c r="H5" s="98">
        <f t="shared" si="3"/>
        <v>58743.806400000001</v>
      </c>
      <c r="I5" s="98">
        <f t="shared" si="3"/>
        <v>48950.832249400002</v>
      </c>
      <c r="J5" s="98">
        <f>+J3*J4</f>
        <v>28218.937397399997</v>
      </c>
      <c r="K5" s="98">
        <f>+K3*K4</f>
        <v>34917.850457599998</v>
      </c>
      <c r="L5" s="98"/>
      <c r="M5" s="98"/>
      <c r="N5" s="98">
        <f t="shared" si="1"/>
        <v>58421.419629842501</v>
      </c>
      <c r="O5" s="98">
        <f t="shared" si="2"/>
        <v>54613.493215200004</v>
      </c>
      <c r="P5" s="98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0"/>
      <c r="AR5" s="90"/>
      <c r="AS5" s="90"/>
      <c r="AT5" s="90"/>
      <c r="AU5" s="90"/>
      <c r="AV5" s="90"/>
    </row>
    <row r="6" spans="1:48">
      <c r="A6" s="91"/>
      <c r="B6" s="91" t="s">
        <v>196</v>
      </c>
      <c r="C6" s="98">
        <f>+Model!T110+Model!T112+Model!T118+Model!T120-Model!T103-Model!T101</f>
        <v>3261.3</v>
      </c>
      <c r="D6" s="98">
        <f>+Model!U110+Model!U112+Model!U118+Model!U120-Model!U103-Model!U101</f>
        <v>1667.6</v>
      </c>
      <c r="E6" s="98">
        <f>+Model!V110+Model!V112+Model!V118+Model!V120-Model!V103-Model!V101</f>
        <v>3318.7999999999997</v>
      </c>
      <c r="F6" s="98">
        <f>+Model!W110+Model!W112+Model!W118+Model!W120-Model!W103-Model!W101</f>
        <v>2408.2000000000007</v>
      </c>
      <c r="G6" s="98">
        <f>+Model!X110+Model!X112+Model!X118+Model!X120-Model!X103-Model!X101</f>
        <v>871</v>
      </c>
      <c r="H6" s="98">
        <f>+Model!Y110+Model!Y112+Model!Y118+Model!Y120-Model!Y103-Model!Y101</f>
        <v>2802</v>
      </c>
      <c r="I6" s="98">
        <f>+Model!Z110+Model!Z112+Model!Z118+Model!Z120-Model!Z103-Model!Z101</f>
        <v>8969</v>
      </c>
      <c r="J6" s="98">
        <f>+Main!H6-Main!H5</f>
        <v>8249</v>
      </c>
      <c r="K6" s="98">
        <f>+Model!AB110+Model!AB112+Model!AB118+Model!AB120-Model!AB103-Model!AB101</f>
        <v>8147</v>
      </c>
      <c r="L6" s="98"/>
      <c r="M6" s="98"/>
      <c r="N6" s="98">
        <f t="shared" si="1"/>
        <v>3943.3625000000002</v>
      </c>
      <c r="O6" s="98">
        <f t="shared" si="2"/>
        <v>3031.65</v>
      </c>
      <c r="P6" s="98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0"/>
      <c r="AR6" s="90"/>
      <c r="AS6" s="90"/>
      <c r="AT6" s="90"/>
      <c r="AU6" s="90"/>
      <c r="AV6" s="90"/>
    </row>
    <row r="7" spans="1:48">
      <c r="A7" s="91"/>
      <c r="B7" s="91" t="s">
        <v>8</v>
      </c>
      <c r="C7" s="98">
        <f t="shared" ref="C7:H7" si="4">+C6+C5</f>
        <v>49167.961837739997</v>
      </c>
      <c r="D7" s="98">
        <f t="shared" si="4"/>
        <v>52150.780030400005</v>
      </c>
      <c r="E7" s="98">
        <f t="shared" si="4"/>
        <v>76823.427246200008</v>
      </c>
      <c r="F7" s="98">
        <f t="shared" si="4"/>
        <v>75902.722465499988</v>
      </c>
      <c r="G7" s="98">
        <f t="shared" si="4"/>
        <v>88939.789412099999</v>
      </c>
      <c r="H7" s="98">
        <f t="shared" si="4"/>
        <v>61545.806400000001</v>
      </c>
      <c r="I7" s="98">
        <f>+I6+I5</f>
        <v>57919.832249400002</v>
      </c>
      <c r="J7" s="98">
        <f>+J6+J5</f>
        <v>36467.937397399997</v>
      </c>
      <c r="K7" s="98">
        <f>+K6+K5</f>
        <v>43064.850457599998</v>
      </c>
      <c r="L7" s="98"/>
      <c r="M7" s="98"/>
      <c r="N7" s="98">
        <f t="shared" si="1"/>
        <v>62364.78212984249</v>
      </c>
      <c r="O7" s="98">
        <f t="shared" si="2"/>
        <v>59732.819324700002</v>
      </c>
      <c r="P7" s="98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0"/>
      <c r="AR7" s="90"/>
      <c r="AS7" s="90"/>
      <c r="AT7" s="90"/>
      <c r="AU7" s="90"/>
      <c r="AV7" s="90"/>
    </row>
    <row r="8" spans="1:48">
      <c r="A8" s="91"/>
      <c r="B8" s="91"/>
      <c r="C8" s="91"/>
      <c r="D8" s="91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0"/>
      <c r="AR8" s="90"/>
      <c r="AS8" s="90"/>
      <c r="AT8" s="90"/>
      <c r="AU8" s="90"/>
      <c r="AV8" s="90"/>
    </row>
    <row r="9" spans="1:48">
      <c r="A9" s="93" t="s">
        <v>52</v>
      </c>
      <c r="B9" s="61" t="s">
        <v>197</v>
      </c>
      <c r="C9" s="91"/>
      <c r="D9" s="91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0"/>
      <c r="AR9" s="90"/>
      <c r="AS9" s="90"/>
      <c r="AT9" s="90"/>
      <c r="AU9" s="90"/>
      <c r="AV9" s="90"/>
    </row>
    <row r="10" spans="1:48">
      <c r="A10" s="91"/>
      <c r="B10" s="91" t="s">
        <v>198</v>
      </c>
      <c r="C10" s="98">
        <f>+Model!T97+SUM(Model!T98:T102)-Model!T121-SUM(Model!T119,Model!T121:T125)</f>
        <v>17744.799999999996</v>
      </c>
      <c r="D10" s="98">
        <f>+Model!U97+SUM(Model!U98:U102)-Model!U121-SUM(Model!U119,Model!U121:U125)</f>
        <v>12765.1</v>
      </c>
      <c r="E10" s="98">
        <f>+Model!V97+SUM(Model!V98:V102)-Model!V121-SUM(Model!V119,Model!V121:V125)</f>
        <v>18379.099999999995</v>
      </c>
      <c r="F10" s="98">
        <f>+Model!W97+SUM(Model!W98:W102)-Model!W121-SUM(Model!W119,Model!W121:W125)</f>
        <v>19275.600000000002</v>
      </c>
      <c r="G10" s="98">
        <f>+Model!X97+SUM(Model!X98:X102)-Model!X121-SUM(Model!X119,Model!X121:X125)</f>
        <v>18468</v>
      </c>
      <c r="H10" s="98">
        <f>+Model!Y97+SUM(Model!Y98:Y102)-Model!Y121-SUM(Model!Y119,Model!Y121:Y125)</f>
        <v>21794</v>
      </c>
      <c r="I10" s="98">
        <f>+Model!Z97+SUM(Model!Z98:Z102)-Model!Z121-SUM(Model!Z119,Model!Z121:Z125)</f>
        <v>29602</v>
      </c>
      <c r="J10" s="98">
        <f>+Model!AA97+SUM(Model!AA98:AA102)-Model!AA121-SUM(Model!AA119,Model!AA121:AA125)</f>
        <v>30885</v>
      </c>
      <c r="K10" s="98">
        <f>+Model!AB97+SUM(Model!AB98:AB102)-Model!AB121-SUM(Model!AB119,Model!AB121:AB125)</f>
        <v>24208</v>
      </c>
      <c r="L10" s="91"/>
      <c r="M10" s="91"/>
      <c r="N10" s="98">
        <f>+AVERAGE(C10:I10)</f>
        <v>19718.371428571427</v>
      </c>
      <c r="O10" s="98">
        <f>+MEDIAN(C10:I10)</f>
        <v>18468</v>
      </c>
      <c r="P10" s="91"/>
      <c r="Q10" s="119" t="s">
        <v>199</v>
      </c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0"/>
      <c r="AR10" s="90"/>
      <c r="AS10" s="90"/>
      <c r="AT10" s="90"/>
      <c r="AU10" s="90"/>
      <c r="AV10" s="90"/>
    </row>
    <row r="11" spans="1:48">
      <c r="A11" s="91"/>
      <c r="B11" s="91" t="s">
        <v>200</v>
      </c>
      <c r="C11" s="98">
        <f>+Model!T92+Model!T89+Model!T90+Model!T95+SUM(Model!T98:T102)-SUM(Model!T121:T125)</f>
        <v>18537.2</v>
      </c>
      <c r="D11" s="98">
        <f>+Model!U92+Model!U89+Model!U90+Model!U95+SUM(Model!U98:U102)-SUM(Model!U121:U125)</f>
        <v>12065.699999999999</v>
      </c>
      <c r="E11" s="98">
        <f>+Model!V92+Model!V89+Model!V90+Model!V95+SUM(Model!V98:V102)-SUM(Model!V121:V125)</f>
        <v>14078.6</v>
      </c>
      <c r="F11" s="98">
        <f>+Model!W92+Model!W89+Model!W90+Model!W95+SUM(Model!W98:W102)-SUM(Model!W121:W125)</f>
        <v>14780.600000000002</v>
      </c>
      <c r="G11" s="98">
        <f>+Model!X92+Model!X89+Model!X90+Model!X95+SUM(Model!X98:X102)-SUM(Model!X121:X125)</f>
        <v>15492</v>
      </c>
      <c r="H11" s="98">
        <f>+Model!Y92+Model!Y89+Model!Y90+Model!Y95+SUM(Model!Y98:Y102)-SUM(Model!Y121:Y125)</f>
        <v>19028</v>
      </c>
      <c r="I11" s="98">
        <f>+Model!Z92+Model!Z89+Model!Z90+Model!Z95+SUM(Model!Z98:Z102)-SUM(Model!Z121:Z125)</f>
        <v>25400</v>
      </c>
      <c r="J11" s="98">
        <f>+Model!AA92+Model!AA89+Model!AA90+Model!AA95+SUM(Model!AA98:AA102)-SUM(Model!AA121:AA125)</f>
        <v>26138</v>
      </c>
      <c r="K11" s="98">
        <f>+Model!AB92+Model!AB89+Model!AB90+Model!AB95+SUM(Model!AB98:AB102)-SUM(Model!AB121:AB125)</f>
        <v>19014</v>
      </c>
      <c r="L11" s="91"/>
      <c r="M11" s="91"/>
      <c r="N11" s="98">
        <f t="shared" ref="N11:N18" si="5">+AVERAGE(C11:I11)</f>
        <v>17054.585714285717</v>
      </c>
      <c r="O11" s="98">
        <f t="shared" ref="O11:O18" si="6">+MEDIAN(C11:I11)</f>
        <v>15492</v>
      </c>
      <c r="P11" s="91"/>
      <c r="Q11" s="119" t="s">
        <v>201</v>
      </c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0"/>
      <c r="AR11" s="90"/>
      <c r="AS11" s="90"/>
      <c r="AT11" s="90"/>
      <c r="AU11" s="90"/>
      <c r="AV11" s="90"/>
    </row>
    <row r="12" spans="1:48">
      <c r="A12" s="91"/>
      <c r="B12" s="91" t="s">
        <v>388</v>
      </c>
      <c r="C12" s="98">
        <f>+Model!T92+Model!T95+SUM(Model!T98:T102)-SUM(Model!T121:T125)</f>
        <v>3956.9999999999991</v>
      </c>
      <c r="D12" s="98">
        <f>+Model!U92+Model!U95+SUM(Model!U98:U102)-SUM(Model!U121:U125)</f>
        <v>2272.8999999999996</v>
      </c>
      <c r="E12" s="98">
        <f>+Model!V92+Model!V95+SUM(Model!V98:V102)-SUM(Model!V121:V125)</f>
        <v>4292.1999999999989</v>
      </c>
      <c r="F12" s="98">
        <f>+Model!W92+Model!W95+SUM(Model!W98:W102)-SUM(Model!W121:W125)</f>
        <v>5342.5999999999995</v>
      </c>
      <c r="G12" s="98">
        <f>+Model!X92+Model!X95+SUM(Model!X98:X102)-SUM(Model!X121:X125)</f>
        <v>5569</v>
      </c>
      <c r="H12" s="98">
        <f>+Model!Y92+Model!Y95+SUM(Model!Y98:Y102)-SUM(Model!Y121:Y125)</f>
        <v>7618</v>
      </c>
      <c r="I12" s="98">
        <f>+Model!Z92+Model!Z95+SUM(Model!Z98:Z102)-SUM(Model!Z121:Z125)</f>
        <v>10110</v>
      </c>
      <c r="J12" s="98">
        <f>+Model!AA92+Model!AA95+SUM(Model!AA98:AA102)-SUM(Model!AA121:AA125)</f>
        <v>10574</v>
      </c>
      <c r="K12" s="98">
        <f>+Model!AB92+Model!AB95+SUM(Model!AB98:AB102)-SUM(Model!AB121:AB125)</f>
        <v>7386</v>
      </c>
      <c r="L12" s="91"/>
      <c r="M12" s="91"/>
      <c r="N12" s="98">
        <f t="shared" si="5"/>
        <v>5594.528571428571</v>
      </c>
      <c r="O12" s="98">
        <f t="shared" si="6"/>
        <v>5342.5999999999995</v>
      </c>
      <c r="P12" s="91"/>
      <c r="Q12" s="119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0"/>
      <c r="AR12" s="90"/>
      <c r="AS12" s="90"/>
      <c r="AT12" s="90"/>
      <c r="AU12" s="90"/>
      <c r="AV12" s="90"/>
    </row>
    <row r="13" spans="1:48">
      <c r="A13" s="91"/>
      <c r="B13" s="91" t="s">
        <v>202</v>
      </c>
      <c r="C13" s="98">
        <f>+C11+Model!T91+Model!T93+Model!T96+Model!T103</f>
        <v>20757.8</v>
      </c>
      <c r="D13" s="98">
        <f>+D11+Model!U91+Model!U93+Model!U96+Model!U103</f>
        <v>15930.3</v>
      </c>
      <c r="E13" s="98">
        <f>+E11+Model!V91+Model!V93+Model!V96+Model!V103</f>
        <v>21741.399999999998</v>
      </c>
      <c r="F13" s="98">
        <f>+F11+Model!W91+Model!W93+Model!W96+Model!W103</f>
        <v>22234.500000000004</v>
      </c>
      <c r="G13" s="98">
        <f>+G11+Model!X91+Model!X93+Model!X96+Model!X103</f>
        <v>25099</v>
      </c>
      <c r="H13" s="98">
        <f>+H11+Model!Y91+Model!Y93+Model!Y96+Model!Y103</f>
        <v>28350</v>
      </c>
      <c r="I13" s="98">
        <f>+I11+Model!Z91+Model!Z93+Model!Z96+Model!Z103</f>
        <v>36072</v>
      </c>
      <c r="J13" s="98">
        <f>+J11+Model!AA91+Model!AA93+Model!AA96+Model!AA103</f>
        <v>37060</v>
      </c>
      <c r="K13" s="98">
        <f>+K11+Model!AB91+Model!AB93+Model!AB96+Model!AB103</f>
        <v>31066</v>
      </c>
      <c r="L13" s="91"/>
      <c r="M13" s="91"/>
      <c r="N13" s="98">
        <f t="shared" si="5"/>
        <v>24312.142857142859</v>
      </c>
      <c r="O13" s="98">
        <f t="shared" si="6"/>
        <v>22234.500000000004</v>
      </c>
      <c r="P13" s="91"/>
      <c r="Q13" s="119" t="s">
        <v>203</v>
      </c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0"/>
      <c r="AR13" s="90"/>
      <c r="AS13" s="90"/>
      <c r="AT13" s="90"/>
      <c r="AU13" s="90"/>
      <c r="AV13" s="90"/>
    </row>
    <row r="14" spans="1:48">
      <c r="A14" s="91"/>
      <c r="B14" s="91" t="s">
        <v>204</v>
      </c>
      <c r="C14" s="98">
        <f>+Model!T56*(1-Model!T86)</f>
        <v>2240.8246133863699</v>
      </c>
      <c r="D14" s="98">
        <f>+Model!U56*(1-Model!U86)</f>
        <v>2969.9986682223043</v>
      </c>
      <c r="E14" s="98">
        <f>+Model!V56*(1-Model!V86)</f>
        <v>2407.4285003371861</v>
      </c>
      <c r="F14" s="98">
        <f>+Model!W56*(1-Model!W86)</f>
        <v>2330.1116049382713</v>
      </c>
      <c r="G14" s="98">
        <f>+Model!X56*(1-Model!X86)</f>
        <v>3597.0692307692311</v>
      </c>
      <c r="H14" s="98">
        <f>+Model!Y56*(1-Model!Y86)</f>
        <v>4043.4537487828629</v>
      </c>
      <c r="I14" s="98">
        <f>+Model!Z56*(1-Model!Z86)</f>
        <v>3442.0552799433021</v>
      </c>
      <c r="J14" s="98">
        <f>+Model!AA56*(1-Model!AA86)</f>
        <v>1860.5995288574795</v>
      </c>
      <c r="K14" s="98">
        <f>+Model!AB56*(1-Model!AB86)</f>
        <v>356.44370860927154</v>
      </c>
      <c r="L14" s="91"/>
      <c r="M14" s="91"/>
      <c r="N14" s="98">
        <f t="shared" si="5"/>
        <v>3004.4202351970753</v>
      </c>
      <c r="O14" s="98">
        <f t="shared" si="6"/>
        <v>2969.9986682223043</v>
      </c>
      <c r="P14" s="91"/>
      <c r="Q14" s="91" t="s">
        <v>205</v>
      </c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0"/>
      <c r="AR14" s="90"/>
      <c r="AS14" s="90"/>
      <c r="AT14" s="90"/>
      <c r="AU14" s="90"/>
      <c r="AV14" s="90"/>
    </row>
    <row r="15" spans="1:48">
      <c r="A15" s="91"/>
      <c r="B15" s="91" t="s">
        <v>206</v>
      </c>
      <c r="C15" s="98"/>
      <c r="D15" s="98">
        <f t="shared" ref="D15:H15" si="7">+D12-C12</f>
        <v>-1684.0999999999995</v>
      </c>
      <c r="E15" s="98">
        <f t="shared" si="7"/>
        <v>2019.2999999999993</v>
      </c>
      <c r="F15" s="98">
        <f t="shared" si="7"/>
        <v>1050.4000000000005</v>
      </c>
      <c r="G15" s="98">
        <f t="shared" si="7"/>
        <v>226.40000000000055</v>
      </c>
      <c r="H15" s="98">
        <f t="shared" si="7"/>
        <v>2049</v>
      </c>
      <c r="I15" s="98">
        <f>+I12-H12</f>
        <v>2492</v>
      </c>
      <c r="J15" s="98">
        <f>+J12-I12</f>
        <v>464</v>
      </c>
      <c r="K15" s="98">
        <f>+K12-J12</f>
        <v>-3188</v>
      </c>
      <c r="L15" s="91"/>
      <c r="M15" s="91"/>
      <c r="N15" s="98">
        <f t="shared" si="5"/>
        <v>1025.5000000000002</v>
      </c>
      <c r="O15" s="98">
        <f t="shared" si="6"/>
        <v>1534.85</v>
      </c>
      <c r="P15" s="91"/>
      <c r="Q15" s="119" t="s">
        <v>207</v>
      </c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0"/>
      <c r="AR15" s="90"/>
      <c r="AS15" s="90"/>
      <c r="AT15" s="90"/>
      <c r="AU15" s="90"/>
      <c r="AV15" s="90"/>
    </row>
    <row r="16" spans="1:48">
      <c r="A16" s="91"/>
      <c r="B16" s="91" t="s">
        <v>208</v>
      </c>
      <c r="C16" s="98"/>
      <c r="D16" s="98">
        <f>+D14-D15+Model!U132+Model!U133</f>
        <v>5139.3986682223031</v>
      </c>
      <c r="E16" s="98">
        <f>+E14-E15+Model!V132+Model!V133</f>
        <v>1241.0285003371869</v>
      </c>
      <c r="F16" s="98">
        <f>+F14-F15+Model!W132+Model!W133</f>
        <v>2435.9116049382706</v>
      </c>
      <c r="G16" s="98">
        <f>+G14-G15+Model!X132+Model!X133</f>
        <v>4841.6692307692301</v>
      </c>
      <c r="H16" s="98">
        <f>+H14-H15+Model!Y132+Model!Y133</f>
        <v>3326.4537487828629</v>
      </c>
      <c r="I16" s="98">
        <f>+I14-I15+Model!Z132+Model!Z133</f>
        <v>2867.0552799433021</v>
      </c>
      <c r="J16" s="98">
        <f>+J14-J15+Model!AA132+Model!AA133</f>
        <v>3566.5995288574795</v>
      </c>
      <c r="K16" s="98">
        <f>+K14-K15+Model!AB132+Model!AB133</f>
        <v>5725.4437086092712</v>
      </c>
      <c r="L16" s="91"/>
      <c r="M16" s="91"/>
      <c r="N16" s="98">
        <f t="shared" si="5"/>
        <v>3308.586172165526</v>
      </c>
      <c r="O16" s="98">
        <f t="shared" si="6"/>
        <v>3096.7545143630823</v>
      </c>
      <c r="P16" s="91"/>
      <c r="Q16" s="119" t="s">
        <v>209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0"/>
      <c r="AR16" s="90"/>
      <c r="AS16" s="90"/>
      <c r="AT16" s="90"/>
      <c r="AU16" s="90"/>
      <c r="AV16" s="90"/>
    </row>
    <row r="17" spans="1:48">
      <c r="A17" s="91"/>
      <c r="B17" s="91" t="s">
        <v>210</v>
      </c>
      <c r="C17" s="121">
        <f t="shared" ref="C17:H17" si="8">C15/C14</f>
        <v>0</v>
      </c>
      <c r="D17" s="121">
        <f t="shared" si="8"/>
        <v>-0.5670372913022278</v>
      </c>
      <c r="E17" s="121">
        <f t="shared" si="8"/>
        <v>0.83877880473591415</v>
      </c>
      <c r="F17" s="121">
        <f t="shared" si="8"/>
        <v>0.45079385801686844</v>
      </c>
      <c r="G17" s="121">
        <f t="shared" si="8"/>
        <v>6.2940128608974549E-2</v>
      </c>
      <c r="H17" s="121">
        <f t="shared" si="8"/>
        <v>0.50674500743746065</v>
      </c>
      <c r="I17" s="121">
        <f>I15/I14</f>
        <v>0.72398604825459068</v>
      </c>
      <c r="J17" s="121">
        <f>J15/J14</f>
        <v>0.24938198295950553</v>
      </c>
      <c r="K17" s="121">
        <f>K15/K14</f>
        <v>-8.9439087379001538</v>
      </c>
      <c r="L17" s="91"/>
      <c r="M17" s="91"/>
      <c r="N17" s="121">
        <f t="shared" si="5"/>
        <v>0.28802950796451154</v>
      </c>
      <c r="O17" s="121">
        <f t="shared" si="6"/>
        <v>0.45079385801686844</v>
      </c>
      <c r="P17" s="91"/>
      <c r="Q17" s="119" t="s">
        <v>211</v>
      </c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0"/>
      <c r="AR17" s="90"/>
      <c r="AS17" s="90"/>
      <c r="AT17" s="90"/>
      <c r="AU17" s="90"/>
      <c r="AV17" s="90"/>
    </row>
    <row r="18" spans="1:48">
      <c r="A18" s="91"/>
      <c r="B18" s="91" t="s">
        <v>212</v>
      </c>
      <c r="C18" s="98"/>
      <c r="D18" s="98"/>
      <c r="E18" s="133">
        <f>+E11*(E24-DCF!$O$18)</f>
        <v>1325.707056279733</v>
      </c>
      <c r="F18" s="133">
        <f>+F11*(F24-DCF!$O$18)</f>
        <v>1056.5375664987669</v>
      </c>
      <c r="G18" s="133">
        <f>+G11*(G24-DCF!$O$18)</f>
        <v>2287.3196328744093</v>
      </c>
      <c r="H18" s="133">
        <f>+H11*(H24-DCF!$O$18)</f>
        <v>2745.1183506280604</v>
      </c>
      <c r="I18" s="133">
        <f>+I11*(I24-DCF!$O$18)</f>
        <v>1649.725403374443</v>
      </c>
      <c r="J18" s="133">
        <f>+J11*(J24-DCF!$O$18)</f>
        <v>-465.17755810171889</v>
      </c>
      <c r="K18" s="133">
        <f>+K11*(K24-DCF!$O$18)</f>
        <v>-1411.0553279811884</v>
      </c>
      <c r="L18" s="91"/>
      <c r="M18" s="91"/>
      <c r="N18" s="98">
        <f t="shared" si="5"/>
        <v>1812.8816019310827</v>
      </c>
      <c r="O18" s="98">
        <f t="shared" si="6"/>
        <v>1649.725403374443</v>
      </c>
      <c r="P18" s="91"/>
      <c r="Q18" s="119" t="s">
        <v>213</v>
      </c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0"/>
      <c r="AR18" s="90"/>
      <c r="AS18" s="90"/>
      <c r="AT18" s="90"/>
      <c r="AU18" s="90"/>
      <c r="AV18" s="90"/>
    </row>
    <row r="19" spans="1:48">
      <c r="A19" s="91"/>
      <c r="B19" s="91"/>
      <c r="C19" s="98"/>
      <c r="D19" s="98"/>
      <c r="E19" s="98"/>
      <c r="F19" s="98"/>
      <c r="G19" s="98"/>
      <c r="H19" s="98"/>
      <c r="I19" s="98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0"/>
      <c r="AR19" s="90"/>
      <c r="AS19" s="90"/>
      <c r="AT19" s="90"/>
      <c r="AU19" s="90"/>
      <c r="AV19" s="90"/>
    </row>
    <row r="20" spans="1:48">
      <c r="A20" s="93" t="s">
        <v>52</v>
      </c>
      <c r="B20" s="61" t="s">
        <v>214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0"/>
      <c r="AR20" s="90"/>
      <c r="AS20" s="90"/>
      <c r="AT20" s="90"/>
      <c r="AU20" s="90"/>
      <c r="AV20" s="90"/>
    </row>
    <row r="21" spans="1:48">
      <c r="A21" s="91"/>
      <c r="B21" s="91" t="s">
        <v>215</v>
      </c>
      <c r="C21" s="134">
        <f>+Model!T44/Model!T128</f>
        <v>0.60513187423272108</v>
      </c>
      <c r="D21" s="134">
        <f>+Model!U44/Model!U128</f>
        <v>0.63953199953199957</v>
      </c>
      <c r="E21" s="134">
        <f>+Model!V44/Model!V128</f>
        <v>0.58506641324286701</v>
      </c>
      <c r="F21" s="134">
        <f>+Model!W44/Model!W128</f>
        <v>0.46777407214322947</v>
      </c>
      <c r="G21" s="134">
        <f>+Model!X44/Model!X128</f>
        <v>0.56794772756534051</v>
      </c>
      <c r="H21" s="134">
        <f>+Model!Y44/Model!Y128</f>
        <v>0.59959930467576084</v>
      </c>
      <c r="I21" s="134">
        <f>+Model!Z44/Model!Z128</f>
        <v>0.4729857132496918</v>
      </c>
      <c r="J21" s="134">
        <f>+Model!AA44/Model!AA128</f>
        <v>0.39666866608222212</v>
      </c>
      <c r="K21" s="134">
        <f>+Model!AB44/Model!AB128</f>
        <v>0.35634500509931522</v>
      </c>
      <c r="L21" s="91"/>
      <c r="M21" s="91"/>
      <c r="N21" s="135">
        <f t="shared" ref="N21" si="9">+AVERAGE(C21:I21)</f>
        <v>0.56257672923451574</v>
      </c>
      <c r="O21" s="135">
        <f t="shared" ref="O21" si="10">+MEDIAN(C21:I21)</f>
        <v>0.58506641324286701</v>
      </c>
      <c r="P21" s="91"/>
      <c r="Q21" s="119" t="s">
        <v>216</v>
      </c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0"/>
      <c r="AR21" s="90"/>
      <c r="AS21" s="90"/>
      <c r="AT21" s="90"/>
      <c r="AU21" s="90"/>
      <c r="AV21" s="90"/>
    </row>
    <row r="22" spans="1:48">
      <c r="A22" s="91"/>
      <c r="B22" s="91" t="s">
        <v>217</v>
      </c>
      <c r="C22" s="121"/>
      <c r="D22" s="121">
        <f>+Model!U66/AVERAGE(Model!T107:U107)</f>
        <v>0.33997281974549404</v>
      </c>
      <c r="E22" s="121">
        <f>+Model!V66/AVERAGE(Model!U107:V107)</f>
        <v>0.22875544986127633</v>
      </c>
      <c r="F22" s="121">
        <f>+Model!W66/AVERAGE(Model!V107:W107)</f>
        <v>0.19461514095660437</v>
      </c>
      <c r="G22" s="121">
        <f>+Model!X66/AVERAGE(Model!W107:X107)</f>
        <v>0.25236908919695328</v>
      </c>
      <c r="H22" s="121">
        <f>+Model!Y66/AVERAGE(Model!X107:Y107)</f>
        <v>0.26432620223075515</v>
      </c>
      <c r="I22" s="121">
        <f>+Model!Z66/AVERAGE(Model!Y107:Z107)</f>
        <v>0.20424512153372132</v>
      </c>
      <c r="J22" s="121">
        <f>+Model!AA66/AVERAGE(Model!Z107:AA107)</f>
        <v>7.5242396068535E-2</v>
      </c>
      <c r="K22" s="121">
        <f>+Model!AB66/AVERAGE(Model!AA107:AB107)</f>
        <v>4.5930428909152317E-3</v>
      </c>
      <c r="L22" s="91"/>
      <c r="M22" s="91"/>
      <c r="N22" s="121">
        <f>+AVERAGE(D22:I22)</f>
        <v>0.24738063725413406</v>
      </c>
      <c r="O22" s="121">
        <f>+MEDIAN(D22:I22)</f>
        <v>0.2405622695291148</v>
      </c>
      <c r="P22" s="91"/>
      <c r="Q22" s="119" t="s">
        <v>218</v>
      </c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0"/>
      <c r="AR22" s="90"/>
      <c r="AS22" s="90"/>
      <c r="AT22" s="90"/>
      <c r="AU22" s="90"/>
      <c r="AV22" s="90"/>
    </row>
    <row r="23" spans="1:48">
      <c r="A23" s="91"/>
      <c r="B23" s="91" t="s">
        <v>219</v>
      </c>
      <c r="C23" s="91"/>
      <c r="D23" s="121">
        <f>+Model!U58/AVERAGE(Ratios!C10:D10)</f>
        <v>0.24394704669631831</v>
      </c>
      <c r="E23" s="121">
        <f>+Model!V58/AVERAGE(Ratios!D10:E10)</f>
        <v>0.29602943726279696</v>
      </c>
      <c r="F23" s="121">
        <f>+Model!W58/AVERAGE(Ratios!E10:F10)</f>
        <v>0.17518131866672687</v>
      </c>
      <c r="G23" s="121">
        <f>+Model!X58/AVERAGE(Ratios!F10:G10)</f>
        <v>0.25418878962261149</v>
      </c>
      <c r="H23" s="121">
        <f>+Model!Y58/AVERAGE(Ratios!G10:H10)</f>
        <v>0.26799463513983407</v>
      </c>
      <c r="I23" s="121">
        <f>+Model!Z58/AVERAGE(Ratios!H10:I10)</f>
        <v>0.18067553895244767</v>
      </c>
      <c r="J23" s="121">
        <f>+Model!AA58/AVERAGE(Ratios!I10:J10)</f>
        <v>7.6446178517698013E-2</v>
      </c>
      <c r="K23" s="121">
        <f>+Model!AB58/AVERAGE(Ratios!J10:K10)</f>
        <v>3.8008458424845265E-2</v>
      </c>
      <c r="L23" s="91"/>
      <c r="M23" s="91"/>
      <c r="N23" s="121">
        <f t="shared" ref="N23:N32" si="11">+AVERAGE(D23:I23)</f>
        <v>0.23633612772345589</v>
      </c>
      <c r="O23" s="121">
        <f t="shared" ref="O23:O32" si="12">+MEDIAN(D23:I23)</f>
        <v>0.24906791815946488</v>
      </c>
      <c r="P23" s="91"/>
      <c r="Q23" s="119" t="s">
        <v>220</v>
      </c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0"/>
      <c r="AR23" s="90"/>
      <c r="AS23" s="90"/>
      <c r="AT23" s="90"/>
      <c r="AU23" s="90"/>
      <c r="AV23" s="90"/>
    </row>
    <row r="24" spans="1:48">
      <c r="A24" s="91"/>
      <c r="B24" s="91" t="s">
        <v>221</v>
      </c>
      <c r="C24" s="91"/>
      <c r="D24" s="121">
        <f t="shared" ref="D24:H24" si="13">+D14/AVERAGE(C11:D11)</f>
        <v>0.19409916499562488</v>
      </c>
      <c r="E24" s="121">
        <f t="shared" si="13"/>
        <v>0.18416469366838556</v>
      </c>
      <c r="F24" s="121">
        <f t="shared" si="13"/>
        <v>0.16148137196722506</v>
      </c>
      <c r="G24" s="121">
        <f t="shared" si="13"/>
        <v>0.23764521255321516</v>
      </c>
      <c r="H24" s="121">
        <f t="shared" si="13"/>
        <v>0.23426730873597121</v>
      </c>
      <c r="I24" s="121">
        <f>+I14/AVERAGE(H11:I11)</f>
        <v>0.15494981903048988</v>
      </c>
      <c r="J24" s="121">
        <f>+J14/AVERAGE(I11:J11)</f>
        <v>7.2203016370735368E-2</v>
      </c>
      <c r="K24" s="121">
        <f>+K14/AVERAGE(J11:K11)</f>
        <v>1.5788612181487933E-2</v>
      </c>
      <c r="L24" s="91"/>
      <c r="M24" s="91"/>
      <c r="N24" s="121">
        <f t="shared" si="11"/>
        <v>0.1944345951584853</v>
      </c>
      <c r="O24" s="121">
        <f t="shared" si="12"/>
        <v>0.18913192933200523</v>
      </c>
      <c r="P24" s="91"/>
      <c r="Q24" s="119" t="s">
        <v>222</v>
      </c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0"/>
      <c r="AR24" s="90"/>
      <c r="AS24" s="90"/>
      <c r="AT24" s="90"/>
      <c r="AU24" s="90"/>
      <c r="AV24" s="90"/>
    </row>
    <row r="25" spans="1:48">
      <c r="A25" s="91"/>
      <c r="B25" s="91" t="s">
        <v>223</v>
      </c>
      <c r="C25" s="91"/>
      <c r="D25" s="121">
        <f t="shared" ref="D25:H25" si="14">+D14/AVERAGE(C12:D12)</f>
        <v>0.95346592023059917</v>
      </c>
      <c r="E25" s="121">
        <f t="shared" si="14"/>
        <v>0.73340192848157271</v>
      </c>
      <c r="F25" s="121">
        <f t="shared" si="14"/>
        <v>0.48368655393744997</v>
      </c>
      <c r="G25" s="121">
        <f t="shared" si="14"/>
        <v>0.65931105076601626</v>
      </c>
      <c r="H25" s="121">
        <f t="shared" si="14"/>
        <v>0.61324846421215784</v>
      </c>
      <c r="I25" s="121">
        <f>+I14/AVERAGE(H12:I12)</f>
        <v>0.38831851082392849</v>
      </c>
      <c r="J25" s="121">
        <f>+J14/AVERAGE(I12:J12)</f>
        <v>0.17990712907150255</v>
      </c>
      <c r="K25" s="121">
        <f>+K14/AVERAGE(J12:K12)</f>
        <v>3.9693063319517989E-2</v>
      </c>
      <c r="L25" s="91"/>
      <c r="M25" s="91"/>
      <c r="N25" s="121">
        <f t="shared" si="11"/>
        <v>0.63857207140862082</v>
      </c>
      <c r="O25" s="121">
        <f t="shared" si="12"/>
        <v>0.63627975748908705</v>
      </c>
      <c r="P25" s="91"/>
      <c r="Q25" s="119" t="s">
        <v>224</v>
      </c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0"/>
      <c r="AR25" s="90"/>
      <c r="AS25" s="90"/>
      <c r="AT25" s="90"/>
      <c r="AU25" s="90"/>
      <c r="AV25" s="90"/>
    </row>
    <row r="26" spans="1:48">
      <c r="A26" s="91"/>
      <c r="B26" s="91" t="s">
        <v>225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121"/>
      <c r="O26" s="121"/>
      <c r="P26" s="91"/>
      <c r="Q26" s="119" t="s">
        <v>226</v>
      </c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0"/>
      <c r="AR26" s="90"/>
      <c r="AS26" s="90"/>
      <c r="AT26" s="90"/>
      <c r="AU26" s="90"/>
      <c r="AV26" s="90"/>
    </row>
    <row r="27" spans="1:48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0"/>
      <c r="AR27" s="90"/>
      <c r="AS27" s="90"/>
      <c r="AT27" s="90"/>
      <c r="AU27" s="90"/>
      <c r="AV27" s="90"/>
    </row>
    <row r="28" spans="1:48">
      <c r="A28" s="91"/>
      <c r="B28" s="91" t="s">
        <v>227</v>
      </c>
      <c r="C28" s="121"/>
      <c r="D28" s="121">
        <f>1-(-Model!U146)/Model!U66</f>
        <v>0.78992705052625911</v>
      </c>
      <c r="E28" s="121">
        <f>1-(-Model!V146)/Model!V66</f>
        <v>0.4186953131768173</v>
      </c>
      <c r="F28" s="121">
        <f>1-(-Model!W146)/Model!W66</f>
        <v>0.53059895833333337</v>
      </c>
      <c r="G28" s="121">
        <f>1-(-Model!X146)/Model!X66</f>
        <v>0.67724667800239313</v>
      </c>
      <c r="H28" s="121">
        <f>1-(-Model!Y146)/Model!Y66</f>
        <v>0.57719977863862759</v>
      </c>
      <c r="I28" s="121">
        <f>1-(-Model!Z146)/Model!Z66</f>
        <v>0.41200134093194773</v>
      </c>
      <c r="J28" s="121">
        <f>1-(-Model!AA146)/Model!AA66</f>
        <v>-0.53574580759046775</v>
      </c>
      <c r="K28" s="121">
        <f>1-(-Model!AB146)/Model!AB66</f>
        <v>-9.8235294117647065</v>
      </c>
      <c r="L28" s="91"/>
      <c r="M28" s="91"/>
      <c r="N28" s="121">
        <f t="shared" si="11"/>
        <v>0.56761151993489634</v>
      </c>
      <c r="O28" s="121">
        <f t="shared" si="12"/>
        <v>0.55389936848598054</v>
      </c>
      <c r="P28" s="91"/>
      <c r="Q28" s="119" t="s">
        <v>228</v>
      </c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0"/>
      <c r="AR28" s="90"/>
      <c r="AS28" s="90"/>
      <c r="AT28" s="90"/>
      <c r="AU28" s="90"/>
      <c r="AV28" s="90"/>
    </row>
    <row r="29" spans="1:48">
      <c r="A29" s="91"/>
      <c r="B29" s="91" t="s">
        <v>229</v>
      </c>
      <c r="C29" s="121"/>
      <c r="D29" s="121">
        <f>-(Model!U137+Model!U140)/Ratios!D14</f>
        <v>0.29441090642756851</v>
      </c>
      <c r="E29" s="121">
        <f>-(Model!V137+Model!V140)/Ratios!E14</f>
        <v>0.6280975737340545</v>
      </c>
      <c r="F29" s="121">
        <f>-(Model!W137+Model!W140)/Ratios!F14</f>
        <v>0.31740968906062045</v>
      </c>
      <c r="G29" s="121">
        <f>-(Model!X137+Model!X140)/Ratios!G14</f>
        <v>0.26855196217433419</v>
      </c>
      <c r="H29" s="121">
        <f>-(Model!Y137+Model!Y140)/Ratios!H14</f>
        <v>0.48770188124288549</v>
      </c>
      <c r="I29" s="121">
        <f>-(Model!Z137+Model!Z140)/Ratios!I14</f>
        <v>0.83438520489052337</v>
      </c>
      <c r="J29" s="121">
        <f>-(Model!AA137+Model!AA140)/Ratios!J14</f>
        <v>1.4027736541472187</v>
      </c>
      <c r="K29" s="121">
        <f>-(Model!AB137+Model!AB140)/Ratios!K14</f>
        <v>-3.9220779220779218</v>
      </c>
      <c r="L29" s="91"/>
      <c r="M29" s="91"/>
      <c r="N29" s="121">
        <f t="shared" si="11"/>
        <v>0.47175953625499778</v>
      </c>
      <c r="O29" s="121">
        <f t="shared" si="12"/>
        <v>0.40255578515175294</v>
      </c>
      <c r="P29" s="91"/>
      <c r="Q29" s="119" t="s">
        <v>230</v>
      </c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0"/>
      <c r="AR29" s="90"/>
      <c r="AS29" s="90"/>
      <c r="AT29" s="90"/>
      <c r="AU29" s="90"/>
      <c r="AV29" s="90"/>
    </row>
    <row r="30" spans="1:48">
      <c r="A30" s="91"/>
      <c r="B30" s="91" t="s">
        <v>231</v>
      </c>
      <c r="C30" s="91"/>
      <c r="D30" s="121">
        <f t="shared" ref="D30:H30" si="15">+D28*D22</f>
        <v>0.26855372676065364</v>
      </c>
      <c r="E30" s="121">
        <f t="shared" si="15"/>
        <v>9.5778834720570818E-2</v>
      </c>
      <c r="F30" s="121">
        <f t="shared" si="15"/>
        <v>0.10326259106746913</v>
      </c>
      <c r="G30" s="121">
        <f t="shared" si="15"/>
        <v>0.17091612728912625</v>
      </c>
      <c r="H30" s="121">
        <f t="shared" si="15"/>
        <v>0.15256902541598097</v>
      </c>
      <c r="I30" s="121">
        <f>+I28*I22</f>
        <v>8.4149263950701811E-2</v>
      </c>
      <c r="J30" s="121">
        <f>+J28*J22</f>
        <v>-4.031079824677912E-2</v>
      </c>
      <c r="K30" s="121">
        <f>+K28*K22</f>
        <v>-4.5119891928402572E-2</v>
      </c>
      <c r="L30" s="91"/>
      <c r="M30" s="91"/>
      <c r="N30" s="121">
        <f t="shared" si="11"/>
        <v>0.1458715948674171</v>
      </c>
      <c r="O30" s="121">
        <f t="shared" si="12"/>
        <v>0.12791580824172505</v>
      </c>
      <c r="P30" s="91"/>
      <c r="Q30" s="119" t="s">
        <v>232</v>
      </c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0"/>
      <c r="AR30" s="90"/>
      <c r="AS30" s="90"/>
      <c r="AT30" s="90"/>
      <c r="AU30" s="90"/>
      <c r="AV30" s="90"/>
    </row>
    <row r="31" spans="1:48">
      <c r="A31" s="91"/>
      <c r="B31" s="91" t="s">
        <v>233</v>
      </c>
      <c r="C31" s="91"/>
      <c r="D31" s="121">
        <f t="shared" ref="D31:H31" si="16">+D29*D24</f>
        <v>5.7144911103196097E-2</v>
      </c>
      <c r="E31" s="121">
        <f t="shared" si="16"/>
        <v>0.11567339726058835</v>
      </c>
      <c r="F31" s="121">
        <f t="shared" si="16"/>
        <v>5.1255752065199299E-2</v>
      </c>
      <c r="G31" s="121">
        <f t="shared" si="16"/>
        <v>6.3820088132502645E-2</v>
      </c>
      <c r="H31" s="121">
        <f t="shared" si="16"/>
        <v>0.11425260718424102</v>
      </c>
      <c r="I31" s="121">
        <f>+I29*I24</f>
        <v>0.12928783649950482</v>
      </c>
      <c r="J31" s="121">
        <f>+J29*J24</f>
        <v>0.1012844891148279</v>
      </c>
      <c r="K31" s="121">
        <f>+K29*K24</f>
        <v>-6.1924167257264358E-2</v>
      </c>
      <c r="L31" s="91"/>
      <c r="M31" s="91"/>
      <c r="N31" s="121">
        <f t="shared" si="11"/>
        <v>8.8572432040872048E-2</v>
      </c>
      <c r="O31" s="121">
        <f t="shared" si="12"/>
        <v>8.9036347658371831E-2</v>
      </c>
      <c r="P31" s="91"/>
      <c r="Q31" s="119" t="s">
        <v>234</v>
      </c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0"/>
      <c r="AR31" s="90"/>
      <c r="AS31" s="90"/>
      <c r="AT31" s="90"/>
      <c r="AU31" s="90"/>
      <c r="AV31" s="90"/>
    </row>
    <row r="32" spans="1:48">
      <c r="A32" s="91"/>
      <c r="B32" s="91" t="s">
        <v>390</v>
      </c>
      <c r="C32" s="91"/>
      <c r="D32" s="121">
        <f t="shared" ref="D32:H32" si="17">+D29*D25</f>
        <v>0.28071076582288645</v>
      </c>
      <c r="E32" s="121">
        <f t="shared" si="17"/>
        <v>0.46064797185115236</v>
      </c>
      <c r="F32" s="121">
        <f t="shared" si="17"/>
        <v>0.15352679868808902</v>
      </c>
      <c r="G32" s="121">
        <f t="shared" si="17"/>
        <v>0.17705927636643573</v>
      </c>
      <c r="H32" s="121">
        <f t="shared" si="17"/>
        <v>0.29908242966557974</v>
      </c>
      <c r="I32" s="121">
        <f>+I29*I25</f>
        <v>0.3240072202166065</v>
      </c>
      <c r="J32" s="121">
        <f>+J29*J25</f>
        <v>0.25236898085476694</v>
      </c>
      <c r="K32" s="121">
        <f>+K29*K25</f>
        <v>-0.15567928730512248</v>
      </c>
      <c r="L32" s="91"/>
      <c r="M32" s="91"/>
      <c r="N32" s="121">
        <f t="shared" si="11"/>
        <v>0.28250574376845827</v>
      </c>
      <c r="O32" s="121">
        <f t="shared" si="12"/>
        <v>0.2898965977442331</v>
      </c>
      <c r="P32" s="91"/>
      <c r="Q32" s="119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0"/>
      <c r="AR32" s="90"/>
      <c r="AS32" s="90"/>
      <c r="AT32" s="90"/>
      <c r="AU32" s="90"/>
      <c r="AV32" s="90"/>
    </row>
    <row r="33" spans="1:48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0"/>
      <c r="AR33" s="90"/>
      <c r="AS33" s="90"/>
      <c r="AT33" s="90"/>
      <c r="AU33" s="90"/>
      <c r="AV33" s="90"/>
    </row>
    <row r="34" spans="1:48">
      <c r="A34" s="93" t="s">
        <v>52</v>
      </c>
      <c r="B34" s="61" t="s">
        <v>235</v>
      </c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0"/>
      <c r="AR34" s="90"/>
      <c r="AS34" s="90"/>
      <c r="AT34" s="90"/>
      <c r="AU34" s="90"/>
      <c r="AV34" s="90"/>
    </row>
    <row r="35" spans="1:48">
      <c r="A35" s="91"/>
      <c r="B35" s="91" t="s">
        <v>236</v>
      </c>
      <c r="C35" s="121">
        <f>+Model!T109/SUM(Model!T118,Model!T120,Model!T110,Model!T112)</f>
        <v>2.2735932294949133</v>
      </c>
      <c r="D35" s="121">
        <f>+Model!U109/SUM(Model!U118,Model!U120,Model!U110,Model!U112)</f>
        <v>2.2437893046697295</v>
      </c>
      <c r="E35" s="121">
        <f>+Model!V109/SUM(Model!V118,Model!V120,Model!V110,Model!V112)</f>
        <v>1.8478014586136093</v>
      </c>
      <c r="F35" s="121">
        <f>+Model!W109/SUM(Model!W118,Model!W120,Model!W110,Model!W112)</f>
        <v>2.0025958034510873</v>
      </c>
      <c r="G35" s="121">
        <f>+Model!X109/SUM(Model!X118,Model!X120,Model!X110,Model!X112)</f>
        <v>2.2295081967213113</v>
      </c>
      <c r="H35" s="121">
        <f>+Model!Y109/SUM(Model!Y118,Model!Y120,Model!Y110,Model!Y112)</f>
        <v>2.0236824093086927</v>
      </c>
      <c r="I35" s="121">
        <f>+Model!Z109/SUM(Model!Z118,Model!Z120,Model!Z110,Model!Z112)</f>
        <v>1.2289859522530129</v>
      </c>
      <c r="J35" s="121">
        <f>+Model!AA109/SUM(Model!AA118,Model!AA120,Model!AA110,Model!AA112)</f>
        <v>1.0930442637759712</v>
      </c>
      <c r="K35" s="121">
        <f>+Model!AB109/SUM(Model!AB118,Model!AB120,Model!AB110,Model!AB112)</f>
        <v>1.2350740327973253</v>
      </c>
      <c r="L35" s="91"/>
      <c r="M35" s="91"/>
      <c r="N35" s="126">
        <f>+AVERAGE(C35:I35)</f>
        <v>1.9785651935017652</v>
      </c>
      <c r="O35" s="126">
        <f>+MEDIAN(C35:I35)</f>
        <v>2.0236824093086927</v>
      </c>
      <c r="P35" s="91"/>
      <c r="Q35" s="119" t="s">
        <v>237</v>
      </c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0"/>
      <c r="AR35" s="90"/>
      <c r="AS35" s="90"/>
      <c r="AT35" s="90"/>
      <c r="AU35" s="90"/>
      <c r="AV35" s="90"/>
    </row>
    <row r="36" spans="1:48">
      <c r="A36" s="91"/>
      <c r="B36" s="91" t="s">
        <v>238</v>
      </c>
      <c r="C36" s="121">
        <f>+C6/Model!T109</f>
        <v>0.25829214978141035</v>
      </c>
      <c r="D36" s="121">
        <f>+D6/Model!U109</f>
        <v>0.16573904746759957</v>
      </c>
      <c r="E36" s="121">
        <f>+E6/Model!V109</f>
        <v>0.31793535531584693</v>
      </c>
      <c r="F36" s="121">
        <f>+F6/Model!W109</f>
        <v>0.20009970918155387</v>
      </c>
      <c r="G36" s="121">
        <f>+G6/Model!X109</f>
        <v>6.3410017472335475E-2</v>
      </c>
      <c r="H36" s="121">
        <f>+H6/Model!Y109</f>
        <v>0.18954204153419468</v>
      </c>
      <c r="I36" s="121">
        <f>+I6/Model!Z109</f>
        <v>0.56021236727045598</v>
      </c>
      <c r="J36" s="121">
        <f>+J6/Model!AA109</f>
        <v>0.52441195168467891</v>
      </c>
      <c r="K36" s="121">
        <f>+K6/Model!AB109</f>
        <v>0.52510473735095065</v>
      </c>
      <c r="L36" s="91"/>
      <c r="M36" s="91"/>
      <c r="N36" s="126">
        <f t="shared" ref="N36:N39" si="18">+AVERAGE(C36:I36)</f>
        <v>0.25074724114619956</v>
      </c>
      <c r="O36" s="126">
        <f t="shared" ref="O36:O39" si="19">+MEDIAN(C36:I36)</f>
        <v>0.20009970918155387</v>
      </c>
      <c r="P36" s="91"/>
      <c r="Q36" s="119" t="s">
        <v>239</v>
      </c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0"/>
      <c r="AR36" s="90"/>
      <c r="AS36" s="90"/>
      <c r="AT36" s="90"/>
      <c r="AU36" s="90"/>
      <c r="AV36" s="90"/>
    </row>
    <row r="37" spans="1:48">
      <c r="A37" s="91"/>
      <c r="B37" s="91" t="s">
        <v>240</v>
      </c>
      <c r="C37" s="121">
        <f>+Model!T58/(-Model!T59)</f>
        <v>11.155399835119539</v>
      </c>
      <c r="D37" s="121">
        <f>+Model!U58/(-Model!U59)</f>
        <v>17.951760733236853</v>
      </c>
      <c r="E37" s="121">
        <f>+Model!V58/(-Model!V59)</f>
        <v>14.894345718901455</v>
      </c>
      <c r="F37" s="121">
        <f>+Model!W58/(-Model!W59)</f>
        <v>9.6523266022827041</v>
      </c>
      <c r="G37" s="121">
        <f>+Model!X58/(-Model!X59)</f>
        <v>17.571428571428573</v>
      </c>
      <c r="H37" s="121">
        <f>+Model!Y58/(-Model!Y59)</f>
        <v>20.75</v>
      </c>
      <c r="I37" s="121">
        <f>+Model!Z58/(-Model!Z59)</f>
        <v>11.324390243902439</v>
      </c>
      <c r="J37" s="121">
        <f>+Model!AA58/(-Model!AA59)</f>
        <v>3.765472312703583</v>
      </c>
      <c r="K37" s="121">
        <f>+Model!AB58/(-Model!AB59)</f>
        <v>1.7626262626262625</v>
      </c>
      <c r="L37" s="91"/>
      <c r="M37" s="91"/>
      <c r="N37" s="126">
        <f t="shared" si="18"/>
        <v>14.757093100695938</v>
      </c>
      <c r="O37" s="126">
        <f t="shared" si="19"/>
        <v>14.894345718901455</v>
      </c>
      <c r="P37" s="91"/>
      <c r="Q37" s="119" t="s">
        <v>241</v>
      </c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0"/>
      <c r="AR37" s="90"/>
      <c r="AS37" s="90"/>
      <c r="AT37" s="90"/>
      <c r="AU37" s="90"/>
      <c r="AV37" s="90"/>
    </row>
    <row r="38" spans="1:48">
      <c r="A38" s="91"/>
      <c r="B38" s="91" t="s">
        <v>242</v>
      </c>
      <c r="C38" s="121">
        <f>+C6/(Model!T58+Model!T132)</f>
        <v>1.0391600815702269</v>
      </c>
      <c r="D38" s="121">
        <f>+D6/(Model!U58+Model!U132)</f>
        <v>0.39579427052429206</v>
      </c>
      <c r="E38" s="121">
        <f>+E6/(Model!V58+Model!V132)</f>
        <v>0.56682208672780987</v>
      </c>
      <c r="F38" s="121">
        <f>+F6/(Model!W58+Model!W132)</f>
        <v>0.50835936840327633</v>
      </c>
      <c r="G38" s="121">
        <f>+G6/(Model!X58+Model!X132)</f>
        <v>0.13936000000000001</v>
      </c>
      <c r="H38" s="121">
        <f>+H6/(Model!Y58+Model!Y132)</f>
        <v>0.39682764480951704</v>
      </c>
      <c r="I38" s="121">
        <f>+I6/(Model!Z58+Model!Z132)</f>
        <v>1.3871017630683575</v>
      </c>
      <c r="J38" s="121">
        <f>+J6/(Model!AA58+Model!AA132)</f>
        <v>1.864180790960452</v>
      </c>
      <c r="K38" s="121">
        <f>+K6/(Model!AB58+Model!AB132)</f>
        <v>2.6357165965706892</v>
      </c>
      <c r="L38" s="126"/>
      <c r="M38" s="91"/>
      <c r="N38" s="126">
        <f t="shared" si="18"/>
        <v>0.63334645930049704</v>
      </c>
      <c r="O38" s="126">
        <f t="shared" si="19"/>
        <v>0.50835936840327633</v>
      </c>
      <c r="P38" s="91"/>
      <c r="Q38" s="119" t="s">
        <v>243</v>
      </c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0"/>
      <c r="AR38" s="90"/>
      <c r="AS38" s="90"/>
      <c r="AT38" s="90"/>
      <c r="AU38" s="90"/>
      <c r="AV38" s="90"/>
    </row>
    <row r="39" spans="1:48">
      <c r="A39" s="91"/>
      <c r="B39" s="91" t="s">
        <v>244</v>
      </c>
      <c r="C39" s="136">
        <v>0</v>
      </c>
      <c r="D39" s="136">
        <v>0</v>
      </c>
      <c r="E39" s="136">
        <v>0</v>
      </c>
      <c r="F39" s="136">
        <v>0</v>
      </c>
      <c r="G39" s="136">
        <v>0</v>
      </c>
      <c r="H39" s="136">
        <v>0</v>
      </c>
      <c r="I39" s="136">
        <v>0</v>
      </c>
      <c r="J39" s="136">
        <v>0</v>
      </c>
      <c r="K39" s="136">
        <v>0</v>
      </c>
      <c r="L39" s="126"/>
      <c r="M39" s="91"/>
      <c r="N39" s="126">
        <f t="shared" si="18"/>
        <v>0</v>
      </c>
      <c r="O39" s="126">
        <f t="shared" si="19"/>
        <v>0</v>
      </c>
      <c r="P39" s="91"/>
      <c r="Q39" s="119" t="s">
        <v>245</v>
      </c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0"/>
      <c r="AR39" s="90"/>
      <c r="AS39" s="90"/>
      <c r="AT39" s="90"/>
      <c r="AU39" s="90"/>
      <c r="AV39" s="90"/>
    </row>
    <row r="40" spans="1:48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0"/>
      <c r="AR40" s="90"/>
      <c r="AS40" s="90"/>
      <c r="AT40" s="90"/>
      <c r="AU40" s="90"/>
      <c r="AV40" s="90"/>
    </row>
    <row r="41" spans="1:48">
      <c r="A41" s="93" t="s">
        <v>52</v>
      </c>
      <c r="B41" s="61" t="s">
        <v>246</v>
      </c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0"/>
      <c r="AR41" s="90"/>
      <c r="AS41" s="90"/>
      <c r="AT41" s="90"/>
      <c r="AU41" s="90"/>
      <c r="AV41" s="90"/>
    </row>
    <row r="42" spans="1:48">
      <c r="A42" s="91"/>
      <c r="B42" s="91" t="s">
        <v>247</v>
      </c>
      <c r="C42" s="134">
        <f>+Model!T99/Model!T44*360</f>
        <v>31.783792165502621</v>
      </c>
      <c r="D42" s="134">
        <f>+Model!U99/Model!U44*360</f>
        <v>22.379474870473903</v>
      </c>
      <c r="E42" s="134">
        <f>+Model!V99/Model!V44*360</f>
        <v>22.57436962886014</v>
      </c>
      <c r="F42" s="134">
        <f>+Model!W99/Model!W44*360</f>
        <v>22.649425199615273</v>
      </c>
      <c r="G42" s="134">
        <f>+Model!X99/Model!X44*360</f>
        <v>19.933125531311987</v>
      </c>
      <c r="H42" s="134">
        <f>+Model!Y99/Model!Y44*360</f>
        <v>20.873667141663802</v>
      </c>
      <c r="I42" s="134">
        <f>+Model!Z99/Model!Z44*360</f>
        <v>21.177552897884084</v>
      </c>
      <c r="J42" s="134">
        <f>+Model!AA99/Model!AA44*360</f>
        <v>21.000348958939163</v>
      </c>
      <c r="K42" s="134">
        <f>+Model!AB99/Model!AB44*360</f>
        <v>20.213969335604769</v>
      </c>
      <c r="L42" s="134"/>
      <c r="M42" s="91"/>
      <c r="N42" s="134">
        <f>+AVERAGE(C42:I42)</f>
        <v>23.053058205044547</v>
      </c>
      <c r="O42" s="134">
        <f>+MEDIAN(C42:I42)</f>
        <v>22.379474870473903</v>
      </c>
      <c r="P42" s="91"/>
      <c r="Q42" s="119" t="s">
        <v>248</v>
      </c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0"/>
      <c r="AR42" s="90"/>
      <c r="AS42" s="90"/>
      <c r="AT42" s="90"/>
      <c r="AU42" s="90"/>
      <c r="AV42" s="90"/>
    </row>
    <row r="43" spans="1:48">
      <c r="A43" s="91"/>
      <c r="B43" s="91" t="s">
        <v>249</v>
      </c>
      <c r="C43" s="134">
        <f>+Model!T121/Model!T44*360</f>
        <v>28.857776026153758</v>
      </c>
      <c r="D43" s="134">
        <f>+Model!U121/Model!U44*360</f>
        <v>19.64757193454907</v>
      </c>
      <c r="E43" s="134">
        <f>+Model!V121/Model!V44*360</f>
        <v>18.329209557087545</v>
      </c>
      <c r="F43" s="134">
        <f>+Model!W121/Model!W44*360</f>
        <v>18.302010656325859</v>
      </c>
      <c r="G43" s="134">
        <f>+Model!X121/Model!X44*360</f>
        <v>35.540946443751771</v>
      </c>
      <c r="H43" s="134">
        <f>+Model!Y121/Model!Y44*360</f>
        <v>40.031448086089135</v>
      </c>
      <c r="I43" s="134">
        <f>+Model!Z121/Model!Z44*360</f>
        <v>40.478380864765406</v>
      </c>
      <c r="J43" s="134">
        <f>+Model!AA121/Model!AA44*360</f>
        <v>43.926951262068165</v>
      </c>
      <c r="K43" s="134">
        <f>+Model!AB121/Model!AB44*360</f>
        <v>46.560817717206135</v>
      </c>
      <c r="L43" s="134"/>
      <c r="M43" s="91"/>
      <c r="N43" s="134">
        <f t="shared" ref="N43:N47" si="20">+AVERAGE(C43:I43)</f>
        <v>28.741049081246079</v>
      </c>
      <c r="O43" s="134">
        <f t="shared" ref="O43:O47" si="21">+MEDIAN(C43:I43)</f>
        <v>28.857776026153758</v>
      </c>
      <c r="P43" s="91"/>
      <c r="Q43" s="119" t="s">
        <v>250</v>
      </c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0"/>
      <c r="AR43" s="90"/>
      <c r="AS43" s="90"/>
      <c r="AT43" s="90"/>
      <c r="AU43" s="90"/>
      <c r="AV43" s="90"/>
    </row>
    <row r="44" spans="1:48">
      <c r="A44" s="91"/>
      <c r="B44" s="91" t="s">
        <v>251</v>
      </c>
      <c r="C44" s="121">
        <f>+Model!T98/Model!T106</f>
        <v>0.10552675408759296</v>
      </c>
      <c r="D44" s="121">
        <f>+Model!U98/Model!U106</f>
        <v>0.113008073008073</v>
      </c>
      <c r="E44" s="121">
        <f>+Model!V98/Model!V106</f>
        <v>0.10900170177028312</v>
      </c>
      <c r="F44" s="121">
        <f>+Model!W98/Model!W106</f>
        <v>0.10160540467195611</v>
      </c>
      <c r="G44" s="121">
        <f>+Model!X98/Model!X106</f>
        <v>0.10843955195056006</v>
      </c>
      <c r="H44" s="121">
        <f>+Model!Y98/Model!Y106</f>
        <v>0.13155181049468195</v>
      </c>
      <c r="I44" s="121">
        <f>+Model!Z98/Model!Z106</f>
        <v>0.10999105567239587</v>
      </c>
      <c r="J44" s="121">
        <f>+Model!AA98/Model!AA106</f>
        <v>9.2096156508097632E-2</v>
      </c>
      <c r="K44" s="121">
        <f>+Model!AB98/Model!AB106</f>
        <v>8.9286581516196395E-2</v>
      </c>
      <c r="L44" s="91"/>
      <c r="M44" s="91"/>
      <c r="N44" s="126">
        <f t="shared" si="20"/>
        <v>0.11130347880793474</v>
      </c>
      <c r="O44" s="126">
        <f t="shared" si="21"/>
        <v>0.10900170177028312</v>
      </c>
      <c r="P44" s="91"/>
      <c r="Q44" s="119" t="s">
        <v>252</v>
      </c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0"/>
      <c r="AR44" s="90"/>
      <c r="AS44" s="90"/>
      <c r="AT44" s="90"/>
      <c r="AU44" s="90"/>
      <c r="AV44" s="90"/>
    </row>
    <row r="45" spans="1:48">
      <c r="A45" s="91"/>
      <c r="B45" s="91" t="s">
        <v>253</v>
      </c>
      <c r="C45" s="134">
        <f>+Model!T45/Model!T98</f>
        <v>1.9801785780445333</v>
      </c>
      <c r="D45" s="134">
        <f>+Model!U45/Model!U98</f>
        <v>1.4357891249430572</v>
      </c>
      <c r="E45" s="134">
        <f>+Model!V45/Model!V98</f>
        <v>1.3883819951338201</v>
      </c>
      <c r="F45" s="134">
        <f>+Model!W45/Model!W98</f>
        <v>1.2618520470918995</v>
      </c>
      <c r="G45" s="134">
        <f>+Model!X45/Model!X98</f>
        <v>1.3585633719204511</v>
      </c>
      <c r="H45" s="134">
        <f>+Model!Y45/Model!Y98</f>
        <v>1.1540873460246361</v>
      </c>
      <c r="I45" s="134">
        <f>+Model!Z45/Model!Z98</f>
        <v>1.0195604395604396</v>
      </c>
      <c r="J45" s="134">
        <f>+Model!AA45/Model!AA98</f>
        <v>1.1305110220440882</v>
      </c>
      <c r="K45" s="134">
        <f>+Model!AB45/Model!AB98</f>
        <v>1.0919227631221105</v>
      </c>
      <c r="L45" s="91"/>
      <c r="M45" s="91"/>
      <c r="N45" s="134">
        <f t="shared" si="20"/>
        <v>1.3712018432455484</v>
      </c>
      <c r="O45" s="134">
        <f t="shared" si="21"/>
        <v>1.3585633719204511</v>
      </c>
      <c r="P45" s="91"/>
      <c r="Q45" s="119" t="s">
        <v>254</v>
      </c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0"/>
      <c r="AR45" s="90"/>
      <c r="AS45" s="90"/>
      <c r="AT45" s="90"/>
      <c r="AU45" s="90"/>
      <c r="AV45" s="90"/>
    </row>
    <row r="46" spans="1:48">
      <c r="A46" s="91"/>
      <c r="B46" s="91" t="s">
        <v>255</v>
      </c>
      <c r="C46" s="137">
        <f t="shared" ref="C46:H46" si="22">360/C45</f>
        <v>181.80178494583419</v>
      </c>
      <c r="D46" s="137">
        <f t="shared" si="22"/>
        <v>250.73319873089125</v>
      </c>
      <c r="E46" s="137">
        <f t="shared" si="22"/>
        <v>259.29463307776558</v>
      </c>
      <c r="F46" s="137">
        <f t="shared" si="22"/>
        <v>285.29493677936836</v>
      </c>
      <c r="G46" s="137">
        <f t="shared" si="22"/>
        <v>264.98579855800745</v>
      </c>
      <c r="H46" s="137">
        <f t="shared" si="22"/>
        <v>311.93479526489421</v>
      </c>
      <c r="I46" s="137">
        <f>360/I45</f>
        <v>353.09333908169862</v>
      </c>
      <c r="J46" s="137">
        <f>360/J45</f>
        <v>318.44006204298694</v>
      </c>
      <c r="K46" s="137">
        <f>360/K45</f>
        <v>329.6936488169365</v>
      </c>
      <c r="L46" s="91"/>
      <c r="M46" s="91"/>
      <c r="N46" s="134">
        <f t="shared" si="20"/>
        <v>272.44835520549424</v>
      </c>
      <c r="O46" s="134">
        <f t="shared" si="21"/>
        <v>264.98579855800745</v>
      </c>
      <c r="P46" s="91"/>
      <c r="Q46" s="119" t="s">
        <v>256</v>
      </c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0"/>
      <c r="AR46" s="90"/>
      <c r="AS46" s="90"/>
      <c r="AT46" s="90"/>
      <c r="AU46" s="90"/>
      <c r="AV46" s="90"/>
    </row>
    <row r="47" spans="1:48">
      <c r="A47" s="91"/>
      <c r="B47" s="91" t="s">
        <v>257</v>
      </c>
      <c r="C47" s="137">
        <f t="shared" ref="C47:H47" si="23">+C46+C42-C43</f>
        <v>184.72780108518305</v>
      </c>
      <c r="D47" s="137">
        <f t="shared" si="23"/>
        <v>253.46510166681608</v>
      </c>
      <c r="E47" s="137">
        <f t="shared" si="23"/>
        <v>263.53979314953818</v>
      </c>
      <c r="F47" s="137">
        <f t="shared" si="23"/>
        <v>289.64235132265776</v>
      </c>
      <c r="G47" s="137">
        <f t="shared" si="23"/>
        <v>249.37797764556765</v>
      </c>
      <c r="H47" s="137">
        <f t="shared" si="23"/>
        <v>292.77701432046888</v>
      </c>
      <c r="I47" s="137">
        <f>+I46+I42-I43</f>
        <v>333.79251111481727</v>
      </c>
      <c r="J47" s="137">
        <f>+J46+J42-J43</f>
        <v>295.51345973985798</v>
      </c>
      <c r="K47" s="137">
        <f>+K46+K42-K43</f>
        <v>303.34680043533513</v>
      </c>
      <c r="L47" s="91"/>
      <c r="M47" s="91"/>
      <c r="N47" s="134">
        <f t="shared" si="20"/>
        <v>266.76036432929266</v>
      </c>
      <c r="O47" s="134">
        <f t="shared" si="21"/>
        <v>263.53979314953818</v>
      </c>
      <c r="P47" s="91"/>
      <c r="Q47" s="119" t="s">
        <v>258</v>
      </c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0"/>
      <c r="AR47" s="90"/>
      <c r="AS47" s="90"/>
      <c r="AT47" s="90"/>
      <c r="AU47" s="90"/>
      <c r="AV47" s="90"/>
    </row>
    <row r="48" spans="1: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0"/>
      <c r="AR48" s="90"/>
      <c r="AS48" s="90"/>
      <c r="AT48" s="90"/>
      <c r="AU48" s="90"/>
      <c r="AV48" s="90"/>
    </row>
    <row r="49" spans="1:48">
      <c r="A49" s="93" t="s">
        <v>52</v>
      </c>
      <c r="B49" s="61" t="s">
        <v>259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0"/>
      <c r="AR49" s="90"/>
      <c r="AS49" s="90"/>
      <c r="AT49" s="90"/>
      <c r="AU49" s="90"/>
      <c r="AV49" s="90"/>
    </row>
    <row r="50" spans="1:48">
      <c r="A50" s="91"/>
      <c r="B50" s="61" t="s">
        <v>260</v>
      </c>
      <c r="C50" s="132"/>
      <c r="D50" s="132"/>
      <c r="E50" s="132"/>
      <c r="F50" s="132"/>
      <c r="G50" s="132"/>
      <c r="H50" s="132"/>
      <c r="I50" s="132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0"/>
      <c r="AR50" s="90"/>
      <c r="AS50" s="90"/>
      <c r="AT50" s="90"/>
      <c r="AU50" s="90"/>
      <c r="AV50" s="90"/>
    </row>
    <row r="51" spans="1:48">
      <c r="A51" s="91"/>
      <c r="B51" s="91" t="s">
        <v>261</v>
      </c>
      <c r="C51" s="134">
        <f>+C5/Model!T66</f>
        <v>25.709376029200261</v>
      </c>
      <c r="D51" s="134">
        <f>+D5/Model!U66</f>
        <v>13.589377918759592</v>
      </c>
      <c r="E51" s="134">
        <f>+E5/Model!V66</f>
        <v>31.839481610586493</v>
      </c>
      <c r="F51" s="134">
        <f>+F5/Model!W66</f>
        <v>34.177140283435634</v>
      </c>
      <c r="G51" s="134">
        <f>+G5/Model!X66</f>
        <v>27.731213997134578</v>
      </c>
      <c r="H51" s="134">
        <f>+H5/Model!Y66</f>
        <v>16.254512008854455</v>
      </c>
      <c r="I51" s="134">
        <f>+I5/Model!Z66</f>
        <v>16.409933707475695</v>
      </c>
      <c r="J51" s="134">
        <f>+J5/Model!AA66</f>
        <v>24.906387817652249</v>
      </c>
      <c r="K51" s="134">
        <f>+K5/Model!AB66</f>
        <v>513.49780084705878</v>
      </c>
      <c r="L51" s="134"/>
      <c r="M51" s="91"/>
      <c r="N51" s="91"/>
      <c r="O51" s="91"/>
      <c r="P51" s="91"/>
      <c r="Q51" s="119" t="s">
        <v>262</v>
      </c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0"/>
      <c r="AR51" s="90"/>
      <c r="AS51" s="90"/>
      <c r="AT51" s="90"/>
      <c r="AU51" s="90"/>
      <c r="AV51" s="90"/>
    </row>
    <row r="52" spans="1:48">
      <c r="A52" s="91"/>
      <c r="B52" s="91" t="s">
        <v>263</v>
      </c>
      <c r="C52" s="134"/>
      <c r="D52" s="134">
        <f>+D51/(100*(Model!U64/Model!T64-1))</f>
        <v>0.13421705547700977</v>
      </c>
      <c r="E52" s="134">
        <f>+E51/(100*(Model!V64/Model!U64-1))</f>
        <v>-0.84179400031933826</v>
      </c>
      <c r="F52" s="134">
        <f>+F51/(100*(Model!W64/Model!V64-1))</f>
        <v>-5.1827556850865388</v>
      </c>
      <c r="G52" s="134">
        <f>+G51/(100*(Model!X64/Model!W64-1))</f>
        <v>0.56176260005904355</v>
      </c>
      <c r="H52" s="134">
        <f>+H51/(100*(Model!Y64/Model!X64-1))</f>
        <v>1.1455560844335519</v>
      </c>
      <c r="I52" s="134">
        <f>+I51/(100*(Model!Z64/Model!Y64-1))</f>
        <v>-0.94739337770799126</v>
      </c>
      <c r="J52" s="134">
        <f>+J51/(100*(Model!AA64/Model!Z64-1))</f>
        <v>-0.41452212318063353</v>
      </c>
      <c r="K52" s="134">
        <f>+K51/(100*(Model!AB64/Model!AA64-1))</f>
        <v>-5.303550518849673</v>
      </c>
      <c r="L52" s="134"/>
      <c r="M52" s="91"/>
      <c r="N52" s="91"/>
      <c r="O52" s="91"/>
      <c r="P52" s="91"/>
      <c r="Q52" s="119" t="s">
        <v>264</v>
      </c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0"/>
      <c r="AR52" s="90"/>
      <c r="AS52" s="90"/>
      <c r="AT52" s="90"/>
      <c r="AU52" s="90"/>
      <c r="AV52" s="90"/>
    </row>
    <row r="53" spans="1:48">
      <c r="A53" s="91"/>
      <c r="B53" s="91" t="s">
        <v>265</v>
      </c>
      <c r="C53" s="134">
        <f>+C5/Model!T109</f>
        <v>3.6357680603925102</v>
      </c>
      <c r="D53" s="134">
        <f>+D5/Model!U109</f>
        <v>5.0174107528027356</v>
      </c>
      <c r="E53" s="134">
        <f>+E5/Model!V109</f>
        <v>7.041617386067097</v>
      </c>
      <c r="F53" s="134">
        <f>+F5/Model!W109</f>
        <v>6.1067322364353958</v>
      </c>
      <c r="G53" s="134">
        <f>+G5/Model!X109</f>
        <v>6.411530970595515</v>
      </c>
      <c r="H53" s="134">
        <f>+H5/Model!Y109</f>
        <v>3.9737405398092402</v>
      </c>
      <c r="I53" s="134">
        <f>+I5/Model!Z109</f>
        <v>3.057516068044972</v>
      </c>
      <c r="J53" s="134">
        <f>+J5/Model!AA109</f>
        <v>1.7939566050476794</v>
      </c>
      <c r="K53" s="134">
        <f>+K5/Model!AB109</f>
        <v>2.2505865586593616</v>
      </c>
      <c r="L53" s="134"/>
      <c r="M53" s="91"/>
      <c r="N53" s="91"/>
      <c r="O53" s="91"/>
      <c r="P53" s="91"/>
      <c r="Q53" s="119" t="s">
        <v>266</v>
      </c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0"/>
      <c r="AR53" s="90"/>
      <c r="AS53" s="90"/>
      <c r="AT53" s="90"/>
      <c r="AU53" s="90"/>
      <c r="AV53" s="90"/>
    </row>
    <row r="54" spans="1:48">
      <c r="A54" s="91"/>
      <c r="B54" s="91" t="s">
        <v>267</v>
      </c>
      <c r="C54" s="134">
        <f>+C5/(Model!T109-Model!T89-Model!T90)</f>
        <v>-23.496090612007375</v>
      </c>
      <c r="D54" s="134">
        <f>+D5/(Model!U109-Model!U89-Model!U90)</f>
        <v>187.80944951785705</v>
      </c>
      <c r="E54" s="134">
        <f>+E5/(Model!V109-Model!V89-Model!V90)</f>
        <v>112.70258700735958</v>
      </c>
      <c r="F54" s="134">
        <f>+F5/(Model!W109-Model!W89-Model!W90)</f>
        <v>28.299777614747793</v>
      </c>
      <c r="G54" s="134">
        <f>+G5/(Model!X109-Model!X89-Model!X90)</f>
        <v>23.096981225308156</v>
      </c>
      <c r="H54" s="134">
        <f>+H5/(Model!Y109-Model!Y89-Model!Y90)</f>
        <v>17.415892795730805</v>
      </c>
      <c r="I54" s="134">
        <f>+I5/(Model!Z109-Model!Z89-Model!Z90)</f>
        <v>67.987267013055558</v>
      </c>
      <c r="J54" s="134">
        <f>+J5/(Model!AA109-Model!AA89-Model!AA90)</f>
        <v>169.99359877951807</v>
      </c>
      <c r="K54" s="134">
        <f>+K5/(Model!AB109-Model!AB89-Model!AB90)</f>
        <v>8.9832391195266261</v>
      </c>
      <c r="L54" s="134"/>
      <c r="M54" s="91"/>
      <c r="N54" s="91"/>
      <c r="O54" s="91"/>
      <c r="P54" s="91"/>
      <c r="Q54" s="119" t="s">
        <v>268</v>
      </c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0"/>
      <c r="AR54" s="90"/>
      <c r="AS54" s="90"/>
      <c r="AT54" s="90"/>
      <c r="AU54" s="90"/>
      <c r="AV54" s="90"/>
    </row>
    <row r="55" spans="1:48">
      <c r="A55" s="91"/>
      <c r="B55" s="91" t="s">
        <v>269</v>
      </c>
      <c r="C55" s="134">
        <f>+C5/Model!T139</f>
        <v>16.554275661800869</v>
      </c>
      <c r="D55" s="134">
        <f>+D5/Model!U139</f>
        <v>13.362408689888833</v>
      </c>
      <c r="E55" s="134">
        <f>+E5/Model!V139</f>
        <v>29.695239868379581</v>
      </c>
      <c r="F55" s="134">
        <f>+F5/Model!W139</f>
        <v>25.4429559182649</v>
      </c>
      <c r="G55" s="134">
        <f>+G5/Model!X139</f>
        <v>18.061687738330598</v>
      </c>
      <c r="H55" s="134">
        <f>+H5/Model!Y139</f>
        <v>13.73160504908836</v>
      </c>
      <c r="I55" s="134">
        <f>+I5/Model!Z139</f>
        <v>10.977984357344697</v>
      </c>
      <c r="J55" s="134">
        <f>+J5/Model!AA139</f>
        <v>5.9925541298364831</v>
      </c>
      <c r="K55" s="134">
        <f>+K5/Model!AB139</f>
        <v>11.263822728258063</v>
      </c>
      <c r="L55" s="134"/>
      <c r="M55" s="91"/>
      <c r="N55" s="91"/>
      <c r="O55" s="91"/>
      <c r="P55" s="91"/>
      <c r="Q55" s="119" t="s">
        <v>270</v>
      </c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0"/>
      <c r="AR55" s="90"/>
      <c r="AS55" s="90"/>
      <c r="AT55" s="90"/>
      <c r="AU55" s="90"/>
      <c r="AV55" s="90"/>
    </row>
    <row r="56" spans="1:48">
      <c r="A56" s="91"/>
      <c r="B56" s="91" t="s">
        <v>271</v>
      </c>
      <c r="C56" s="134">
        <f>+C5/Model!T44</f>
        <v>2.9659873132144949</v>
      </c>
      <c r="D56" s="134">
        <f>+D5/Model!U44</f>
        <v>3.6942876818780555</v>
      </c>
      <c r="E56" s="134">
        <f>+E5/Model!V44</f>
        <v>4.6277348976107282</v>
      </c>
      <c r="F56" s="134">
        <f>+F5/Model!W44</f>
        <v>5.6101832388436819</v>
      </c>
      <c r="G56" s="134">
        <f>+G5/Model!X44</f>
        <v>4.9911470338396144</v>
      </c>
      <c r="H56" s="134">
        <f>+H5/Model!Y44</f>
        <v>2.8865316888604982</v>
      </c>
      <c r="I56" s="134">
        <f>+I5/Model!Z44</f>
        <v>2.5018313528263314</v>
      </c>
      <c r="J56" s="134">
        <f>+J5/Model!AA44</f>
        <v>1.6412084097592181</v>
      </c>
      <c r="K56" s="134">
        <f>+K5/Model!AB44</f>
        <v>2.379410593362862</v>
      </c>
      <c r="L56" s="134"/>
      <c r="M56" s="91"/>
      <c r="N56" s="91"/>
      <c r="O56" s="91"/>
      <c r="P56" s="91"/>
      <c r="Q56" s="119" t="s">
        <v>272</v>
      </c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0"/>
      <c r="AR56" s="90"/>
      <c r="AS56" s="90"/>
      <c r="AT56" s="90"/>
      <c r="AU56" s="90"/>
      <c r="AV56" s="90"/>
    </row>
    <row r="57" spans="1:48">
      <c r="A57" s="91"/>
      <c r="B57" s="61" t="s">
        <v>273</v>
      </c>
      <c r="C57" s="91"/>
      <c r="D57" s="91"/>
      <c r="E57" s="91"/>
      <c r="F57" s="91"/>
      <c r="G57" s="91"/>
      <c r="H57" s="91"/>
      <c r="I57" s="91"/>
      <c r="J57" s="91"/>
      <c r="K57" s="134"/>
      <c r="L57" s="134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0"/>
      <c r="AR57" s="90"/>
      <c r="AS57" s="90"/>
      <c r="AT57" s="90"/>
      <c r="AU57" s="90"/>
      <c r="AV57" s="90"/>
    </row>
    <row r="58" spans="1:48">
      <c r="A58" s="91"/>
      <c r="B58" s="91" t="s">
        <v>274</v>
      </c>
      <c r="C58" s="134">
        <f>+C7/(Model!T132+Model!T58)</f>
        <v>15.66656953789829</v>
      </c>
      <c r="D58" s="134">
        <f>+D7/(Model!U132+Model!U58)</f>
        <v>12.377656476016424</v>
      </c>
      <c r="E58" s="134">
        <f>+E7/(Model!V132+Model!V58)</f>
        <v>13.120771164659869</v>
      </c>
      <c r="F58" s="134">
        <f>+F7/(Model!W132+Model!W58)</f>
        <v>16.022697472240985</v>
      </c>
      <c r="G58" s="134">
        <f>+G7/(Model!X132+Model!X58)</f>
        <v>14.230366305936</v>
      </c>
      <c r="H58" s="134">
        <f>+H7/(Model!Y132+Model!Y58)</f>
        <v>8.7163017136382948</v>
      </c>
      <c r="I58" s="134">
        <f>+I7/(Model!Z132+Model!Z58)</f>
        <v>8.9575985538818443</v>
      </c>
      <c r="J58" s="134">
        <f>+J7/(Model!AA132+Model!AA58)</f>
        <v>8.2413417847231631</v>
      </c>
      <c r="K58" s="134">
        <f>+K7/(Model!AB132+Model!AB58)</f>
        <v>13.932335961695243</v>
      </c>
      <c r="L58" s="134"/>
      <c r="M58" s="91"/>
      <c r="N58" s="91"/>
      <c r="O58" s="91"/>
      <c r="P58" s="91"/>
      <c r="Q58" s="119" t="s">
        <v>275</v>
      </c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0"/>
      <c r="AR58" s="90"/>
      <c r="AS58" s="90"/>
      <c r="AT58" s="90"/>
      <c r="AU58" s="90"/>
      <c r="AV58" s="90"/>
    </row>
    <row r="59" spans="1:48">
      <c r="A59" s="91"/>
      <c r="B59" s="91" t="s">
        <v>124</v>
      </c>
      <c r="C59" s="134">
        <f>+C7/Model!T58</f>
        <v>18.167964319454605</v>
      </c>
      <c r="D59" s="134">
        <f>+D7/Model!U58</f>
        <v>14.013752896866771</v>
      </c>
      <c r="E59" s="134">
        <f>+E7/Model!V58</f>
        <v>16.665240844765499</v>
      </c>
      <c r="F59" s="134">
        <f>+F7/Model!W58</f>
        <v>23.013377741040564</v>
      </c>
      <c r="G59" s="134">
        <f>+G7/Model!X58</f>
        <v>18.540710738399</v>
      </c>
      <c r="H59" s="134">
        <f>+H7/Model!Y58</f>
        <v>11.407934457831326</v>
      </c>
      <c r="I59" s="134">
        <f>+I7/Model!Z58</f>
        <v>12.474656956579798</v>
      </c>
      <c r="J59" s="134">
        <f>+J7/Model!AA58</f>
        <v>15.773329324134947</v>
      </c>
      <c r="K59" s="134">
        <f>+K7/Model!AB58</f>
        <v>41.131662328175736</v>
      </c>
      <c r="L59" s="134"/>
      <c r="M59" s="91"/>
      <c r="N59" s="91"/>
      <c r="O59" s="91"/>
      <c r="P59" s="91"/>
      <c r="Q59" s="119" t="s">
        <v>276</v>
      </c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0"/>
      <c r="AR59" s="90"/>
      <c r="AS59" s="90"/>
      <c r="AT59" s="90"/>
      <c r="AU59" s="90"/>
      <c r="AV59" s="90"/>
    </row>
    <row r="60" spans="1:48">
      <c r="A60" s="91"/>
      <c r="B60" s="91" t="s">
        <v>277</v>
      </c>
      <c r="C60" s="134"/>
      <c r="D60" s="134">
        <f t="shared" ref="D60:H60" si="24">+D7/D15</f>
        <v>-30.966557823407175</v>
      </c>
      <c r="E60" s="134">
        <f t="shared" si="24"/>
        <v>38.044583393354152</v>
      </c>
      <c r="F60" s="134">
        <f t="shared" si="24"/>
        <v>72.260779194116481</v>
      </c>
      <c r="G60" s="134">
        <f t="shared" si="24"/>
        <v>392.84359280962803</v>
      </c>
      <c r="H60" s="134">
        <f t="shared" si="24"/>
        <v>30.036996778916546</v>
      </c>
      <c r="I60" s="134">
        <f>+I7/I15</f>
        <v>23.242308286276085</v>
      </c>
      <c r="J60" s="134">
        <f>+J7/J15</f>
        <v>78.594692666810346</v>
      </c>
      <c r="K60" s="134">
        <f>+K7/K15</f>
        <v>-13.508422351819322</v>
      </c>
      <c r="L60" s="134"/>
      <c r="M60" s="91"/>
      <c r="N60" s="91"/>
      <c r="O60" s="91"/>
      <c r="P60" s="91"/>
      <c r="Q60" s="119" t="s">
        <v>278</v>
      </c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0"/>
      <c r="AR60" s="90"/>
      <c r="AS60" s="90"/>
      <c r="AT60" s="90"/>
      <c r="AU60" s="90"/>
      <c r="AV60" s="90"/>
    </row>
    <row r="61" spans="1:48">
      <c r="A61" s="91"/>
      <c r="B61" s="91" t="s">
        <v>279</v>
      </c>
      <c r="C61" s="134">
        <f>+C7/Model!T44</f>
        <v>3.1766969147702819</v>
      </c>
      <c r="D61" s="134">
        <f>+D7/Model!U44</f>
        <v>3.8163202902555398</v>
      </c>
      <c r="E61" s="134">
        <f>+E7/Model!V44</f>
        <v>4.8366812885195332</v>
      </c>
      <c r="F61" s="134">
        <f>+F7/Model!W44</f>
        <v>5.7940124933588795</v>
      </c>
      <c r="G61" s="134">
        <f>+G7/Model!X44</f>
        <v>5.0405094594559365</v>
      </c>
      <c r="H61" s="134">
        <f>+H7/Model!Y44</f>
        <v>3.0242153407694956</v>
      </c>
      <c r="I61" s="134">
        <f>+I7/Model!Z44</f>
        <v>2.9602285724931003</v>
      </c>
      <c r="J61" s="134">
        <f>+J7/Model!AA44</f>
        <v>2.1209687912876585</v>
      </c>
      <c r="K61" s="134">
        <f>+K7/Model!AB44</f>
        <v>2.9345724332265757</v>
      </c>
      <c r="L61" s="134"/>
      <c r="M61" s="91"/>
      <c r="N61" s="91"/>
      <c r="O61" s="91"/>
      <c r="P61" s="91"/>
      <c r="Q61" s="119" t="s">
        <v>280</v>
      </c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0"/>
      <c r="AR61" s="90"/>
      <c r="AS61" s="90"/>
      <c r="AT61" s="90"/>
      <c r="AU61" s="90"/>
      <c r="AV61" s="90"/>
    </row>
    <row r="62" spans="1:48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0"/>
      <c r="AR62" s="90"/>
      <c r="AS62" s="90"/>
      <c r="AT62" s="90"/>
      <c r="AU62" s="90"/>
      <c r="AV62" s="90"/>
    </row>
    <row r="63" spans="1:48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0"/>
      <c r="AR63" s="90"/>
      <c r="AS63" s="90"/>
      <c r="AT63" s="90"/>
      <c r="AU63" s="90"/>
      <c r="AV63" s="90"/>
    </row>
    <row r="64" spans="1:48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0"/>
      <c r="AR64" s="90"/>
      <c r="AS64" s="90"/>
      <c r="AT64" s="90"/>
      <c r="AU64" s="90"/>
      <c r="AV64" s="90"/>
    </row>
    <row r="65" spans="1:48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0"/>
      <c r="AR65" s="90"/>
      <c r="AS65" s="90"/>
      <c r="AT65" s="90"/>
      <c r="AU65" s="90"/>
      <c r="AV65" s="90"/>
    </row>
    <row r="66" spans="1:48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</row>
    <row r="67" spans="1:48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</row>
    <row r="68" spans="1:4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</row>
    <row r="69" spans="1:48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</row>
    <row r="70" spans="1:48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</row>
    <row r="71" spans="1:48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</row>
    <row r="72" spans="1:48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</row>
    <row r="73" spans="1:48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</row>
  </sheetData>
  <hyperlinks>
    <hyperlink ref="A1" location="Main!A1" display="Main" xr:uid="{5862819E-5630-4E62-9C87-252E0EE830A5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40AC-AC9E-4DAD-9789-6E5CF51D79F6}">
  <dimension ref="A1:X76"/>
  <sheetViews>
    <sheetView showGridLines="0" zoomScale="96" zoomScaleNormal="96" workbookViewId="0">
      <selection activeCell="N1" sqref="N1"/>
    </sheetView>
  </sheetViews>
  <sheetFormatPr defaultRowHeight="15"/>
  <cols>
    <col min="1" max="1" width="4.7109375" bestFit="1" customWidth="1"/>
    <col min="5" max="5" width="10.5703125" bestFit="1" customWidth="1"/>
  </cols>
  <sheetData>
    <row r="1" spans="1:24" ht="19.5">
      <c r="A1" s="11" t="s">
        <v>29</v>
      </c>
      <c r="B1" s="12" t="s">
        <v>538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E2" s="13"/>
    </row>
    <row r="3" spans="1:24">
      <c r="B3" t="s">
        <v>150</v>
      </c>
      <c r="E3" s="14" t="s">
        <v>111</v>
      </c>
      <c r="G3" t="s">
        <v>151</v>
      </c>
      <c r="J3" s="14">
        <f>+Main!H2</f>
        <v>245.3</v>
      </c>
      <c r="L3" t="s">
        <v>151</v>
      </c>
      <c r="O3" s="14">
        <f>+J3</f>
        <v>245.3</v>
      </c>
    </row>
    <row r="4" spans="1:24">
      <c r="B4" t="s">
        <v>116</v>
      </c>
      <c r="E4" s="48">
        <f ca="1">+TODAY()</f>
        <v>46226</v>
      </c>
      <c r="G4" t="s">
        <v>152</v>
      </c>
      <c r="J4" s="56">
        <f ca="1">V62</f>
        <v>339.64481512044307</v>
      </c>
      <c r="L4" t="s">
        <v>534</v>
      </c>
      <c r="O4" s="49">
        <f>+J15+O15+T15</f>
        <v>0</v>
      </c>
    </row>
    <row r="5" spans="1:24">
      <c r="B5" t="s">
        <v>153</v>
      </c>
      <c r="E5" s="54">
        <v>46022</v>
      </c>
      <c r="G5" t="s">
        <v>154</v>
      </c>
      <c r="J5" s="16">
        <f ca="1">J4/J3-1</f>
        <v>0.3846099271114678</v>
      </c>
      <c r="L5" t="s">
        <v>154</v>
      </c>
      <c r="O5" s="16">
        <f>O4/O3-1</f>
        <v>-1</v>
      </c>
    </row>
    <row r="7" spans="1:24">
      <c r="A7" s="6" t="s">
        <v>52</v>
      </c>
      <c r="B7" s="10" t="s">
        <v>155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6"/>
    </row>
    <row r="9" spans="1:24">
      <c r="A9" s="6"/>
      <c r="B9" s="17" t="s">
        <v>156</v>
      </c>
      <c r="C9" s="18"/>
      <c r="D9" s="18"/>
      <c r="E9" s="18"/>
      <c r="G9" s="17" t="s">
        <v>157</v>
      </c>
      <c r="H9" s="17"/>
      <c r="I9" s="18"/>
      <c r="J9" s="18"/>
      <c r="L9" s="17" t="s">
        <v>158</v>
      </c>
      <c r="M9" s="18"/>
      <c r="N9" s="18"/>
      <c r="O9" s="18"/>
      <c r="Q9" s="17" t="s">
        <v>159</v>
      </c>
      <c r="R9" s="18"/>
      <c r="S9" s="18"/>
      <c r="T9" s="18"/>
    </row>
    <row r="10" spans="1:24">
      <c r="A10" s="6"/>
      <c r="B10" s="5" t="s">
        <v>160</v>
      </c>
      <c r="G10" s="5" t="s">
        <v>160</v>
      </c>
      <c r="H10" s="5"/>
      <c r="I10" s="5" t="s">
        <v>161</v>
      </c>
      <c r="J10" s="5" t="s">
        <v>162</v>
      </c>
      <c r="L10" s="5" t="s">
        <v>160</v>
      </c>
      <c r="N10" s="5" t="s">
        <v>161</v>
      </c>
      <c r="O10" s="5" t="s">
        <v>162</v>
      </c>
      <c r="Q10" s="5" t="s">
        <v>160</v>
      </c>
      <c r="S10" s="5" t="s">
        <v>161</v>
      </c>
      <c r="T10" s="5" t="s">
        <v>162</v>
      </c>
    </row>
    <row r="11" spans="1:24">
      <c r="B11" t="s">
        <v>30</v>
      </c>
      <c r="E11" s="15">
        <v>2</v>
      </c>
      <c r="G11" t="s">
        <v>120</v>
      </c>
      <c r="K11" s="1"/>
      <c r="L11" t="s">
        <v>120</v>
      </c>
      <c r="Q11" t="s">
        <v>120</v>
      </c>
    </row>
    <row r="12" spans="1:24">
      <c r="B12" t="s">
        <v>163</v>
      </c>
      <c r="E12" s="15">
        <v>2</v>
      </c>
      <c r="G12" t="s">
        <v>163</v>
      </c>
      <c r="L12" t="s">
        <v>163</v>
      </c>
      <c r="Q12" t="s">
        <v>163</v>
      </c>
    </row>
    <row r="13" spans="1:24">
      <c r="B13" t="s">
        <v>164</v>
      </c>
      <c r="E13" s="15">
        <v>2</v>
      </c>
      <c r="G13" t="s">
        <v>535</v>
      </c>
      <c r="J13" s="19"/>
      <c r="O13" s="19"/>
      <c r="T13" s="19"/>
    </row>
    <row r="14" spans="1:24">
      <c r="B14" t="s">
        <v>165</v>
      </c>
      <c r="E14" s="15">
        <v>2</v>
      </c>
      <c r="G14" t="s">
        <v>166</v>
      </c>
      <c r="J14" s="19"/>
      <c r="L14" t="s">
        <v>166</v>
      </c>
      <c r="O14" s="19"/>
      <c r="Q14" t="s">
        <v>166</v>
      </c>
      <c r="T14" s="19"/>
    </row>
    <row r="15" spans="1:24">
      <c r="B15" t="s">
        <v>167</v>
      </c>
      <c r="E15" s="15">
        <v>2</v>
      </c>
      <c r="G15" t="s">
        <v>168</v>
      </c>
      <c r="J15" s="19"/>
      <c r="L15" t="s">
        <v>168</v>
      </c>
      <c r="O15" s="19"/>
      <c r="Q15" t="s">
        <v>168</v>
      </c>
      <c r="T15" s="19"/>
    </row>
    <row r="17" spans="1:22">
      <c r="B17" s="5" t="s">
        <v>169</v>
      </c>
    </row>
    <row r="18" spans="1:22">
      <c r="B18" t="s">
        <v>164</v>
      </c>
      <c r="E18" s="19">
        <f>CHOOSE(E13,J18,O18,T18)</f>
        <v>0.09</v>
      </c>
      <c r="G18" t="s">
        <v>164</v>
      </c>
      <c r="J18" s="19">
        <v>0.11</v>
      </c>
      <c r="L18" t="s">
        <v>164</v>
      </c>
      <c r="O18" s="19">
        <v>0.09</v>
      </c>
      <c r="Q18" t="s">
        <v>164</v>
      </c>
      <c r="T18" s="19">
        <v>0.08</v>
      </c>
    </row>
    <row r="19" spans="1:22">
      <c r="B19" t="s">
        <v>165</v>
      </c>
      <c r="E19" s="19">
        <f>CHOOSE(E14,J19,O19,T19)</f>
        <v>0.02</v>
      </c>
      <c r="G19" t="s">
        <v>165</v>
      </c>
      <c r="J19" s="19">
        <v>0.01</v>
      </c>
      <c r="L19" t="s">
        <v>165</v>
      </c>
      <c r="O19" s="19">
        <v>0.02</v>
      </c>
      <c r="Q19" t="s">
        <v>165</v>
      </c>
      <c r="T19" s="19">
        <v>0.03</v>
      </c>
    </row>
    <row r="20" spans="1:22">
      <c r="B20" t="s">
        <v>536</v>
      </c>
      <c r="E20" s="19">
        <f>CHOOSE(E15,J20,O20,T20)</f>
        <v>0.1</v>
      </c>
      <c r="G20" t="s">
        <v>536</v>
      </c>
      <c r="J20" s="19">
        <v>0.09</v>
      </c>
      <c r="L20" t="s">
        <v>536</v>
      </c>
      <c r="O20" s="19">
        <v>0.1</v>
      </c>
      <c r="Q20" t="s">
        <v>536</v>
      </c>
      <c r="T20" s="19">
        <v>0.11</v>
      </c>
    </row>
    <row r="24" spans="1:22">
      <c r="A24" s="6" t="s">
        <v>52</v>
      </c>
      <c r="B24" s="10" t="s">
        <v>170</v>
      </c>
      <c r="C24" s="10"/>
      <c r="D24" s="10"/>
      <c r="E24" s="10"/>
      <c r="F24" s="10"/>
      <c r="G24" s="20">
        <v>19</v>
      </c>
      <c r="H24" s="20">
        <f>G24+1</f>
        <v>20</v>
      </c>
      <c r="I24" s="20">
        <f t="shared" ref="I24:V24" si="0">H24+1</f>
        <v>21</v>
      </c>
      <c r="J24" s="20">
        <f t="shared" si="0"/>
        <v>22</v>
      </c>
      <c r="K24" s="20">
        <f t="shared" si="0"/>
        <v>23</v>
      </c>
      <c r="L24" s="20">
        <f t="shared" si="0"/>
        <v>24</v>
      </c>
      <c r="M24" s="20">
        <f t="shared" si="0"/>
        <v>25</v>
      </c>
      <c r="N24" s="20">
        <f t="shared" si="0"/>
        <v>26</v>
      </c>
      <c r="O24" s="20">
        <f t="shared" si="0"/>
        <v>27</v>
      </c>
      <c r="P24" s="20">
        <f t="shared" si="0"/>
        <v>28</v>
      </c>
      <c r="Q24" s="20">
        <f t="shared" si="0"/>
        <v>29</v>
      </c>
      <c r="R24" s="20">
        <f t="shared" si="0"/>
        <v>30</v>
      </c>
      <c r="S24" s="20">
        <f t="shared" si="0"/>
        <v>31</v>
      </c>
      <c r="T24" s="20">
        <f t="shared" si="0"/>
        <v>32</v>
      </c>
      <c r="U24" s="20">
        <f t="shared" si="0"/>
        <v>33</v>
      </c>
      <c r="V24" s="20">
        <f t="shared" si="0"/>
        <v>34</v>
      </c>
    </row>
    <row r="25" spans="1:22">
      <c r="B25" t="s">
        <v>120</v>
      </c>
      <c r="G25" s="8">
        <f>+Model!V44</f>
        <v>15883.5</v>
      </c>
      <c r="H25" s="8">
        <f>+Model!W44</f>
        <v>13100.199999999999</v>
      </c>
      <c r="I25" s="8">
        <f>+Model!X44</f>
        <v>17645</v>
      </c>
      <c r="J25" s="8">
        <f>+Model!Y44</f>
        <v>20351</v>
      </c>
      <c r="K25" s="8">
        <f>+Model!Z44</f>
        <v>19566</v>
      </c>
      <c r="L25" s="8">
        <f>+Model!AA44</f>
        <v>17194</v>
      </c>
      <c r="M25" s="8">
        <f ca="1">L25*(1+M26)</f>
        <v>14675</v>
      </c>
      <c r="N25" s="8">
        <f t="shared" ref="N25:V25" ca="1" si="1">M25*(1+N26)</f>
        <v>15917.71962616822</v>
      </c>
      <c r="O25" s="8">
        <f t="shared" ca="1" si="1"/>
        <v>18567.084112149532</v>
      </c>
      <c r="P25" s="8">
        <f t="shared" ca="1" si="1"/>
        <v>20836.63551401869</v>
      </c>
      <c r="Q25" s="8">
        <f t="shared" ca="1" si="1"/>
        <v>24837.850467289718</v>
      </c>
      <c r="R25" s="8">
        <f t="shared" ca="1" si="1"/>
        <v>24837.850467289718</v>
      </c>
      <c r="S25" s="8">
        <f t="shared" ca="1" si="1"/>
        <v>24837.850467289718</v>
      </c>
      <c r="T25" s="8">
        <f t="shared" ca="1" si="1"/>
        <v>24837.850467289718</v>
      </c>
      <c r="U25" s="8">
        <f t="shared" ca="1" si="1"/>
        <v>24837.850467289718</v>
      </c>
      <c r="V25" s="8">
        <f t="shared" ca="1" si="1"/>
        <v>24837.850467289718</v>
      </c>
    </row>
    <row r="26" spans="1:22">
      <c r="B26" s="21" t="s">
        <v>171</v>
      </c>
      <c r="C26" s="3"/>
      <c r="G26" s="22"/>
      <c r="H26" s="23">
        <f t="shared" ref="H26:L26" si="2">H25/G25-1</f>
        <v>-0.17523215915887558</v>
      </c>
      <c r="I26" s="23">
        <f t="shared" si="2"/>
        <v>0.34692600112975391</v>
      </c>
      <c r="J26" s="23">
        <f t="shared" si="2"/>
        <v>0.15335789175403791</v>
      </c>
      <c r="K26" s="23">
        <f t="shared" si="2"/>
        <v>-3.8573043093705461E-2</v>
      </c>
      <c r="L26" s="23">
        <f t="shared" si="2"/>
        <v>-0.12123070632730248</v>
      </c>
      <c r="M26" s="23" cm="1">
        <f t="array" aca="1" ref="M26" ca="1">OFFSET(M26,$E$11,,)</f>
        <v>-0.14650459462603238</v>
      </c>
      <c r="N26" s="23" cm="1">
        <f t="array" aca="1" ref="N26" ca="1">OFFSET(N26,$E$11,,)</f>
        <v>8.4682768393064434E-2</v>
      </c>
      <c r="O26" s="23" cm="1">
        <f t="array" aca="1" ref="O26" ca="1">OFFSET(O26,$E$11,,)</f>
        <v>0.16644120817568875</v>
      </c>
      <c r="P26" s="23" cm="1">
        <f t="array" aca="1" ref="P26" ca="1">OFFSET(P26,$E$11,,)</f>
        <v>0.12223520872531934</v>
      </c>
      <c r="Q26" s="23" cm="1">
        <f t="array" aca="1" ref="Q26" ca="1">OFFSET(Q26,$E$11,,)</f>
        <v>0.19202788044063301</v>
      </c>
      <c r="R26" s="23" cm="1">
        <f t="array" aca="1" ref="R26" ca="1">OFFSET(R26,$E$11,,)</f>
        <v>0</v>
      </c>
      <c r="S26" s="23" cm="1">
        <f t="array" aca="1" ref="S26" ca="1">OFFSET(S26,$E$11,,)</f>
        <v>0</v>
      </c>
      <c r="T26" s="23" cm="1">
        <f t="array" aca="1" ref="T26" ca="1">OFFSET(T26,$E$11,,)</f>
        <v>0</v>
      </c>
      <c r="U26" s="23" cm="1">
        <f t="array" aca="1" ref="U26" ca="1">OFFSET(U26,$E$11,,)</f>
        <v>0</v>
      </c>
      <c r="V26" s="23" cm="1">
        <f t="array" aca="1" ref="V26" ca="1">OFFSET(V26,$E$11,,)</f>
        <v>0</v>
      </c>
    </row>
    <row r="27" spans="1:22">
      <c r="B27" s="21" t="s">
        <v>157</v>
      </c>
      <c r="C27" s="3"/>
      <c r="I27" s="7"/>
      <c r="J27" s="7"/>
      <c r="K27" s="7"/>
      <c r="L27" s="7"/>
      <c r="M27" s="24">
        <f>+M28-3%</f>
        <v>-0.17650459462603238</v>
      </c>
      <c r="N27" s="24">
        <f t="shared" ref="N27:V27" si="3">+N28-3%</f>
        <v>5.4682768393064435E-2</v>
      </c>
      <c r="O27" s="24">
        <f t="shared" si="3"/>
        <v>0.13644120817568875</v>
      </c>
      <c r="P27" s="24">
        <f t="shared" si="3"/>
        <v>9.2235208725319345E-2</v>
      </c>
      <c r="Q27" s="24">
        <f t="shared" si="3"/>
        <v>0.16202788044063302</v>
      </c>
      <c r="R27" s="24">
        <f t="shared" si="3"/>
        <v>-0.03</v>
      </c>
      <c r="S27" s="24">
        <f t="shared" si="3"/>
        <v>-0.03</v>
      </c>
      <c r="T27" s="24">
        <f t="shared" si="3"/>
        <v>-0.03</v>
      </c>
      <c r="U27" s="24">
        <f t="shared" si="3"/>
        <v>-0.03</v>
      </c>
      <c r="V27" s="24">
        <f t="shared" si="3"/>
        <v>-0.03</v>
      </c>
    </row>
    <row r="28" spans="1:22">
      <c r="B28" s="21" t="s">
        <v>172</v>
      </c>
      <c r="C28" s="3"/>
      <c r="I28" s="7"/>
      <c r="J28" s="7"/>
      <c r="K28" s="7"/>
      <c r="L28" s="7"/>
      <c r="M28" s="24">
        <f>+Model!AB78</f>
        <v>-0.14650459462603238</v>
      </c>
      <c r="N28" s="24">
        <f>+Model!AC78</f>
        <v>8.4682768393064434E-2</v>
      </c>
      <c r="O28" s="24">
        <f>+Model!AD78</f>
        <v>0.16644120817568875</v>
      </c>
      <c r="P28" s="24">
        <f>+Model!AE78</f>
        <v>0.12223520872531934</v>
      </c>
      <c r="Q28" s="24">
        <f>+Model!AF78</f>
        <v>0.19202788044063301</v>
      </c>
      <c r="R28" s="24">
        <f>+Model!AG78</f>
        <v>0</v>
      </c>
      <c r="S28" s="24">
        <f>+Model!AH78</f>
        <v>0</v>
      </c>
      <c r="T28" s="24">
        <f>+Model!AI78</f>
        <v>0</v>
      </c>
      <c r="U28" s="24">
        <f>+Model!AJ78</f>
        <v>0</v>
      </c>
      <c r="V28" s="24">
        <f>+Model!AK78</f>
        <v>0</v>
      </c>
    </row>
    <row r="29" spans="1:22">
      <c r="B29" s="21" t="s">
        <v>173</v>
      </c>
      <c r="C29" s="3"/>
      <c r="I29" s="7"/>
      <c r="J29" s="7"/>
      <c r="K29" s="7"/>
      <c r="L29" s="7"/>
      <c r="M29" s="24">
        <f>+M28+2%</f>
        <v>-0.12650459462603239</v>
      </c>
      <c r="N29" s="24">
        <f t="shared" ref="N29:V29" si="4">+N28+2%</f>
        <v>0.10468276839306444</v>
      </c>
      <c r="O29" s="24">
        <f t="shared" si="4"/>
        <v>0.18644120817568874</v>
      </c>
      <c r="P29" s="24">
        <f t="shared" si="4"/>
        <v>0.14223520872531933</v>
      </c>
      <c r="Q29" s="24">
        <f t="shared" si="4"/>
        <v>0.212027880440633</v>
      </c>
      <c r="R29" s="24">
        <f t="shared" si="4"/>
        <v>0.02</v>
      </c>
      <c r="S29" s="24">
        <f t="shared" si="4"/>
        <v>0.02</v>
      </c>
      <c r="T29" s="24">
        <f t="shared" si="4"/>
        <v>0.02</v>
      </c>
      <c r="U29" s="24">
        <f t="shared" si="4"/>
        <v>0.02</v>
      </c>
      <c r="V29" s="24">
        <f t="shared" si="4"/>
        <v>0.02</v>
      </c>
    </row>
    <row r="31" spans="1:22">
      <c r="B31" t="s">
        <v>163</v>
      </c>
      <c r="G31" s="8">
        <f>+Model!V58</f>
        <v>4609.8</v>
      </c>
      <c r="H31" s="8">
        <f>+Model!W58</f>
        <v>3298.2</v>
      </c>
      <c r="I31" s="8">
        <f>+Model!X58</f>
        <v>4797</v>
      </c>
      <c r="J31" s="8">
        <f>+Model!Y58</f>
        <v>5395</v>
      </c>
      <c r="K31" s="8">
        <f>+Model!Z58</f>
        <v>4643</v>
      </c>
      <c r="L31" s="8">
        <f>+Model!AA58</f>
        <v>2312</v>
      </c>
      <c r="M31" s="8">
        <f ca="1">M32*M25</f>
        <v>2201.25</v>
      </c>
      <c r="N31" s="8">
        <f t="shared" ref="N31:V31" ca="1" si="5">N32*N25</f>
        <v>2626.4237383177565</v>
      </c>
      <c r="O31" s="8">
        <f t="shared" ca="1" si="5"/>
        <v>3369.9257663551407</v>
      </c>
      <c r="P31" s="8">
        <f t="shared" ca="1" si="5"/>
        <v>4160.0342803738322</v>
      </c>
      <c r="Q31" s="8">
        <f t="shared" ca="1" si="5"/>
        <v>5454.7645303738327</v>
      </c>
      <c r="R31" s="8">
        <f t="shared" ca="1" si="5"/>
        <v>6000.2409834112168</v>
      </c>
      <c r="S31" s="8">
        <f t="shared" ca="1" si="5"/>
        <v>6600.265081752339</v>
      </c>
      <c r="T31" s="8">
        <f t="shared" ca="1" si="5"/>
        <v>6954.5981308411219</v>
      </c>
      <c r="U31" s="8">
        <f t="shared" ca="1" si="5"/>
        <v>6954.5981308411219</v>
      </c>
      <c r="V31" s="8">
        <f t="shared" ca="1" si="5"/>
        <v>6954.5981308411219</v>
      </c>
    </row>
    <row r="32" spans="1:22">
      <c r="B32" s="21" t="s">
        <v>174</v>
      </c>
      <c r="G32" s="23">
        <f>G31/G25</f>
        <v>0.29022570592123903</v>
      </c>
      <c r="H32" s="23">
        <f t="shared" ref="H32:L32" si="6">H31/H25</f>
        <v>0.25176714859315125</v>
      </c>
      <c r="I32" s="23">
        <f t="shared" si="6"/>
        <v>0.27186171720034003</v>
      </c>
      <c r="J32" s="23">
        <f t="shared" si="6"/>
        <v>0.26509753820451082</v>
      </c>
      <c r="K32" s="23">
        <f t="shared" si="6"/>
        <v>0.23729939691301236</v>
      </c>
      <c r="L32" s="23">
        <f t="shared" si="6"/>
        <v>0.13446551122484587</v>
      </c>
      <c r="M32" s="23" cm="1">
        <f t="array" aca="1" ref="M32" ca="1">OFFSET(M32,$E$12,,)</f>
        <v>0.15</v>
      </c>
      <c r="N32" s="23" cm="1">
        <f t="array" aca="1" ref="N32" ca="1">OFFSET(N32,$E$12,,)</f>
        <v>0.16500000000000001</v>
      </c>
      <c r="O32" s="23" cm="1">
        <f t="array" aca="1" ref="O32" ca="1">OFFSET(O32,$E$12,,)</f>
        <v>0.18150000000000002</v>
      </c>
      <c r="P32" s="23" cm="1">
        <f t="array" aca="1" ref="P32" ca="1">OFFSET(P32,$E$12,,)</f>
        <v>0.19965000000000005</v>
      </c>
      <c r="Q32" s="23" cm="1">
        <f t="array" aca="1" ref="Q32" ca="1">OFFSET(Q32,$E$12,,)</f>
        <v>0.21961500000000006</v>
      </c>
      <c r="R32" s="23" cm="1">
        <f t="array" aca="1" ref="R32" ca="1">OFFSET(R32,$E$12,,)</f>
        <v>0.24157650000000008</v>
      </c>
      <c r="S32" s="23" cm="1">
        <f t="array" aca="1" ref="S32" ca="1">OFFSET(S32,$E$12,,)</f>
        <v>0.26573415000000011</v>
      </c>
      <c r="T32" s="23" cm="1">
        <f t="array" aca="1" ref="T32" ca="1">OFFSET(T32,$E$12,,)</f>
        <v>0.28000000000000003</v>
      </c>
      <c r="U32" s="23" cm="1">
        <f t="array" aca="1" ref="U32" ca="1">OFFSET(U32,$E$12,,)</f>
        <v>0.28000000000000003</v>
      </c>
      <c r="V32" s="23" cm="1">
        <f t="array" aca="1" ref="V32" ca="1">OFFSET(V32,$E$12,,)</f>
        <v>0.28000000000000003</v>
      </c>
    </row>
    <row r="33" spans="2:22">
      <c r="B33" s="21" t="s">
        <v>157</v>
      </c>
      <c r="M33" s="24">
        <f>+M34-2%</f>
        <v>0.13</v>
      </c>
      <c r="N33" s="24">
        <f t="shared" ref="N33:V33" si="7">+N34-2%</f>
        <v>0.14500000000000002</v>
      </c>
      <c r="O33" s="24">
        <f t="shared" si="7"/>
        <v>0.16150000000000003</v>
      </c>
      <c r="P33" s="24">
        <f t="shared" si="7"/>
        <v>0.17965000000000006</v>
      </c>
      <c r="Q33" s="24">
        <f t="shared" si="7"/>
        <v>0.19961500000000007</v>
      </c>
      <c r="R33" s="24">
        <f t="shared" si="7"/>
        <v>0.22157650000000009</v>
      </c>
      <c r="S33" s="24">
        <f t="shared" si="7"/>
        <v>0.24573415000000012</v>
      </c>
      <c r="T33" s="24">
        <f t="shared" si="7"/>
        <v>0.26</v>
      </c>
      <c r="U33" s="24">
        <f t="shared" si="7"/>
        <v>0.26</v>
      </c>
      <c r="V33" s="24">
        <f t="shared" si="7"/>
        <v>0.26</v>
      </c>
    </row>
    <row r="34" spans="2:22">
      <c r="B34" s="21" t="s">
        <v>172</v>
      </c>
      <c r="M34" s="24">
        <f>+Model!AB85</f>
        <v>0.15</v>
      </c>
      <c r="N34" s="24">
        <f>+Model!AC85</f>
        <v>0.16500000000000001</v>
      </c>
      <c r="O34" s="24">
        <f>+Model!AD85</f>
        <v>0.18150000000000002</v>
      </c>
      <c r="P34" s="24">
        <f>+Model!AE85</f>
        <v>0.19965000000000005</v>
      </c>
      <c r="Q34" s="24">
        <f>+Model!AF85</f>
        <v>0.21961500000000006</v>
      </c>
      <c r="R34" s="24">
        <f>+Model!AG85</f>
        <v>0.24157650000000008</v>
      </c>
      <c r="S34" s="24">
        <f>+Model!AH85</f>
        <v>0.26573415000000011</v>
      </c>
      <c r="T34" s="24">
        <f>+Model!AI85</f>
        <v>0.28000000000000003</v>
      </c>
      <c r="U34" s="24">
        <f>+Model!AJ85</f>
        <v>0.28000000000000003</v>
      </c>
      <c r="V34" s="24">
        <f>+Model!AK85</f>
        <v>0.28000000000000003</v>
      </c>
    </row>
    <row r="35" spans="2:22">
      <c r="B35" s="21" t="s">
        <v>173</v>
      </c>
      <c r="M35" s="24">
        <f>+M34+1%</f>
        <v>0.16</v>
      </c>
      <c r="N35" s="24">
        <f t="shared" ref="N35:V35" si="8">+N34+1%</f>
        <v>0.17500000000000002</v>
      </c>
      <c r="O35" s="24">
        <f t="shared" si="8"/>
        <v>0.19150000000000003</v>
      </c>
      <c r="P35" s="24">
        <f t="shared" si="8"/>
        <v>0.20965000000000006</v>
      </c>
      <c r="Q35" s="24">
        <f t="shared" si="8"/>
        <v>0.22961500000000007</v>
      </c>
      <c r="R35" s="24">
        <f t="shared" si="8"/>
        <v>0.25157650000000009</v>
      </c>
      <c r="S35" s="24">
        <f t="shared" si="8"/>
        <v>0.27573415000000012</v>
      </c>
      <c r="T35" s="24">
        <f t="shared" si="8"/>
        <v>0.29000000000000004</v>
      </c>
      <c r="U35" s="24">
        <f t="shared" si="8"/>
        <v>0.29000000000000004</v>
      </c>
      <c r="V35" s="24">
        <f t="shared" si="8"/>
        <v>0.29000000000000004</v>
      </c>
    </row>
    <row r="37" spans="2:22">
      <c r="B37" t="s">
        <v>175</v>
      </c>
      <c r="G37" s="8">
        <f>+Model!V61</f>
        <v>2133.6999999999998</v>
      </c>
      <c r="H37" s="8">
        <f>+Model!W61</f>
        <v>759.2</v>
      </c>
      <c r="I37" s="8">
        <f>+Model!X61</f>
        <v>1280.4000000000001</v>
      </c>
      <c r="J37" s="8">
        <f>+Model!Y61</f>
        <v>1420</v>
      </c>
      <c r="K37" s="8">
        <f>+Model!Z61</f>
        <v>1163</v>
      </c>
      <c r="L37" s="8">
        <f>+Model!AA61</f>
        <v>461</v>
      </c>
      <c r="M37" s="8">
        <f ca="1">M38*M31</f>
        <v>440.25</v>
      </c>
      <c r="N37" s="8">
        <f t="shared" ref="N37:V37" ca="1" si="9">N38*N31</f>
        <v>525.28474766355134</v>
      </c>
      <c r="O37" s="8">
        <f t="shared" ca="1" si="9"/>
        <v>673.98515327102814</v>
      </c>
      <c r="P37" s="8">
        <f t="shared" ca="1" si="9"/>
        <v>832.00685607476646</v>
      </c>
      <c r="Q37" s="8">
        <f t="shared" ca="1" si="9"/>
        <v>1090.9529060747666</v>
      </c>
      <c r="R37" s="8">
        <f t="shared" ca="1" si="9"/>
        <v>1200.0481966822433</v>
      </c>
      <c r="S37" s="8">
        <f t="shared" ca="1" si="9"/>
        <v>1320.0530163504679</v>
      </c>
      <c r="T37" s="8">
        <f t="shared" ca="1" si="9"/>
        <v>1390.9196261682246</v>
      </c>
      <c r="U37" s="8">
        <f t="shared" ca="1" si="9"/>
        <v>1390.9196261682246</v>
      </c>
      <c r="V37" s="8">
        <f t="shared" ca="1" si="9"/>
        <v>1390.9196261682246</v>
      </c>
    </row>
    <row r="38" spans="2:22">
      <c r="B38" s="3" t="s">
        <v>176</v>
      </c>
      <c r="G38" s="23">
        <f t="shared" ref="G38:L38" si="10">G37/G31</f>
        <v>0.46286172935919123</v>
      </c>
      <c r="H38" s="23">
        <f t="shared" si="10"/>
        <v>0.23018616214905102</v>
      </c>
      <c r="I38" s="23">
        <f t="shared" si="10"/>
        <v>0.26691682301438402</v>
      </c>
      <c r="J38" s="23">
        <f t="shared" si="10"/>
        <v>0.26320667284522709</v>
      </c>
      <c r="K38" s="23">
        <f t="shared" si="10"/>
        <v>0.25048460047383159</v>
      </c>
      <c r="L38" s="23">
        <f t="shared" si="10"/>
        <v>0.19939446366782007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  <c r="T38" s="23">
        <v>0.2</v>
      </c>
      <c r="U38" s="23">
        <v>0.2</v>
      </c>
      <c r="V38" s="23">
        <v>0.2</v>
      </c>
    </row>
    <row r="39" spans="2:22">
      <c r="B39" s="3"/>
    </row>
    <row r="40" spans="2:22">
      <c r="B40" s="25" t="s">
        <v>177</v>
      </c>
      <c r="C40" s="26"/>
      <c r="D40" s="26"/>
      <c r="E40" s="26"/>
      <c r="F40" s="26"/>
      <c r="G40" s="40">
        <f t="shared" ref="G40:V40" si="11">G31-G37</f>
        <v>2476.1000000000004</v>
      </c>
      <c r="H40" s="40">
        <f t="shared" si="11"/>
        <v>2539</v>
      </c>
      <c r="I40" s="40">
        <f t="shared" si="11"/>
        <v>3516.6</v>
      </c>
      <c r="J40" s="40">
        <f t="shared" si="11"/>
        <v>3975</v>
      </c>
      <c r="K40" s="40">
        <f t="shared" si="11"/>
        <v>3480</v>
      </c>
      <c r="L40" s="40">
        <f t="shared" si="11"/>
        <v>1851</v>
      </c>
      <c r="M40" s="40">
        <f t="shared" ca="1" si="11"/>
        <v>1761</v>
      </c>
      <c r="N40" s="40">
        <f t="shared" ca="1" si="11"/>
        <v>2101.1389906542054</v>
      </c>
      <c r="O40" s="40">
        <f t="shared" ca="1" si="11"/>
        <v>2695.9406130841126</v>
      </c>
      <c r="P40" s="40">
        <f t="shared" ca="1" si="11"/>
        <v>3328.0274242990658</v>
      </c>
      <c r="Q40" s="40">
        <f t="shared" ca="1" si="11"/>
        <v>4363.8116242990664</v>
      </c>
      <c r="R40" s="40">
        <f t="shared" ca="1" si="11"/>
        <v>4800.1927867289733</v>
      </c>
      <c r="S40" s="40">
        <f t="shared" ca="1" si="11"/>
        <v>5280.2120654018709</v>
      </c>
      <c r="T40" s="40">
        <f t="shared" ca="1" si="11"/>
        <v>5563.6785046728974</v>
      </c>
      <c r="U40" s="40">
        <f t="shared" ca="1" si="11"/>
        <v>5563.6785046728974</v>
      </c>
      <c r="V40" s="41">
        <f t="shared" ca="1" si="11"/>
        <v>5563.6785046728974</v>
      </c>
    </row>
    <row r="42" spans="2:22">
      <c r="B42" t="s">
        <v>178</v>
      </c>
      <c r="G42" s="8">
        <f>+Model!V132</f>
        <v>1245.3</v>
      </c>
      <c r="H42" s="8">
        <f>+Model!W132</f>
        <v>1439</v>
      </c>
      <c r="I42" s="8">
        <f>+Model!X132</f>
        <v>1453</v>
      </c>
      <c r="J42" s="8">
        <f>+Model!Y132</f>
        <v>1666</v>
      </c>
      <c r="K42" s="8">
        <f>+Model!Z132</f>
        <v>1823</v>
      </c>
      <c r="L42" s="8">
        <f>+Model!AA132</f>
        <v>2113</v>
      </c>
      <c r="M42" s="8">
        <f ca="1">M43*M25</f>
        <v>1467.5</v>
      </c>
      <c r="N42" s="8">
        <f t="shared" ref="N42:V42" ca="1" si="12">N43*N25</f>
        <v>1544.0188037383175</v>
      </c>
      <c r="O42" s="8">
        <f t="shared" ca="1" si="12"/>
        <v>1746.9769441121496</v>
      </c>
      <c r="P42" s="8">
        <f t="shared" ca="1" si="12"/>
        <v>1901.7034644485982</v>
      </c>
      <c r="Q42" s="8">
        <f t="shared" ca="1" si="12"/>
        <v>2198.8770434546727</v>
      </c>
      <c r="R42" s="8">
        <f t="shared" ca="1" si="12"/>
        <v>2132.9107321510323</v>
      </c>
      <c r="S42" s="8">
        <f t="shared" ca="1" si="12"/>
        <v>2068.9234101865013</v>
      </c>
      <c r="T42" s="8">
        <f t="shared" ca="1" si="12"/>
        <v>2006.8557078809063</v>
      </c>
      <c r="U42" s="8">
        <f t="shared" ca="1" si="12"/>
        <v>1946.6500366444789</v>
      </c>
      <c r="V42" s="8">
        <f t="shared" ca="1" si="12"/>
        <v>1888.2505355451447</v>
      </c>
    </row>
    <row r="43" spans="2:22">
      <c r="B43" s="21" t="s">
        <v>174</v>
      </c>
      <c r="C43" s="22"/>
      <c r="D43" s="22"/>
      <c r="E43" s="22"/>
      <c r="F43" s="22"/>
      <c r="G43" s="27">
        <f t="shared" ref="G43:L43" si="13">G42/G25</f>
        <v>7.8402115402776459E-2</v>
      </c>
      <c r="H43" s="27">
        <f t="shared" si="13"/>
        <v>0.1098456512114319</v>
      </c>
      <c r="I43" s="27">
        <f t="shared" si="13"/>
        <v>8.2346273731935399E-2</v>
      </c>
      <c r="J43" s="27">
        <f t="shared" si="13"/>
        <v>8.1863299100781287E-2</v>
      </c>
      <c r="K43" s="27">
        <f t="shared" si="13"/>
        <v>9.3171828682408253E-2</v>
      </c>
      <c r="L43" s="27">
        <f t="shared" si="13"/>
        <v>0.12289170640921251</v>
      </c>
      <c r="M43" s="28">
        <v>0.1</v>
      </c>
      <c r="N43" s="28">
        <f>+M43*(1-3%)</f>
        <v>9.7000000000000003E-2</v>
      </c>
      <c r="O43" s="28">
        <f t="shared" ref="O43:V43" si="14">+N43*(1-3%)</f>
        <v>9.4090000000000007E-2</v>
      </c>
      <c r="P43" s="28">
        <f t="shared" si="14"/>
        <v>9.126730000000001E-2</v>
      </c>
      <c r="Q43" s="28">
        <f t="shared" si="14"/>
        <v>8.8529281000000001E-2</v>
      </c>
      <c r="R43" s="28">
        <f t="shared" si="14"/>
        <v>8.5873402569999993E-2</v>
      </c>
      <c r="S43" s="28">
        <f t="shared" si="14"/>
        <v>8.3297200492899987E-2</v>
      </c>
      <c r="T43" s="28">
        <f t="shared" si="14"/>
        <v>8.0798284478112992E-2</v>
      </c>
      <c r="U43" s="28">
        <f t="shared" si="14"/>
        <v>7.8374335943769594E-2</v>
      </c>
      <c r="V43" s="28">
        <f t="shared" si="14"/>
        <v>7.6023105865456506E-2</v>
      </c>
    </row>
    <row r="45" spans="2:22">
      <c r="B45" t="s">
        <v>179</v>
      </c>
      <c r="G45" s="8">
        <f>+Model!V140</f>
        <v>-954.59999999999991</v>
      </c>
      <c r="H45" s="8">
        <f>+Model!W140</f>
        <v>-784</v>
      </c>
      <c r="I45" s="8">
        <f>+Model!X140</f>
        <v>-928</v>
      </c>
      <c r="J45" s="8">
        <f>+Model!Y140</f>
        <v>-1070</v>
      </c>
      <c r="K45" s="8">
        <f>+Model!Z140</f>
        <v>-2476</v>
      </c>
      <c r="L45" s="8">
        <f>+Model!AA140</f>
        <v>-3277</v>
      </c>
      <c r="M45" s="8">
        <f ca="1">M46*M25</f>
        <v>-1761</v>
      </c>
      <c r="N45" s="8">
        <f t="shared" ref="N45:V45" ca="1" si="15">N46*N25</f>
        <v>-1795.518773831775</v>
      </c>
      <c r="O45" s="8">
        <f t="shared" ca="1" si="15"/>
        <v>-1968.7050625794386</v>
      </c>
      <c r="P45" s="8">
        <f t="shared" ca="1" si="15"/>
        <v>-2076.7891286130834</v>
      </c>
      <c r="Q45" s="8">
        <f t="shared" ca="1" si="15"/>
        <v>-2327.0551105166346</v>
      </c>
      <c r="R45" s="8">
        <f t="shared" ca="1" si="15"/>
        <v>-2187.4318038856363</v>
      </c>
      <c r="S45" s="8">
        <f t="shared" ca="1" si="15"/>
        <v>-2056.1858956524984</v>
      </c>
      <c r="T45" s="8">
        <f t="shared" ca="1" si="15"/>
        <v>-1932.8147419133484</v>
      </c>
      <c r="U45" s="8">
        <f t="shared" ca="1" si="15"/>
        <v>-1816.8458573985474</v>
      </c>
      <c r="V45" s="8">
        <f t="shared" ca="1" si="15"/>
        <v>-1707.8351059546344</v>
      </c>
    </row>
    <row r="46" spans="2:22">
      <c r="B46" s="21" t="s">
        <v>174</v>
      </c>
      <c r="G46" s="27">
        <f t="shared" ref="G46:L46" si="16">G45/G25</f>
        <v>-6.0100103881386341E-2</v>
      </c>
      <c r="H46" s="27">
        <f t="shared" si="16"/>
        <v>-5.9846414558556361E-2</v>
      </c>
      <c r="I46" s="27">
        <f t="shared" si="16"/>
        <v>-5.2592802493624254E-2</v>
      </c>
      <c r="J46" s="27">
        <f t="shared" si="16"/>
        <v>-5.2577268930273695E-2</v>
      </c>
      <c r="K46" s="27">
        <f t="shared" si="16"/>
        <v>-0.12654604926914034</v>
      </c>
      <c r="L46" s="27">
        <f t="shared" si="16"/>
        <v>-0.19058974060718856</v>
      </c>
      <c r="M46" s="28">
        <v>-0.12</v>
      </c>
      <c r="N46" s="28">
        <f>+M46*(1-6%)</f>
        <v>-0.11279999999999998</v>
      </c>
      <c r="O46" s="28">
        <f t="shared" ref="O46:V46" si="17">+N46*(1-6%)</f>
        <v>-0.10603199999999997</v>
      </c>
      <c r="P46" s="28">
        <f t="shared" si="17"/>
        <v>-9.9670079999999966E-2</v>
      </c>
      <c r="Q46" s="28">
        <f t="shared" si="17"/>
        <v>-9.3689875199999967E-2</v>
      </c>
      <c r="R46" s="28">
        <f t="shared" si="17"/>
        <v>-8.8068482687999966E-2</v>
      </c>
      <c r="S46" s="28">
        <f t="shared" si="17"/>
        <v>-8.278437372671997E-2</v>
      </c>
      <c r="T46" s="28">
        <f t="shared" si="17"/>
        <v>-7.7817311303116768E-2</v>
      </c>
      <c r="U46" s="28">
        <f t="shared" si="17"/>
        <v>-7.3148272624929761E-2</v>
      </c>
      <c r="V46" s="28">
        <f t="shared" si="17"/>
        <v>-6.8759376267433975E-2</v>
      </c>
    </row>
    <row r="48" spans="2:22">
      <c r="B48" t="s">
        <v>180</v>
      </c>
      <c r="G48" s="8">
        <f>+Model!V137</f>
        <v>-557.5</v>
      </c>
      <c r="H48" s="8">
        <f>+Model!W137</f>
        <v>44.4</v>
      </c>
      <c r="I48" s="8">
        <f>+Model!X137</f>
        <v>-38</v>
      </c>
      <c r="J48" s="8">
        <f>+Model!Y137</f>
        <v>-902</v>
      </c>
      <c r="K48" s="8">
        <f>+Model!Z137</f>
        <v>-396</v>
      </c>
      <c r="L48" s="8">
        <f>+Model!AA137</f>
        <v>667</v>
      </c>
      <c r="M48" s="8">
        <f ca="1">M49*M25</f>
        <v>-293.5</v>
      </c>
      <c r="N48" s="8">
        <f t="shared" ref="N48:V48" ca="1" si="18">N49*N25</f>
        <v>-305.62021682242982</v>
      </c>
      <c r="O48" s="8">
        <f t="shared" ca="1" si="18"/>
        <v>-342.22849435514013</v>
      </c>
      <c r="P48" s="8">
        <f t="shared" ca="1" si="18"/>
        <v>-368.69843116261671</v>
      </c>
      <c r="Q48" s="8">
        <f t="shared" ca="1" si="18"/>
        <v>-421.91885704373817</v>
      </c>
      <c r="R48" s="8">
        <f t="shared" ca="1" si="18"/>
        <v>-405.04210276198864</v>
      </c>
      <c r="S48" s="8">
        <f t="shared" ca="1" si="18"/>
        <v>-388.84041865150914</v>
      </c>
      <c r="T48" s="8">
        <f t="shared" ca="1" si="18"/>
        <v>-373.28680190544873</v>
      </c>
      <c r="U48" s="8">
        <f t="shared" ca="1" si="18"/>
        <v>-358.35532982923081</v>
      </c>
      <c r="V48" s="8">
        <f t="shared" ca="1" si="18"/>
        <v>-344.02111663606155</v>
      </c>
    </row>
    <row r="49" spans="2:24">
      <c r="B49" s="21" t="s">
        <v>174</v>
      </c>
      <c r="G49" s="27">
        <f t="shared" ref="G49:L49" si="19">G48/G25</f>
        <v>-3.509931690118677E-2</v>
      </c>
      <c r="H49" s="27">
        <f t="shared" si="19"/>
        <v>3.3892612326529366E-3</v>
      </c>
      <c r="I49" s="27">
        <f t="shared" si="19"/>
        <v>-2.1535845848682346E-3</v>
      </c>
      <c r="J49" s="27">
        <f t="shared" si="19"/>
        <v>-4.4322146331875582E-2</v>
      </c>
      <c r="K49" s="27">
        <f t="shared" si="19"/>
        <v>-2.0239190432382703E-2</v>
      </c>
      <c r="L49" s="27">
        <f t="shared" si="19"/>
        <v>3.8792602070489707E-2</v>
      </c>
      <c r="M49" s="28">
        <v>-0.02</v>
      </c>
      <c r="N49" s="28">
        <f>+M49*(1-4%)</f>
        <v>-1.9199999999999998E-2</v>
      </c>
      <c r="O49" s="28">
        <f t="shared" ref="O49:V49" si="20">+N49*(1-4%)</f>
        <v>-1.8431999999999997E-2</v>
      </c>
      <c r="P49" s="28">
        <f t="shared" si="20"/>
        <v>-1.7694719999999997E-2</v>
      </c>
      <c r="Q49" s="28">
        <f t="shared" si="20"/>
        <v>-1.6986931199999996E-2</v>
      </c>
      <c r="R49" s="28">
        <f t="shared" si="20"/>
        <v>-1.6307453951999996E-2</v>
      </c>
      <c r="S49" s="28">
        <f t="shared" si="20"/>
        <v>-1.5655155793919996E-2</v>
      </c>
      <c r="T49" s="28">
        <f t="shared" si="20"/>
        <v>-1.5028949562163196E-2</v>
      </c>
      <c r="U49" s="28">
        <f t="shared" si="20"/>
        <v>-1.4427791579676668E-2</v>
      </c>
      <c r="V49" s="28">
        <f t="shared" si="20"/>
        <v>-1.3850679916489601E-2</v>
      </c>
    </row>
    <row r="51" spans="2:24">
      <c r="B51" s="29" t="s">
        <v>181</v>
      </c>
      <c r="C51" s="30"/>
      <c r="D51" s="30"/>
      <c r="E51" s="30"/>
      <c r="F51" s="30"/>
      <c r="G51" s="42">
        <f t="shared" ref="G51:M51" si="21">G40+G42+G45+G48</f>
        <v>2209.3000000000006</v>
      </c>
      <c r="H51" s="42">
        <f t="shared" si="21"/>
        <v>3238.4</v>
      </c>
      <c r="I51" s="42">
        <f t="shared" si="21"/>
        <v>4003.6000000000004</v>
      </c>
      <c r="J51" s="42">
        <f t="shared" si="21"/>
        <v>3669</v>
      </c>
      <c r="K51" s="42">
        <f t="shared" si="21"/>
        <v>2431</v>
      </c>
      <c r="L51" s="42">
        <f t="shared" si="21"/>
        <v>1354</v>
      </c>
      <c r="M51" s="42">
        <f t="shared" ca="1" si="21"/>
        <v>1174</v>
      </c>
      <c r="N51" s="42">
        <f t="shared" ref="N51:U51" ca="1" si="22">N40+N42+N45+N48</f>
        <v>1544.0188037383182</v>
      </c>
      <c r="O51" s="42">
        <f t="shared" ca="1" si="22"/>
        <v>2131.9840002616838</v>
      </c>
      <c r="P51" s="42">
        <f t="shared" ca="1" si="22"/>
        <v>2784.2433289719638</v>
      </c>
      <c r="Q51" s="42">
        <f t="shared" ca="1" si="22"/>
        <v>3813.7147001933663</v>
      </c>
      <c r="R51" s="42">
        <f t="shared" ca="1" si="22"/>
        <v>4340.6296122323802</v>
      </c>
      <c r="S51" s="42">
        <f t="shared" ca="1" si="22"/>
        <v>4904.1091612843647</v>
      </c>
      <c r="T51" s="42">
        <f t="shared" ca="1" si="22"/>
        <v>5264.4326687350067</v>
      </c>
      <c r="U51" s="42">
        <f t="shared" ca="1" si="22"/>
        <v>5335.1273540895982</v>
      </c>
      <c r="V51" s="43">
        <f ca="1">V40+V42+V45+V48</f>
        <v>5400.0728176273469</v>
      </c>
    </row>
    <row r="52" spans="2:24">
      <c r="B52" s="31" t="s">
        <v>182</v>
      </c>
      <c r="C52" s="32"/>
      <c r="D52" s="32"/>
      <c r="E52" s="32"/>
      <c r="F52" s="32"/>
      <c r="G52" s="44"/>
      <c r="H52" s="44"/>
      <c r="I52" s="44"/>
      <c r="J52" s="44"/>
      <c r="K52" s="44"/>
      <c r="L52" s="44"/>
      <c r="M52" s="44">
        <f ca="1">(M51/(1+$E$18)^M53)*M53</f>
        <v>630.60476450894737</v>
      </c>
      <c r="N52" s="44">
        <f ca="1">N51/(1+$E$18)^N53</f>
        <v>1349.3409505802533</v>
      </c>
      <c r="O52" s="44">
        <f t="shared" ref="O52:U52" ca="1" si="23">O51/(1+$E$18)^O53</f>
        <v>1709.3325348953954</v>
      </c>
      <c r="P52" s="44">
        <f t="shared" ca="1" si="23"/>
        <v>2047.9686658806049</v>
      </c>
      <c r="Q52" s="44">
        <f t="shared" ca="1" si="23"/>
        <v>2573.5808879709966</v>
      </c>
      <c r="R52" s="44">
        <f t="shared" ca="1" si="23"/>
        <v>2687.2981480956232</v>
      </c>
      <c r="S52" s="44">
        <f t="shared" ca="1" si="23"/>
        <v>2785.4588994784417</v>
      </c>
      <c r="T52" s="44">
        <f t="shared" ca="1" si="23"/>
        <v>2743.2267280045253</v>
      </c>
      <c r="U52" s="44">
        <f t="shared" ca="1" si="23"/>
        <v>2550.5181652642036</v>
      </c>
      <c r="V52" s="45">
        <f ca="1">V51/(1+$E$18)^V53</f>
        <v>2368.4092486195568</v>
      </c>
    </row>
    <row r="53" spans="2:24">
      <c r="B53" t="s">
        <v>183</v>
      </c>
      <c r="M53" s="53">
        <f ca="1">YEARFRAC(E4,E5)</f>
        <v>0.56388888888888888</v>
      </c>
      <c r="N53" s="53">
        <f ca="1">M53+1</f>
        <v>1.5638888888888889</v>
      </c>
      <c r="O53" s="53">
        <f ca="1">N53+1</f>
        <v>2.5638888888888891</v>
      </c>
      <c r="P53" s="53">
        <f t="shared" ref="P53:V53" ca="1" si="24">O53+1</f>
        <v>3.5638888888888891</v>
      </c>
      <c r="Q53" s="53">
        <f t="shared" ca="1" si="24"/>
        <v>4.5638888888888891</v>
      </c>
      <c r="R53" s="53">
        <f t="shared" ca="1" si="24"/>
        <v>5.5638888888888891</v>
      </c>
      <c r="S53" s="53">
        <f t="shared" ca="1" si="24"/>
        <v>6.5638888888888891</v>
      </c>
      <c r="T53" s="53">
        <f t="shared" ca="1" si="24"/>
        <v>7.5638888888888891</v>
      </c>
      <c r="U53" s="53">
        <f t="shared" ca="1" si="24"/>
        <v>8.56388888888889</v>
      </c>
      <c r="V53" s="53">
        <f t="shared" ca="1" si="24"/>
        <v>9.56388888888889</v>
      </c>
    </row>
    <row r="54" spans="2:24">
      <c r="B54" t="s">
        <v>184</v>
      </c>
      <c r="N54" s="4"/>
      <c r="O54" s="4"/>
      <c r="P54" s="4"/>
      <c r="Q54" s="4"/>
      <c r="V54" s="8">
        <f ca="1">SUM(M52:V52)</f>
        <v>21445.738993298546</v>
      </c>
    </row>
    <row r="55" spans="2:24">
      <c r="B55" t="s">
        <v>185</v>
      </c>
      <c r="N55" s="4"/>
      <c r="O55" s="4"/>
      <c r="P55" s="4"/>
      <c r="Q55" s="4"/>
      <c r="V55" s="8">
        <f ca="1">+(V40*(1+E19))*(1-(E19/E20))/(E18-E19)</f>
        <v>64856.595140186924</v>
      </c>
      <c r="X55" s="39"/>
    </row>
    <row r="56" spans="2:24">
      <c r="B56" s="2" t="s">
        <v>186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9"/>
      <c r="O56" s="9"/>
      <c r="P56" s="9"/>
      <c r="Q56" s="9"/>
      <c r="R56" s="9"/>
      <c r="S56" s="9"/>
      <c r="T56" s="9"/>
      <c r="U56" s="9"/>
      <c r="V56" s="50">
        <f ca="1">V55/(1+E18)^V53</f>
        <v>28445.349711318126</v>
      </c>
    </row>
    <row r="57" spans="2:24">
      <c r="B57" s="33" t="s">
        <v>187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4"/>
      <c r="O57" s="34"/>
      <c r="P57" s="34"/>
      <c r="Q57" s="34"/>
      <c r="R57" s="34"/>
      <c r="S57" s="34"/>
      <c r="T57" s="34"/>
      <c r="U57" s="34"/>
      <c r="V57" s="55">
        <f ca="1">V54+V56</f>
        <v>49891.088704616675</v>
      </c>
    </row>
    <row r="58" spans="2:24">
      <c r="B58" t="s">
        <v>188</v>
      </c>
      <c r="N58" s="4"/>
      <c r="O58" s="4"/>
      <c r="P58" s="4"/>
      <c r="Q58" s="4"/>
      <c r="V58" s="46">
        <f>+Main!H5</f>
        <v>4313</v>
      </c>
    </row>
    <row r="59" spans="2:24">
      <c r="B59" s="2" t="s">
        <v>189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9"/>
      <c r="O59" s="9"/>
      <c r="P59" s="9"/>
      <c r="Q59" s="9"/>
      <c r="R59" s="9"/>
      <c r="S59" s="9"/>
      <c r="T59" s="9"/>
      <c r="U59" s="9"/>
      <c r="V59" s="47">
        <f>+Main!H6</f>
        <v>12562</v>
      </c>
    </row>
    <row r="60" spans="2:24">
      <c r="B60" t="s">
        <v>190</v>
      </c>
      <c r="N60" s="4"/>
      <c r="O60" s="4"/>
      <c r="P60" s="4"/>
      <c r="Q60" s="4"/>
      <c r="V60" s="46">
        <f ca="1">V57+V58-V59</f>
        <v>41642.088704616675</v>
      </c>
    </row>
    <row r="61" spans="2:24">
      <c r="B61" s="2" t="s">
        <v>191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9"/>
      <c r="O61" s="9"/>
      <c r="P61" s="9"/>
      <c r="Q61" s="9"/>
      <c r="R61" s="9"/>
      <c r="S61" s="9"/>
      <c r="T61" s="9"/>
      <c r="U61" s="9"/>
      <c r="V61" s="47">
        <f>+Main!H3</f>
        <v>122.604812</v>
      </c>
    </row>
    <row r="62" spans="2:24">
      <c r="B62" t="s">
        <v>151</v>
      </c>
      <c r="V62" s="46">
        <f ca="1">V60/V61</f>
        <v>339.64481512044307</v>
      </c>
    </row>
    <row r="66" spans="1:22">
      <c r="A66" s="6" t="s">
        <v>52</v>
      </c>
      <c r="B66" s="10" t="s">
        <v>192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8" spans="1:22">
      <c r="B68" s="35"/>
      <c r="C68" s="154" t="s">
        <v>165</v>
      </c>
      <c r="D68" s="154"/>
      <c r="E68" s="154"/>
      <c r="F68" s="154"/>
      <c r="G68" s="154"/>
      <c r="H68" s="154"/>
      <c r="I68" s="154"/>
      <c r="J68" s="155"/>
      <c r="M68" s="35"/>
      <c r="N68" s="158" t="s">
        <v>537</v>
      </c>
      <c r="O68" s="158"/>
      <c r="P68" s="158"/>
      <c r="Q68" s="158"/>
      <c r="R68" s="158"/>
      <c r="S68" s="158"/>
      <c r="T68" s="158"/>
      <c r="U68" s="159"/>
    </row>
    <row r="69" spans="1:22" ht="15" customHeight="1">
      <c r="B69" s="156" t="s">
        <v>164</v>
      </c>
      <c r="C69" s="36">
        <f ca="1">+J4</f>
        <v>339.64481512044307</v>
      </c>
      <c r="D69" s="51">
        <v>5.0000000000000001E-3</v>
      </c>
      <c r="E69" s="51">
        <v>0.01</v>
      </c>
      <c r="F69" s="51">
        <v>1.4999999999999999E-2</v>
      </c>
      <c r="G69" s="51">
        <v>0.02</v>
      </c>
      <c r="H69" s="51">
        <v>2.5000000000000001E-2</v>
      </c>
      <c r="I69" s="51">
        <v>0.03</v>
      </c>
      <c r="J69" s="51">
        <v>3.5000000000000003E-2</v>
      </c>
      <c r="M69" s="156" t="s">
        <v>164</v>
      </c>
      <c r="N69" s="36">
        <f ca="1">+J4</f>
        <v>339.64481512044307</v>
      </c>
      <c r="O69" s="51">
        <v>7.0000000000000007E-2</v>
      </c>
      <c r="P69" s="51">
        <v>0.08</v>
      </c>
      <c r="Q69" s="51">
        <v>0.09</v>
      </c>
      <c r="R69" s="51">
        <v>0.1</v>
      </c>
      <c r="S69" s="51">
        <v>0.11</v>
      </c>
      <c r="T69" s="51">
        <v>0.12</v>
      </c>
      <c r="U69" s="51">
        <v>0.13</v>
      </c>
    </row>
    <row r="70" spans="1:22">
      <c r="B70" s="156"/>
      <c r="C70" s="37">
        <v>0.06</v>
      </c>
      <c r="D70" s="38">
        <f t="dataTable" ref="D70:J76" dt2D="1" dtr="1" r1="E19" r2="E18" ca="1"/>
        <v>590.065498023744</v>
      </c>
      <c r="E70" s="38">
        <v>611.40219022804308</v>
      </c>
      <c r="F70" s="38">
        <v>637.19157469006177</v>
      </c>
      <c r="G70" s="52">
        <v>669.10341100644587</v>
      </c>
      <c r="H70" s="38">
        <v>709.76160711477974</v>
      </c>
      <c r="I70" s="38">
        <v>763.53934291103906</v>
      </c>
      <c r="J70" s="38">
        <v>838.30834220797851</v>
      </c>
      <c r="M70" s="156"/>
      <c r="N70" s="37">
        <v>0.06</v>
      </c>
      <c r="O70" s="38">
        <f t="dataTable" ref="O70:U76" dt2D="1" dtr="1" r1="E20" r2="E18" ca="1"/>
        <v>612.29332877288323</v>
      </c>
      <c r="P70" s="38">
        <v>635.96419637020085</v>
      </c>
      <c r="Q70" s="38">
        <v>654.37487116811496</v>
      </c>
      <c r="R70" s="52">
        <v>669.10341100644587</v>
      </c>
      <c r="S70" s="38">
        <v>681.15403451053498</v>
      </c>
      <c r="T70" s="38">
        <v>691.19622076394239</v>
      </c>
      <c r="U70" s="38">
        <v>699.69345528605663</v>
      </c>
    </row>
    <row r="71" spans="1:22">
      <c r="B71" s="156"/>
      <c r="C71" s="37">
        <v>7.0000000000000007E-2</v>
      </c>
      <c r="D71" s="38">
        <v>476.66629154548696</v>
      </c>
      <c r="E71" s="38">
        <v>487.63206385122334</v>
      </c>
      <c r="F71" s="38">
        <v>500.37562045501079</v>
      </c>
      <c r="G71" s="52">
        <v>515.43029664626499</v>
      </c>
      <c r="H71" s="38">
        <v>533.56646562080778</v>
      </c>
      <c r="I71" s="38">
        <v>555.9396871723726</v>
      </c>
      <c r="J71" s="38">
        <v>584.36584097682601</v>
      </c>
      <c r="M71" s="156"/>
      <c r="N71" s="37">
        <v>7.0000000000000007E-2</v>
      </c>
      <c r="O71" s="38">
        <v>473.88568499653246</v>
      </c>
      <c r="P71" s="38">
        <v>491.19593985058765</v>
      </c>
      <c r="Q71" s="38">
        <v>504.6594714037418</v>
      </c>
      <c r="R71" s="52">
        <v>515.43029664626499</v>
      </c>
      <c r="S71" s="38">
        <v>524.24279002651133</v>
      </c>
      <c r="T71" s="38">
        <v>531.58653451004989</v>
      </c>
      <c r="U71" s="38">
        <v>537.80047214996705</v>
      </c>
    </row>
    <row r="72" spans="1:22">
      <c r="B72" s="156"/>
      <c r="C72" s="37">
        <v>0.08</v>
      </c>
      <c r="D72" s="52">
        <v>393.99820701233728</v>
      </c>
      <c r="E72" s="52">
        <v>399.55658936584706</v>
      </c>
      <c r="F72" s="52">
        <v>405.8029021524514</v>
      </c>
      <c r="G72" s="52">
        <v>412.90912798042382</v>
      </c>
      <c r="H72" s="52">
        <v>421.10978858831919</v>
      </c>
      <c r="I72" s="52">
        <v>430.73321441011456</v>
      </c>
      <c r="J72" s="52">
        <v>442.25366051710984</v>
      </c>
      <c r="M72" s="156"/>
      <c r="N72" s="37">
        <v>0.08</v>
      </c>
      <c r="O72" s="52">
        <v>381.23566429003256</v>
      </c>
      <c r="P72" s="52">
        <v>394.43294082769557</v>
      </c>
      <c r="Q72" s="52">
        <v>404.69748924587793</v>
      </c>
      <c r="R72" s="52">
        <v>412.90912798042382</v>
      </c>
      <c r="S72" s="52">
        <v>419.62774149050676</v>
      </c>
      <c r="T72" s="52">
        <v>425.22658608224265</v>
      </c>
      <c r="U72" s="52">
        <v>429.96406996755758</v>
      </c>
    </row>
    <row r="73" spans="1:22">
      <c r="B73" s="156"/>
      <c r="C73" s="37">
        <v>0.09</v>
      </c>
      <c r="D73" s="38">
        <v>331.19035574821345</v>
      </c>
      <c r="E73" s="38">
        <v>333.78063150543215</v>
      </c>
      <c r="F73" s="38">
        <v>336.58359280505147</v>
      </c>
      <c r="G73" s="52">
        <v>339.64481512044307</v>
      </c>
      <c r="H73" s="38">
        <v>343.02389714755407</v>
      </c>
      <c r="I73" s="38">
        <v>346.80030381431476</v>
      </c>
      <c r="J73" s="38">
        <v>351.08239638608399</v>
      </c>
      <c r="M73" s="156"/>
      <c r="N73" s="37">
        <v>0.09</v>
      </c>
      <c r="O73" s="38">
        <v>314.78676925109841</v>
      </c>
      <c r="P73" s="38">
        <v>325.14428836332536</v>
      </c>
      <c r="Q73" s="38">
        <v>333.20013656172404</v>
      </c>
      <c r="R73" s="52">
        <v>339.64481512044307</v>
      </c>
      <c r="S73" s="38">
        <v>344.91773394121304</v>
      </c>
      <c r="T73" s="38">
        <v>349.31183295852151</v>
      </c>
      <c r="U73" s="38">
        <v>353.02991674239775</v>
      </c>
    </row>
    <row r="74" spans="1:22">
      <c r="B74" s="156"/>
      <c r="C74" s="37">
        <v>0.1</v>
      </c>
      <c r="D74" s="38">
        <v>281.95050617932748</v>
      </c>
      <c r="E74" s="38">
        <v>282.8624109199236</v>
      </c>
      <c r="F74" s="38">
        <v>283.77431566051979</v>
      </c>
      <c r="G74" s="52">
        <v>284.68622040111592</v>
      </c>
      <c r="H74" s="38">
        <v>285.59812514171199</v>
      </c>
      <c r="I74" s="38">
        <v>286.51002988230812</v>
      </c>
      <c r="J74" s="38">
        <v>287.42193462290425</v>
      </c>
      <c r="M74" s="156"/>
      <c r="N74" s="37">
        <v>0.1</v>
      </c>
      <c r="O74" s="38">
        <v>264.75458821380056</v>
      </c>
      <c r="P74" s="38">
        <v>273.05943495851534</v>
      </c>
      <c r="Q74" s="38">
        <v>279.51876020440449</v>
      </c>
      <c r="R74" s="52">
        <v>284.68622040111592</v>
      </c>
      <c r="S74" s="38">
        <v>288.91414238024345</v>
      </c>
      <c r="T74" s="38">
        <v>292.43741069618301</v>
      </c>
      <c r="U74" s="38">
        <v>295.41863773274724</v>
      </c>
    </row>
    <row r="75" spans="1:22">
      <c r="B75" s="156"/>
      <c r="C75" s="37">
        <v>0.11</v>
      </c>
      <c r="D75" s="38">
        <v>242.38467718497333</v>
      </c>
      <c r="E75" s="38">
        <v>242.33688878024267</v>
      </c>
      <c r="F75" s="38">
        <v>242.19603874524711</v>
      </c>
      <c r="G75" s="52">
        <v>241.94661680827582</v>
      </c>
      <c r="H75" s="38">
        <v>241.56946322192121</v>
      </c>
      <c r="I75" s="38">
        <v>241.04062830192407</v>
      </c>
      <c r="J75" s="38">
        <v>240.32977578155572</v>
      </c>
      <c r="M75" s="156"/>
      <c r="N75" s="37">
        <v>0.11</v>
      </c>
      <c r="O75" s="38">
        <v>225.69855919985795</v>
      </c>
      <c r="P75" s="38">
        <v>232.46858320336537</v>
      </c>
      <c r="Q75" s="38">
        <v>237.73415742831563</v>
      </c>
      <c r="R75" s="52">
        <v>241.94661680827582</v>
      </c>
      <c r="S75" s="38">
        <v>245.39317448278865</v>
      </c>
      <c r="T75" s="38">
        <v>248.26530587821608</v>
      </c>
      <c r="U75" s="38">
        <v>250.69557090511623</v>
      </c>
    </row>
    <row r="76" spans="1:22">
      <c r="B76" s="157"/>
      <c r="C76" s="37">
        <v>0.12</v>
      </c>
      <c r="D76" s="38">
        <v>209.95434139909997</v>
      </c>
      <c r="E76" s="38">
        <v>209.36274856454753</v>
      </c>
      <c r="F76" s="38">
        <v>208.64171319525536</v>
      </c>
      <c r="G76" s="52">
        <v>207.77181891101262</v>
      </c>
      <c r="H76" s="38">
        <v>206.72956167261648</v>
      </c>
      <c r="I76" s="38">
        <v>205.48621432104147</v>
      </c>
      <c r="J76" s="38">
        <v>204.0062903657265</v>
      </c>
      <c r="M76" s="157"/>
      <c r="N76" s="37">
        <v>0.12</v>
      </c>
      <c r="O76" s="38">
        <v>194.35059281126726</v>
      </c>
      <c r="P76" s="38">
        <v>199.94277035282781</v>
      </c>
      <c r="Q76" s="38">
        <v>204.29224177404166</v>
      </c>
      <c r="R76" s="52">
        <v>207.77181891101262</v>
      </c>
      <c r="S76" s="38">
        <v>210.61874565944345</v>
      </c>
      <c r="T76" s="38">
        <v>212.99118461646918</v>
      </c>
      <c r="U76" s="38">
        <v>214.99863296472171</v>
      </c>
    </row>
  </sheetData>
  <mergeCells count="4">
    <mergeCell ref="C68:J68"/>
    <mergeCell ref="B69:B76"/>
    <mergeCell ref="N68:U68"/>
    <mergeCell ref="M69:M76"/>
  </mergeCells>
  <conditionalFormatting sqref="D70:J76">
    <cfRule type="cellIs" dxfId="83" priority="1" operator="lessThan">
      <formula>$J$3</formula>
    </cfRule>
    <cfRule type="cellIs" dxfId="82" priority="2" operator="greaterThan">
      <formula>$J$3</formula>
    </cfRule>
  </conditionalFormatting>
  <conditionalFormatting sqref="O70:U76">
    <cfRule type="cellIs" dxfId="81" priority="3" operator="lessThan">
      <formula>$J$3</formula>
    </cfRule>
    <cfRule type="cellIs" dxfId="80" priority="4" operator="greaterThan">
      <formula>$J$3</formula>
    </cfRule>
  </conditionalFormatting>
  <dataValidations count="1">
    <dataValidation type="list" allowBlank="1" showInputMessage="1" showErrorMessage="1" sqref="E11:E15" xr:uid="{E72CD3E3-E344-4A8B-8AD4-B16E65D5824B}">
      <formula1>"1,2,3"</formula1>
    </dataValidation>
  </dataValidations>
  <hyperlinks>
    <hyperlink ref="A1" location="Main!A1" display="Main" xr:uid="{CB563FCF-E326-4BF2-8FF0-89CA6BD0F21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E722-FEE7-4558-ACF3-9C83130F28A7}">
  <dimension ref="A1:AV41"/>
  <sheetViews>
    <sheetView showGridLines="0" zoomScale="200" zoomScaleNormal="200" workbookViewId="0">
      <selection activeCell="B5" sqref="B5"/>
    </sheetView>
  </sheetViews>
  <sheetFormatPr defaultRowHeight="15"/>
  <cols>
    <col min="1" max="1" width="4.7109375" bestFit="1" customWidth="1"/>
    <col min="2" max="2" width="32.85546875" bestFit="1" customWidth="1"/>
  </cols>
  <sheetData>
    <row r="1" spans="1:48">
      <c r="A1" s="63" t="s">
        <v>29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</row>
    <row r="2" spans="1:48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</row>
    <row r="3" spans="1:48">
      <c r="A3" s="91"/>
      <c r="B3" s="95" t="s">
        <v>281</v>
      </c>
      <c r="C3" s="95"/>
      <c r="D3" s="95"/>
      <c r="E3" s="95"/>
      <c r="F3" s="95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</row>
    <row r="4" spans="1:48">
      <c r="A4" s="93" t="s">
        <v>52</v>
      </c>
      <c r="B4" s="61" t="s">
        <v>282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</row>
    <row r="5" spans="1:48">
      <c r="A5" s="91"/>
      <c r="B5" s="61" t="s">
        <v>283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</row>
    <row r="6" spans="1:48">
      <c r="A6" s="91"/>
      <c r="B6" s="91" t="s">
        <v>284</v>
      </c>
      <c r="C6" s="91"/>
      <c r="D6" s="91"/>
      <c r="E6" s="91"/>
      <c r="F6" s="91"/>
      <c r="G6" s="91"/>
      <c r="H6" s="119" t="s">
        <v>285</v>
      </c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</row>
    <row r="7" spans="1:48">
      <c r="A7" s="91"/>
      <c r="B7" s="91" t="s">
        <v>286</v>
      </c>
      <c r="C7" s="91"/>
      <c r="D7" s="91"/>
      <c r="E7" s="91"/>
      <c r="F7" s="120">
        <v>2.2700000000000001E-2</v>
      </c>
      <c r="G7" s="91"/>
      <c r="H7" s="119" t="s">
        <v>287</v>
      </c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</row>
    <row r="8" spans="1:48">
      <c r="A8" s="91"/>
      <c r="B8" s="91" t="s">
        <v>283</v>
      </c>
      <c r="C8" s="91"/>
      <c r="D8" s="91"/>
      <c r="E8" s="91"/>
      <c r="F8" s="121">
        <f>F6+F7</f>
        <v>2.2700000000000001E-2</v>
      </c>
      <c r="G8" s="91"/>
      <c r="H8" s="119" t="s">
        <v>288</v>
      </c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</row>
    <row r="9" spans="1:48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</row>
    <row r="10" spans="1:48">
      <c r="A10" s="93" t="s">
        <v>52</v>
      </c>
      <c r="B10" s="61" t="s">
        <v>289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</row>
    <row r="11" spans="1:48">
      <c r="A11" s="91"/>
      <c r="B11" s="91" t="s">
        <v>290</v>
      </c>
      <c r="C11" s="91"/>
      <c r="D11" s="91"/>
      <c r="E11" s="91"/>
      <c r="F11" s="91"/>
      <c r="G11" s="91"/>
      <c r="H11" s="119" t="s">
        <v>291</v>
      </c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</row>
    <row r="12" spans="1:48">
      <c r="A12" s="91"/>
      <c r="B12" s="91" t="s">
        <v>292</v>
      </c>
      <c r="C12" s="91"/>
      <c r="D12" s="91"/>
      <c r="E12" s="91"/>
      <c r="F12" s="91"/>
      <c r="G12" s="91"/>
      <c r="H12" s="119" t="s">
        <v>293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</row>
    <row r="13" spans="1:48">
      <c r="A13" s="91"/>
      <c r="B13" s="91" t="s">
        <v>294</v>
      </c>
      <c r="C13" s="91"/>
      <c r="D13" s="91"/>
      <c r="E13" s="91"/>
      <c r="F13" s="91"/>
      <c r="G13" s="91"/>
      <c r="H13" s="119" t="s">
        <v>295</v>
      </c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</row>
    <row r="14" spans="1:48">
      <c r="A14" s="91"/>
      <c r="B14" s="91" t="s">
        <v>296</v>
      </c>
      <c r="C14" s="91"/>
      <c r="D14" s="91"/>
      <c r="E14" s="91"/>
      <c r="F14" s="91"/>
      <c r="G14" s="91"/>
      <c r="H14" s="119" t="s">
        <v>297</v>
      </c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</row>
    <row r="15" spans="1:48">
      <c r="A15" s="91"/>
      <c r="B15" s="91" t="s">
        <v>298</v>
      </c>
      <c r="C15" s="91"/>
      <c r="D15" s="91"/>
      <c r="E15" s="91"/>
      <c r="F15" s="91"/>
      <c r="G15" s="91"/>
      <c r="H15" s="119" t="s">
        <v>299</v>
      </c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</row>
    <row r="16" spans="1:48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</row>
    <row r="17" spans="1:48">
      <c r="A17" s="93" t="s">
        <v>52</v>
      </c>
      <c r="B17" s="61" t="s">
        <v>300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</row>
    <row r="18" spans="1:48">
      <c r="A18" s="91"/>
      <c r="B18" s="91" t="s">
        <v>301</v>
      </c>
      <c r="C18" s="91"/>
      <c r="D18" s="91"/>
      <c r="E18" s="91"/>
      <c r="F18" s="91"/>
      <c r="G18" s="91"/>
      <c r="H18" s="119" t="s">
        <v>302</v>
      </c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</row>
    <row r="19" spans="1:48">
      <c r="A19" s="91"/>
      <c r="B19" s="91" t="s">
        <v>283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</row>
    <row r="20" spans="1:48">
      <c r="A20" s="91"/>
      <c r="B20" s="91" t="s">
        <v>300</v>
      </c>
      <c r="C20" s="91"/>
      <c r="D20" s="91"/>
      <c r="E20" s="91"/>
      <c r="F20" s="121">
        <f>F18-F19</f>
        <v>0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</row>
    <row r="22" spans="1:48">
      <c r="A22" s="93" t="s">
        <v>52</v>
      </c>
      <c r="B22" s="122" t="s">
        <v>282</v>
      </c>
      <c r="C22" s="123"/>
      <c r="D22" s="123"/>
      <c r="E22" s="123"/>
      <c r="F22" s="124">
        <f>F8+F15*F20</f>
        <v>2.2700000000000001E-2</v>
      </c>
      <c r="G22" s="91"/>
      <c r="H22" s="119" t="s">
        <v>303</v>
      </c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</row>
    <row r="23" spans="1:48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</row>
    <row r="24" spans="1:48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</row>
    <row r="25" spans="1:48">
      <c r="A25" s="93" t="s">
        <v>52</v>
      </c>
      <c r="B25" s="61" t="s">
        <v>304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</row>
    <row r="26" spans="1:48">
      <c r="A26" s="91"/>
      <c r="B26" s="91" t="s">
        <v>305</v>
      </c>
      <c r="C26" s="91"/>
      <c r="D26" s="91"/>
      <c r="E26" s="91"/>
      <c r="F26" s="120">
        <v>3.6249999999999998E-2</v>
      </c>
      <c r="G26" s="91"/>
      <c r="H26" s="119" t="s">
        <v>306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</row>
    <row r="27" spans="1:48">
      <c r="A27" s="91"/>
      <c r="B27" s="91" t="s">
        <v>307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</row>
    <row r="28" spans="1:48">
      <c r="A28" s="91"/>
      <c r="B28" s="91" t="s">
        <v>283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</row>
    <row r="29" spans="1:48">
      <c r="A29" s="91"/>
      <c r="B29" s="91" t="s">
        <v>308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</row>
    <row r="30" spans="1:48">
      <c r="A30" s="91"/>
      <c r="B30" s="91" t="s">
        <v>309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</row>
    <row r="31" spans="1:48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</row>
    <row r="32" spans="1:48">
      <c r="A32" s="93" t="s">
        <v>52</v>
      </c>
      <c r="B32" s="122" t="s">
        <v>304</v>
      </c>
      <c r="C32" s="123"/>
      <c r="D32" s="123"/>
      <c r="E32" s="123"/>
      <c r="F32" s="125">
        <f>+F26</f>
        <v>3.6249999999999998E-2</v>
      </c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</row>
    <row r="33" spans="1:48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</row>
    <row r="34" spans="1:48">
      <c r="A34" s="93" t="s">
        <v>52</v>
      </c>
      <c r="B34" s="61" t="s">
        <v>2</v>
      </c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</row>
    <row r="35" spans="1:48">
      <c r="A35" s="91"/>
      <c r="B35" s="91" t="s">
        <v>310</v>
      </c>
      <c r="C35" s="91"/>
      <c r="D35" s="91"/>
      <c r="E35" s="91"/>
      <c r="F35" s="98">
        <f>+Main!H4</f>
        <v>30074.960383599999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</row>
    <row r="36" spans="1:48">
      <c r="A36" s="91"/>
      <c r="B36" s="91" t="s">
        <v>311</v>
      </c>
      <c r="C36" s="91"/>
      <c r="D36" s="91"/>
      <c r="E36" s="91"/>
      <c r="F36" s="98">
        <f>+Main!H6</f>
        <v>12562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</row>
    <row r="37" spans="1:48">
      <c r="A37" s="91"/>
      <c r="B37" s="91" t="s">
        <v>312</v>
      </c>
      <c r="C37" s="91"/>
      <c r="D37" s="91"/>
      <c r="E37" s="91"/>
      <c r="F37" s="98">
        <f>F35+F36</f>
        <v>42636.960383600002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</row>
    <row r="38" spans="1:4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</row>
    <row r="39" spans="1:48">
      <c r="A39" s="91"/>
      <c r="B39" s="91" t="s">
        <v>313</v>
      </c>
      <c r="C39" s="91"/>
      <c r="D39" s="91"/>
      <c r="E39" s="91"/>
      <c r="F39" s="126">
        <v>0.27</v>
      </c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</row>
    <row r="40" spans="1:48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</row>
    <row r="41" spans="1:48">
      <c r="A41" s="93" t="s">
        <v>52</v>
      </c>
      <c r="B41" s="122" t="s">
        <v>164</v>
      </c>
      <c r="C41" s="123"/>
      <c r="D41" s="123"/>
      <c r="E41" s="123"/>
      <c r="F41" s="124">
        <f>+(F36/F37*F32*(1-F40))+(F35/F37*F22)</f>
        <v>2.6692195936778643E-2</v>
      </c>
      <c r="G41" s="91"/>
      <c r="H41" s="119" t="s">
        <v>314</v>
      </c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</row>
  </sheetData>
  <hyperlinks>
    <hyperlink ref="A1" location="Main!A1" display="Main" xr:uid="{BAB9B3D6-5414-47F1-AB23-9A7A4260D47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42A8-37F2-4459-BF30-D5F3B355BF23}">
  <dimension ref="A1:AI90"/>
  <sheetViews>
    <sheetView showGridLines="0" zoomScale="200" zoomScaleNormal="200" workbookViewId="0"/>
  </sheetViews>
  <sheetFormatPr defaultRowHeight="15"/>
  <cols>
    <col min="1" max="1" width="4.140625" customWidth="1"/>
    <col min="2" max="2" width="31.5703125" bestFit="1" customWidth="1"/>
    <col min="3" max="4" width="8.85546875" bestFit="1" customWidth="1"/>
    <col min="5" max="5" width="17.85546875" bestFit="1" customWidth="1"/>
    <col min="7" max="7" width="7.85546875" bestFit="1" customWidth="1"/>
    <col min="8" max="8" width="10.140625" bestFit="1" customWidth="1"/>
  </cols>
  <sheetData>
    <row r="1" spans="1:35">
      <c r="A1" s="63" t="s">
        <v>29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5">
      <c r="A2" s="85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</row>
    <row r="3" spans="1:35">
      <c r="A3" s="92"/>
      <c r="B3" s="91"/>
      <c r="C3" s="160" t="s">
        <v>117</v>
      </c>
      <c r="D3" s="160"/>
      <c r="E3" s="160"/>
      <c r="F3" s="160"/>
      <c r="G3" s="160"/>
      <c r="H3" s="160"/>
      <c r="I3" s="160"/>
      <c r="J3" s="160" t="s">
        <v>118</v>
      </c>
      <c r="K3" s="160"/>
      <c r="L3" s="160"/>
      <c r="M3" s="160"/>
      <c r="N3" s="160"/>
      <c r="O3" s="160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>
      <c r="A4" s="93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</row>
    <row r="5" spans="1:35">
      <c r="A5" s="94" t="s">
        <v>52</v>
      </c>
      <c r="B5" s="95" t="s">
        <v>119</v>
      </c>
      <c r="C5" s="96" t="s">
        <v>5</v>
      </c>
      <c r="D5" s="96" t="s">
        <v>8</v>
      </c>
      <c r="E5" s="96" t="s">
        <v>543</v>
      </c>
      <c r="F5" s="96" t="s">
        <v>120</v>
      </c>
      <c r="G5" s="96" t="s">
        <v>121</v>
      </c>
      <c r="H5" s="97" t="s">
        <v>144</v>
      </c>
      <c r="I5" s="96" t="s">
        <v>122</v>
      </c>
      <c r="J5" s="97" t="s">
        <v>145</v>
      </c>
      <c r="K5" s="96" t="s">
        <v>146</v>
      </c>
      <c r="L5" s="96" t="s">
        <v>147</v>
      </c>
      <c r="M5" s="96" t="s">
        <v>148</v>
      </c>
      <c r="N5" s="96" t="s">
        <v>123</v>
      </c>
      <c r="O5" s="96" t="s">
        <v>124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>
      <c r="A6" s="93"/>
      <c r="B6" s="91" t="s">
        <v>125</v>
      </c>
      <c r="C6" s="98">
        <v>339520</v>
      </c>
      <c r="D6" s="98">
        <v>413940</v>
      </c>
      <c r="E6" s="99">
        <v>1.3180000000000001</v>
      </c>
      <c r="F6" s="98">
        <v>97200</v>
      </c>
      <c r="G6" s="98">
        <v>21400</v>
      </c>
      <c r="H6" s="99">
        <v>1.7600000000000001E-2</v>
      </c>
      <c r="I6" s="99">
        <v>0.1074</v>
      </c>
      <c r="J6" s="100">
        <v>4.29</v>
      </c>
      <c r="K6" s="101">
        <v>24.24</v>
      </c>
      <c r="L6" s="101">
        <v>1.89</v>
      </c>
      <c r="M6" s="93">
        <v>6.18</v>
      </c>
      <c r="N6" s="93">
        <v>19.149999999999999</v>
      </c>
      <c r="O6" s="101">
        <f t="shared" ref="O6:O15" si="0">D6/G6</f>
        <v>19.342990654205607</v>
      </c>
      <c r="P6" s="10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</row>
    <row r="7" spans="1:35">
      <c r="A7" s="93"/>
      <c r="B7" s="91" t="s">
        <v>126</v>
      </c>
      <c r="C7" s="98">
        <v>151050</v>
      </c>
      <c r="D7" s="98">
        <v>149400</v>
      </c>
      <c r="E7" s="99">
        <v>0.4</v>
      </c>
      <c r="F7" s="98">
        <v>11600</v>
      </c>
      <c r="G7" s="98">
        <f>F7*(39.74%)</f>
        <v>4609.84</v>
      </c>
      <c r="H7" s="99">
        <v>7.4999999999999997E-3</v>
      </c>
      <c r="I7" s="99">
        <v>0.1953</v>
      </c>
      <c r="J7" s="93">
        <v>13.02</v>
      </c>
      <c r="K7" s="93">
        <v>44.88</v>
      </c>
      <c r="L7" s="93">
        <v>2.2799999999999998</v>
      </c>
      <c r="M7" s="93">
        <v>12.14</v>
      </c>
      <c r="N7" s="93">
        <v>35.67</v>
      </c>
      <c r="O7" s="100">
        <f t="shared" si="0"/>
        <v>32.408933932631065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>
      <c r="A8" s="93"/>
      <c r="B8" s="91" t="s">
        <v>127</v>
      </c>
      <c r="C8" s="98">
        <v>66780</v>
      </c>
      <c r="D8" s="98">
        <v>76740</v>
      </c>
      <c r="E8" s="99">
        <v>1.143</v>
      </c>
      <c r="F8" s="98">
        <v>19830</v>
      </c>
      <c r="G8" s="98">
        <v>3390</v>
      </c>
      <c r="H8" s="99">
        <v>2.1299999999999999E-2</v>
      </c>
      <c r="I8" s="99">
        <v>0.10349999999999999</v>
      </c>
      <c r="J8" s="102">
        <f>C8/F8</f>
        <v>3.367624810892587</v>
      </c>
      <c r="K8" s="103">
        <v>2145.34</v>
      </c>
      <c r="L8" s="93">
        <v>0.17</v>
      </c>
      <c r="M8" s="93">
        <v>3.56</v>
      </c>
      <c r="N8" s="101">
        <v>13.52</v>
      </c>
      <c r="O8" s="102">
        <f t="shared" si="0"/>
        <v>22.63716814159292</v>
      </c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</row>
    <row r="9" spans="1:35">
      <c r="A9" s="93"/>
      <c r="B9" s="91" t="s">
        <v>128</v>
      </c>
      <c r="C9" s="98">
        <v>5830</v>
      </c>
      <c r="D9" s="98">
        <v>7600</v>
      </c>
      <c r="E9" s="99">
        <v>2.0714000000000001</v>
      </c>
      <c r="F9" s="98">
        <f>C9/J9</f>
        <v>3554.8780487804879</v>
      </c>
      <c r="G9" s="98">
        <f>F9*25.87%</f>
        <v>919.64695121951218</v>
      </c>
      <c r="H9" s="99">
        <v>2.0299999999999999E-2</v>
      </c>
      <c r="I9" s="99">
        <v>0.24299999999999999</v>
      </c>
      <c r="J9" s="93">
        <v>1.64</v>
      </c>
      <c r="K9" s="93">
        <v>9.01</v>
      </c>
      <c r="L9" s="101">
        <v>1.78</v>
      </c>
      <c r="M9" s="93">
        <v>6.09</v>
      </c>
      <c r="N9" s="101">
        <v>10.31</v>
      </c>
      <c r="O9" s="101">
        <f t="shared" si="0"/>
        <v>8.2640408799506169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>
      <c r="A10" s="93"/>
      <c r="B10" s="91" t="s">
        <v>129</v>
      </c>
      <c r="C10" s="98">
        <v>5310</v>
      </c>
      <c r="D10" s="98">
        <f>C10-249+5+1822</f>
        <v>6888</v>
      </c>
      <c r="E10" s="99">
        <v>2.9420000000000002</v>
      </c>
      <c r="F10" s="98">
        <v>5610</v>
      </c>
      <c r="G10" s="98">
        <v>376</v>
      </c>
      <c r="H10" s="99">
        <v>0</v>
      </c>
      <c r="I10" s="99">
        <v>8.77E-2</v>
      </c>
      <c r="J10" s="93">
        <v>1</v>
      </c>
      <c r="K10" s="93">
        <v>10.55</v>
      </c>
      <c r="L10" s="93">
        <v>0.9</v>
      </c>
      <c r="M10" s="93">
        <v>3.08</v>
      </c>
      <c r="N10" s="93">
        <v>8.44</v>
      </c>
      <c r="O10" s="101">
        <f t="shared" si="0"/>
        <v>18.319148936170212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</row>
    <row r="11" spans="1:35">
      <c r="A11" s="93"/>
      <c r="B11" s="91" t="s">
        <v>130</v>
      </c>
      <c r="C11" s="98">
        <v>14650</v>
      </c>
      <c r="D11" s="98">
        <v>13150</v>
      </c>
      <c r="E11" s="99">
        <v>0.59840000000000004</v>
      </c>
      <c r="F11" s="98">
        <v>2600</v>
      </c>
      <c r="G11" s="98">
        <f>39.76%*C11</f>
        <v>5824.8399999999992</v>
      </c>
      <c r="H11" s="99">
        <v>1.95E-2</v>
      </c>
      <c r="I11" s="99">
        <v>0.13639999999999999</v>
      </c>
      <c r="J11" s="102">
        <f>C11/F11</f>
        <v>5.634615384615385</v>
      </c>
      <c r="K11" s="101">
        <v>24.49</v>
      </c>
      <c r="L11" s="93">
        <v>2.2799999999999998</v>
      </c>
      <c r="M11" s="101">
        <v>4.59</v>
      </c>
      <c r="N11" s="93">
        <v>20.09</v>
      </c>
      <c r="O11" s="102">
        <f t="shared" si="0"/>
        <v>2.2575727401954393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>
      <c r="A12" s="93"/>
      <c r="B12" s="91" t="s">
        <v>131</v>
      </c>
      <c r="C12" s="98">
        <v>4660</v>
      </c>
      <c r="D12" s="98">
        <v>5228</v>
      </c>
      <c r="E12" s="99">
        <v>1.7</v>
      </c>
      <c r="F12" s="98">
        <v>3650</v>
      </c>
      <c r="G12" s="98">
        <f>F12*0.084</f>
        <v>306.60000000000002</v>
      </c>
      <c r="H12" s="99">
        <v>1.9900000000000001E-2</v>
      </c>
      <c r="I12" s="99">
        <v>7.46E-2</v>
      </c>
      <c r="J12" s="101">
        <f>C12/F12</f>
        <v>1.2767123287671234</v>
      </c>
      <c r="K12" s="93">
        <v>18.260000000000002</v>
      </c>
      <c r="L12" s="101">
        <v>0.79</v>
      </c>
      <c r="M12" s="93">
        <v>3.35</v>
      </c>
      <c r="N12" s="101">
        <v>11.12</v>
      </c>
      <c r="O12" s="101">
        <f t="shared" si="0"/>
        <v>17.051532941943901</v>
      </c>
      <c r="P12" s="102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1:35">
      <c r="A13" s="93"/>
      <c r="B13" s="91" t="s">
        <v>132</v>
      </c>
      <c r="C13" s="98">
        <v>5450</v>
      </c>
      <c r="D13" s="98">
        <v>5765</v>
      </c>
      <c r="E13" s="99">
        <v>2.2795000000000001</v>
      </c>
      <c r="F13" s="98">
        <f>C13/J13</f>
        <v>1066.5362035225048</v>
      </c>
      <c r="G13" s="98">
        <f>F13*16.7%</f>
        <v>178.11154598825829</v>
      </c>
      <c r="H13" s="99">
        <v>1.0699999999999999E-2</v>
      </c>
      <c r="I13" s="99">
        <v>8.0500000000000002E-2</v>
      </c>
      <c r="J13" s="93">
        <v>5.1100000000000003</v>
      </c>
      <c r="K13" s="93">
        <v>47.64</v>
      </c>
      <c r="L13" s="101">
        <v>1.43</v>
      </c>
      <c r="M13" s="93">
        <v>12.28</v>
      </c>
      <c r="N13" s="93">
        <v>21.76</v>
      </c>
      <c r="O13" s="101">
        <f t="shared" si="0"/>
        <v>32.367357029061147</v>
      </c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>
      <c r="A14" s="93"/>
      <c r="B14" s="91" t="s">
        <v>133</v>
      </c>
      <c r="C14" s="98">
        <v>6270</v>
      </c>
      <c r="D14" s="98">
        <v>6240</v>
      </c>
      <c r="E14" s="99">
        <v>1.3857999999999999</v>
      </c>
      <c r="F14" s="98">
        <v>3090</v>
      </c>
      <c r="G14" s="98">
        <f>F14*21.17%</f>
        <v>654.15300000000013</v>
      </c>
      <c r="H14" s="99">
        <v>4.0599999999999997E-2</v>
      </c>
      <c r="I14" s="99">
        <v>0.14430000000000001</v>
      </c>
      <c r="J14" s="101">
        <v>1.73</v>
      </c>
      <c r="K14" s="93">
        <v>11.84</v>
      </c>
      <c r="L14" s="93">
        <v>-1.24</v>
      </c>
      <c r="M14" s="101">
        <v>3.68</v>
      </c>
      <c r="N14" s="93">
        <v>7.26</v>
      </c>
      <c r="O14" s="101">
        <f t="shared" si="0"/>
        <v>9.5390527904022431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1:35">
      <c r="A15" s="93"/>
      <c r="B15" s="91" t="s">
        <v>134</v>
      </c>
      <c r="C15" s="98">
        <v>129060</v>
      </c>
      <c r="D15" s="98">
        <v>176330</v>
      </c>
      <c r="E15" s="99">
        <v>0.4728</v>
      </c>
      <c r="F15" s="98">
        <f>C15/J15</f>
        <v>83264.516129032258</v>
      </c>
      <c r="G15" s="98">
        <f>F15*0.2567</f>
        <v>21374.00129032258</v>
      </c>
      <c r="H15" s="99">
        <v>1.7600000000000001E-2</v>
      </c>
      <c r="I15" s="99">
        <v>4.6800000000000001E-2</v>
      </c>
      <c r="J15" s="93">
        <v>1.55</v>
      </c>
      <c r="K15" s="101">
        <v>21.2</v>
      </c>
      <c r="L15" s="93">
        <v>-0.21</v>
      </c>
      <c r="M15" s="93">
        <v>6.45</v>
      </c>
      <c r="N15" s="93">
        <v>6.89</v>
      </c>
      <c r="O15" s="101">
        <f t="shared" si="0"/>
        <v>8.2497421799930475</v>
      </c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>
      <c r="A16" s="93"/>
      <c r="B16" s="91" t="s">
        <v>135</v>
      </c>
      <c r="C16" s="98">
        <v>584</v>
      </c>
      <c r="D16" s="98" t="s">
        <v>136</v>
      </c>
      <c r="E16" s="99" t="s">
        <v>136</v>
      </c>
      <c r="F16" s="98" t="s">
        <v>136</v>
      </c>
      <c r="G16" s="98" t="s">
        <v>136</v>
      </c>
      <c r="H16" s="99">
        <v>0</v>
      </c>
      <c r="I16" s="99" t="s">
        <v>136</v>
      </c>
      <c r="J16" s="104" t="s">
        <v>136</v>
      </c>
      <c r="K16" s="101">
        <v>23.21</v>
      </c>
      <c r="L16" s="93">
        <v>-8.59</v>
      </c>
      <c r="M16" s="104" t="s">
        <v>136</v>
      </c>
      <c r="N16" s="101">
        <v>15.97</v>
      </c>
      <c r="O16" s="104" t="s">
        <v>136</v>
      </c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</row>
    <row r="17" spans="1:35">
      <c r="A17" s="93"/>
      <c r="B17" s="91" t="s">
        <v>137</v>
      </c>
      <c r="C17" s="98">
        <v>5090</v>
      </c>
      <c r="D17" s="98">
        <v>7045</v>
      </c>
      <c r="E17" s="99">
        <v>1.7952999999999999</v>
      </c>
      <c r="F17" s="98">
        <f>C17/J17</f>
        <v>6132.530120481928</v>
      </c>
      <c r="G17" s="98">
        <f>F17*0.11</f>
        <v>674.57831325301208</v>
      </c>
      <c r="H17" s="99">
        <v>2.23E-2</v>
      </c>
      <c r="I17" s="99">
        <v>8.4900000000000003E-2</v>
      </c>
      <c r="J17" s="93">
        <v>0.83</v>
      </c>
      <c r="K17" s="93">
        <v>17.72</v>
      </c>
      <c r="L17" s="93">
        <v>0.43</v>
      </c>
      <c r="M17" s="93">
        <v>3.62</v>
      </c>
      <c r="N17" s="93">
        <v>22.45</v>
      </c>
      <c r="O17" s="101">
        <f>D17/G17</f>
        <v>10.443561350241113</v>
      </c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>
      <c r="A18" s="93"/>
      <c r="B18" s="91" t="s">
        <v>138</v>
      </c>
      <c r="C18" s="98">
        <v>13360</v>
      </c>
      <c r="D18" s="98">
        <v>15210</v>
      </c>
      <c r="E18" s="99">
        <v>1.0960000000000001</v>
      </c>
      <c r="F18" s="98">
        <f>C18/J18</f>
        <v>4098.1595092024545</v>
      </c>
      <c r="G18" s="98">
        <f>17.89%*F18</f>
        <v>733.16073619631914</v>
      </c>
      <c r="H18" s="99">
        <v>2.7199999999999998E-2</v>
      </c>
      <c r="I18" s="99">
        <v>6.6799999999999998E-2</v>
      </c>
      <c r="J18" s="101">
        <v>3.26</v>
      </c>
      <c r="K18" s="101">
        <v>21.27</v>
      </c>
      <c r="L18" s="101">
        <v>1.64</v>
      </c>
      <c r="M18" s="101">
        <v>3.89</v>
      </c>
      <c r="N18" s="101">
        <v>12.2</v>
      </c>
      <c r="O18" s="101">
        <f t="shared" ref="O18:O20" si="1">D18/G18</f>
        <v>20.745791814916839</v>
      </c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1:35">
      <c r="A19" s="93"/>
      <c r="B19" s="91" t="s">
        <v>139</v>
      </c>
      <c r="C19" s="98">
        <v>2020</v>
      </c>
      <c r="D19" s="98">
        <v>2235</v>
      </c>
      <c r="E19" s="99">
        <v>1.153</v>
      </c>
      <c r="F19" s="98">
        <v>1250</v>
      </c>
      <c r="G19" s="98">
        <f>0.089*F19</f>
        <v>111.25</v>
      </c>
      <c r="H19" s="99">
        <v>9.7999999999999997E-3</v>
      </c>
      <c r="I19" s="99">
        <v>4.9799999999999997E-2</v>
      </c>
      <c r="J19" s="101">
        <v>2.1800000000000002</v>
      </c>
      <c r="K19" s="93">
        <v>64.69</v>
      </c>
      <c r="L19" s="93">
        <v>-0.71</v>
      </c>
      <c r="M19" s="101">
        <v>3.63</v>
      </c>
      <c r="N19" s="93">
        <v>10.27</v>
      </c>
      <c r="O19" s="101">
        <f t="shared" si="1"/>
        <v>20.089887640449437</v>
      </c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>
      <c r="A20" s="93"/>
      <c r="B20" s="91" t="s">
        <v>140</v>
      </c>
      <c r="C20" s="98">
        <v>1120</v>
      </c>
      <c r="D20" s="98">
        <v>1233</v>
      </c>
      <c r="E20" s="99">
        <v>0.97960000000000003</v>
      </c>
      <c r="F20" s="98">
        <v>1010</v>
      </c>
      <c r="G20" s="98">
        <f>F20*0.0526</f>
        <v>53.125999999999998</v>
      </c>
      <c r="H20" s="99">
        <v>1.5100000000000001E-2</v>
      </c>
      <c r="I20" s="99">
        <v>2.29E-2</v>
      </c>
      <c r="J20" s="102">
        <f>C20/F20</f>
        <v>1.108910891089109</v>
      </c>
      <c r="K20" s="93">
        <v>25.7</v>
      </c>
      <c r="L20" s="93">
        <v>0.49</v>
      </c>
      <c r="M20" s="93">
        <v>0.96</v>
      </c>
      <c r="N20" s="93">
        <v>7.75</v>
      </c>
      <c r="O20" s="101">
        <f t="shared" si="1"/>
        <v>23.208974889884427</v>
      </c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</row>
    <row r="21" spans="1:35">
      <c r="A21" s="93"/>
      <c r="B21" s="105" t="s">
        <v>141</v>
      </c>
      <c r="C21" s="106">
        <f t="shared" ref="C21:O21" si="2">MEDIAN(C6:C20)</f>
        <v>5830</v>
      </c>
      <c r="D21" s="106">
        <f t="shared" si="2"/>
        <v>7322.5</v>
      </c>
      <c r="E21" s="107">
        <f t="shared" si="2"/>
        <v>1.2355</v>
      </c>
      <c r="F21" s="106">
        <f t="shared" si="2"/>
        <v>3874.0797546012273</v>
      </c>
      <c r="G21" s="106">
        <f t="shared" si="2"/>
        <v>703.86952472466555</v>
      </c>
      <c r="H21" s="107">
        <f t="shared" si="2"/>
        <v>1.7600000000000001E-2</v>
      </c>
      <c r="I21" s="107">
        <f t="shared" si="2"/>
        <v>8.6300000000000002E-2</v>
      </c>
      <c r="J21" s="108">
        <f t="shared" si="2"/>
        <v>1.9550000000000001</v>
      </c>
      <c r="K21" s="108">
        <f t="shared" si="2"/>
        <v>23.21</v>
      </c>
      <c r="L21" s="108">
        <f t="shared" si="2"/>
        <v>0.79</v>
      </c>
      <c r="M21" s="108">
        <f t="shared" si="2"/>
        <v>3.7850000000000001</v>
      </c>
      <c r="N21" s="108">
        <f t="shared" si="2"/>
        <v>12.2</v>
      </c>
      <c r="O21" s="109">
        <f t="shared" si="2"/>
        <v>18.831069795187908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>
      <c r="A22" s="93"/>
      <c r="B22" s="105" t="s">
        <v>142</v>
      </c>
      <c r="C22" s="106">
        <f>AVERAGE(C6:C20)</f>
        <v>50050.26666666667</v>
      </c>
      <c r="D22" s="106">
        <f t="shared" ref="D22:J22" si="3">AVERAGE(D6:D20)</f>
        <v>63357.428571428572</v>
      </c>
      <c r="E22" s="107">
        <f>MEDIAN(E6:E20)</f>
        <v>1.2355</v>
      </c>
      <c r="F22" s="106">
        <f t="shared" si="3"/>
        <v>17425.472857929977</v>
      </c>
      <c r="G22" s="106">
        <f t="shared" si="3"/>
        <v>4328.9505597842626</v>
      </c>
      <c r="H22" s="107">
        <f t="shared" si="3"/>
        <v>1.6626666666666665E-2</v>
      </c>
      <c r="I22" s="107">
        <f>AVERAGE(I6:I20)</f>
        <v>0.10313571428571429</v>
      </c>
      <c r="J22" s="110">
        <f t="shared" si="3"/>
        <v>3.2855616725260139</v>
      </c>
      <c r="K22" s="110">
        <f>AVERAGE(K6,K7,K9:K20)</f>
        <v>26.05</v>
      </c>
      <c r="L22" s="110">
        <f>AVERAGE(L6:L20)</f>
        <v>0.22199999999999989</v>
      </c>
      <c r="M22" s="110">
        <f>AVERAGE(M6:M20)</f>
        <v>5.25</v>
      </c>
      <c r="N22" s="110">
        <f>AVERAGE(N6:N20)</f>
        <v>14.856666666666664</v>
      </c>
      <c r="O22" s="111">
        <f>AVERAGE(O6:O20)</f>
        <v>17.494696851545569</v>
      </c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</row>
    <row r="23" spans="1:35">
      <c r="A23" s="93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>
      <c r="A24" s="93"/>
      <c r="B24" s="112" t="s">
        <v>143</v>
      </c>
      <c r="C24" s="113">
        <v>7182</v>
      </c>
      <c r="D24" s="113">
        <v>0</v>
      </c>
      <c r="E24" s="114">
        <v>1.1801999999999999</v>
      </c>
      <c r="F24" s="113">
        <v>15198</v>
      </c>
      <c r="G24" s="113">
        <v>5395</v>
      </c>
      <c r="H24" s="114">
        <v>2.9399999999999999E-2</v>
      </c>
      <c r="I24" s="114">
        <v>0.11219999999999999</v>
      </c>
      <c r="J24" s="115">
        <v>0.47256217923410976</v>
      </c>
      <c r="K24" s="116" t="e">
        <v>#DIV/0!</v>
      </c>
      <c r="L24" s="116" t="e">
        <f>K24/15.336</f>
        <v>#DIV/0!</v>
      </c>
      <c r="M24" s="116">
        <v>1.6248868778280543</v>
      </c>
      <c r="N24" s="117">
        <v>-4.4971822166562303</v>
      </c>
      <c r="O24" s="118">
        <f>D24/G24</f>
        <v>0</v>
      </c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</row>
    <row r="25" spans="1:35">
      <c r="A25" s="93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</row>
    <row r="27" spans="1:35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</row>
    <row r="29" spans="1:35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</row>
    <row r="31" spans="1:35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</row>
    <row r="33" spans="1:35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</row>
    <row r="35" spans="1: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</row>
    <row r="37" spans="1:35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 spans="1:35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</row>
    <row r="41" spans="1:35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</row>
    <row r="43" spans="1:35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</row>
    <row r="45" spans="1:3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</row>
    <row r="47" spans="1:3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</row>
    <row r="49" spans="1:35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</row>
    <row r="51" spans="1:35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  <row r="52" spans="1:35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</row>
    <row r="53" spans="1:35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</row>
    <row r="54" spans="1:35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</row>
    <row r="55" spans="1:3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</row>
    <row r="56" spans="1:35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</row>
    <row r="57" spans="1:35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</row>
    <row r="58" spans="1:35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</row>
    <row r="59" spans="1:35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</row>
    <row r="60" spans="1:35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</row>
    <row r="61" spans="1:35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</row>
    <row r="62" spans="1:3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</row>
    <row r="63" spans="1:3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</row>
    <row r="64" spans="1:3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</row>
    <row r="65" spans="1:3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</row>
    <row r="66" spans="1:3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</row>
    <row r="67" spans="1:3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</row>
    <row r="68" spans="1:3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</row>
    <row r="69" spans="1:3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</row>
    <row r="70" spans="1:3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</row>
    <row r="71" spans="1:3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</row>
    <row r="72" spans="1:3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</row>
    <row r="73" spans="1:3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</row>
    <row r="74" spans="1:3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</row>
    <row r="75" spans="1:3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</row>
    <row r="76" spans="1:3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</row>
    <row r="77" spans="1:3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</row>
    <row r="78" spans="1:3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</row>
    <row r="79" spans="1:3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</row>
    <row r="80" spans="1:3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</row>
    <row r="81" spans="1:3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</row>
    <row r="82" spans="1:3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</row>
    <row r="83" spans="1:3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</row>
    <row r="84" spans="1:3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</row>
    <row r="85" spans="1:3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</row>
    <row r="86" spans="1:3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</row>
    <row r="87" spans="1:3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</row>
    <row r="88" spans="1:3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</row>
    <row r="89" spans="1:3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</row>
    <row r="90" spans="1:3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</row>
  </sheetData>
  <mergeCells count="2">
    <mergeCell ref="C3:I3"/>
    <mergeCell ref="J3:O3"/>
  </mergeCells>
  <conditionalFormatting sqref="J6:J20">
    <cfRule type="top10" dxfId="79" priority="79" rank="5"/>
    <cfRule type="top10" dxfId="78" priority="69" bottom="1" rank="5"/>
    <cfRule type="top10" dxfId="77" priority="80" percent="1" rank="10"/>
  </conditionalFormatting>
  <conditionalFormatting sqref="J9">
    <cfRule type="top10" dxfId="76" priority="66" rank="10"/>
  </conditionalFormatting>
  <conditionalFormatting sqref="J14">
    <cfRule type="top10" dxfId="75" priority="65" rank="10"/>
  </conditionalFormatting>
  <conditionalFormatting sqref="J16">
    <cfRule type="top10" dxfId="74" priority="64" rank="10"/>
  </conditionalFormatting>
  <conditionalFormatting sqref="J18:J19">
    <cfRule type="top10" dxfId="73" priority="63" rank="10"/>
  </conditionalFormatting>
  <conditionalFormatting sqref="K7:K10 K19:K20 K17 K12:K14">
    <cfRule type="top10" dxfId="72" priority="78" rank="5"/>
    <cfRule type="top10" dxfId="71" priority="68" bottom="1" rank="5"/>
  </conditionalFormatting>
  <conditionalFormatting sqref="K11">
    <cfRule type="top10" dxfId="70" priority="46" percent="1" rank="10"/>
    <cfRule type="top10" dxfId="69" priority="45" rank="5"/>
    <cfRule type="top10" dxfId="68" priority="44" bottom="1" rank="5"/>
    <cfRule type="top10" dxfId="67" priority="43" rank="10"/>
  </conditionalFormatting>
  <conditionalFormatting sqref="K15:K16">
    <cfRule type="top10" dxfId="66" priority="50" percent="1" rank="10"/>
    <cfRule type="top10" dxfId="65" priority="49" rank="5"/>
    <cfRule type="top10" dxfId="64" priority="48" bottom="1" rank="5"/>
    <cfRule type="top10" dxfId="63" priority="47" rank="10"/>
  </conditionalFormatting>
  <conditionalFormatting sqref="K6:L6">
    <cfRule type="top10" dxfId="62" priority="39" rank="10"/>
    <cfRule type="top10" dxfId="61" priority="40" bottom="1" rank="5"/>
    <cfRule type="top10" dxfId="60" priority="42" percent="1" rank="10"/>
    <cfRule type="top10" dxfId="59" priority="41" rank="5"/>
  </conditionalFormatting>
  <conditionalFormatting sqref="K18:N18">
    <cfRule type="top10" dxfId="58" priority="60" bottom="1" rank="5"/>
    <cfRule type="top10" dxfId="57" priority="62" percent="1" rank="10"/>
    <cfRule type="top10" dxfId="56" priority="61" rank="5"/>
    <cfRule type="top10" dxfId="55" priority="59" rank="10"/>
  </conditionalFormatting>
  <conditionalFormatting sqref="L7:L8 L10:L12 L14:L17 L19:L20">
    <cfRule type="cellIs" dxfId="54" priority="77" operator="lessThan">
      <formula>0</formula>
    </cfRule>
    <cfRule type="cellIs" dxfId="53" priority="67" operator="between">
      <formula>0</formula>
      <formula>1.1</formula>
    </cfRule>
  </conditionalFormatting>
  <conditionalFormatting sqref="L7:L8 L19:L20 L10:L12 L14:L17">
    <cfRule type="top10" dxfId="52" priority="76" rank="1"/>
  </conditionalFormatting>
  <conditionalFormatting sqref="L9">
    <cfRule type="top10" dxfId="51" priority="35" rank="10"/>
    <cfRule type="top10" dxfId="50" priority="36" bottom="1" rank="5"/>
    <cfRule type="top10" dxfId="49" priority="37" rank="5"/>
    <cfRule type="top10" dxfId="48" priority="38" percent="1" rank="10"/>
  </conditionalFormatting>
  <conditionalFormatting sqref="L13">
    <cfRule type="top10" dxfId="47" priority="31" rank="10"/>
    <cfRule type="top10" dxfId="46" priority="32" bottom="1" rank="5"/>
    <cfRule type="top10" dxfId="45" priority="33" rank="5"/>
    <cfRule type="top10" dxfId="44" priority="34" percent="1" rank="10"/>
  </conditionalFormatting>
  <conditionalFormatting sqref="M6:M10 M20 M15:M17 M12:M13">
    <cfRule type="top10" dxfId="43" priority="75" rank="5"/>
    <cfRule type="top10" dxfId="42" priority="70" bottom="1" rank="5"/>
  </conditionalFormatting>
  <conditionalFormatting sqref="M11">
    <cfRule type="top10" dxfId="41" priority="25" rank="5"/>
    <cfRule type="top10" dxfId="40" priority="24" bottom="1" rank="5"/>
    <cfRule type="top10" dxfId="39" priority="23" rank="10"/>
    <cfRule type="top10" dxfId="38" priority="26" percent="1" rank="10"/>
  </conditionalFormatting>
  <conditionalFormatting sqref="M14">
    <cfRule type="top10" dxfId="37" priority="29" rank="5"/>
    <cfRule type="top10" dxfId="36" priority="28" bottom="1" rank="5"/>
    <cfRule type="top10" dxfId="35" priority="27" rank="10"/>
    <cfRule type="top10" dxfId="34" priority="30" percent="1" rank="10"/>
  </conditionalFormatting>
  <conditionalFormatting sqref="M19">
    <cfRule type="top10" dxfId="33" priority="55" rank="10"/>
    <cfRule type="top10" dxfId="32" priority="56" bottom="1" rank="5"/>
    <cfRule type="top10" dxfId="31" priority="57" rank="5"/>
    <cfRule type="top10" dxfId="30" priority="58" percent="1" rank="10"/>
  </conditionalFormatting>
  <conditionalFormatting sqref="N6:N7 N19:N20 N10:N11 N17 N13:N15">
    <cfRule type="top10" dxfId="29" priority="71" bottom="1" rank="5"/>
    <cfRule type="top10" dxfId="28" priority="74" rank="5"/>
  </conditionalFormatting>
  <conditionalFormatting sqref="N8:N9">
    <cfRule type="top10" dxfId="27" priority="21" rank="5"/>
    <cfRule type="top10" dxfId="26" priority="22" percent="1" rank="10"/>
    <cfRule type="top10" dxfId="25" priority="20" bottom="1" rank="5"/>
    <cfRule type="top10" dxfId="24" priority="19" rank="10"/>
  </conditionalFormatting>
  <conditionalFormatting sqref="N16">
    <cfRule type="top10" dxfId="23" priority="18" percent="1" rank="10"/>
    <cfRule type="top10" dxfId="22" priority="17" rank="5"/>
    <cfRule type="top10" dxfId="21" priority="15" rank="10"/>
    <cfRule type="top10" dxfId="20" priority="16" bottom="1" rank="5"/>
  </conditionalFormatting>
  <conditionalFormatting sqref="N12:O12">
    <cfRule type="top10" dxfId="19" priority="11" rank="10"/>
    <cfRule type="top10" dxfId="18" priority="12" bottom="1" rank="5"/>
    <cfRule type="top10" dxfId="17" priority="13" rank="5"/>
    <cfRule type="top10" dxfId="16" priority="14" percent="1" rank="10"/>
  </conditionalFormatting>
  <conditionalFormatting sqref="O7:O9 O20 O13:O18 O11">
    <cfRule type="top10" dxfId="15" priority="72" bottom="1" rank="5"/>
    <cfRule type="top10" dxfId="14" priority="73" rank="5"/>
  </conditionalFormatting>
  <conditionalFormatting sqref="O10">
    <cfRule type="top10" dxfId="13" priority="2" bottom="1" rank="5"/>
    <cfRule type="top10" dxfId="12" priority="3" rank="5"/>
    <cfRule type="top10" dxfId="11" priority="4" percent="1" rank="10"/>
    <cfRule type="top10" dxfId="10" priority="1" rank="10"/>
  </conditionalFormatting>
  <conditionalFormatting sqref="O19">
    <cfRule type="top10" dxfId="9" priority="52" bottom="1" rank="5"/>
    <cfRule type="top10" dxfId="8" priority="51" rank="10"/>
    <cfRule type="top10" dxfId="7" priority="53" rank="5"/>
    <cfRule type="top10" dxfId="6" priority="54" percent="1" rank="10"/>
  </conditionalFormatting>
  <conditionalFormatting sqref="O6:P6">
    <cfRule type="top10" dxfId="5" priority="10" percent="1" rank="10"/>
    <cfRule type="top10" dxfId="4" priority="9" rank="5"/>
    <cfRule type="top10" dxfId="3" priority="8" bottom="1" rank="5"/>
    <cfRule type="top10" dxfId="2" priority="7" rank="10"/>
  </conditionalFormatting>
  <conditionalFormatting sqref="P12">
    <cfRule type="top10" dxfId="1" priority="5" bottom="1" rank="5"/>
    <cfRule type="top10" dxfId="0" priority="6" rank="5"/>
  </conditionalFormatting>
  <hyperlinks>
    <hyperlink ref="A1" location="Main!A1" display="Main" xr:uid="{368F49B7-8A2B-4B33-B0AC-606B386AC8E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Main</vt:lpstr>
      <vt:lpstr>Brands</vt:lpstr>
      <vt:lpstr>Macro</vt:lpstr>
      <vt:lpstr>Model</vt:lpstr>
      <vt:lpstr>Quart</vt:lpstr>
      <vt:lpstr>Ratios</vt:lpstr>
      <vt:lpstr>DCF</vt:lpstr>
      <vt:lpstr>CoC</vt:lpstr>
      <vt:lpstr>TradingComps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2024-06-21T14:30:09Z</dcterms:created>
  <dcterms:modified xsi:type="dcterms:W3CDTF">2026-07-23T09:24:33Z</dcterms:modified>
</cp:coreProperties>
</file>