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F6E5E9CF-4358-496D-804D-A1D860953248}" xr6:coauthVersionLast="47" xr6:coauthVersionMax="47" xr10:uidLastSave="{00000000-0000-0000-0000-000000000000}"/>
  <bookViews>
    <workbookView xWindow="19095" yWindow="0" windowWidth="19410" windowHeight="20925" xr2:uid="{CE56C274-430F-49C4-B695-C61D5C0F48E5}"/>
  </bookViews>
  <sheets>
    <sheet name="Main" sheetId="1" r:id="rId1"/>
    <sheet name="Model" sheetId="2" r:id="rId2"/>
    <sheet name="Ratios" sheetId="3" r:id="rId3"/>
    <sheet name="Coc" sheetId="5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2" l="1"/>
  <c r="L16" i="2"/>
  <c r="L14" i="2"/>
  <c r="G71" i="2"/>
  <c r="G55" i="2"/>
  <c r="F63" i="2"/>
  <c r="F64" i="2" s="1"/>
  <c r="G63" i="2"/>
  <c r="G64" i="2"/>
  <c r="J71" i="2"/>
  <c r="J63" i="2"/>
  <c r="J64" i="2" s="1"/>
  <c r="J55" i="2"/>
  <c r="M80" i="2"/>
  <c r="L80" i="2"/>
  <c r="K80" i="2"/>
  <c r="I80" i="2"/>
  <c r="H80" i="2"/>
  <c r="F80" i="2"/>
  <c r="E80" i="2"/>
  <c r="D80" i="2"/>
  <c r="C80" i="2"/>
  <c r="M78" i="2"/>
  <c r="L78" i="2"/>
  <c r="K78" i="2"/>
  <c r="I78" i="2"/>
  <c r="H78" i="2"/>
  <c r="G78" i="2"/>
  <c r="G80" i="2" s="1"/>
  <c r="F78" i="2"/>
  <c r="E78" i="2"/>
  <c r="D78" i="2"/>
  <c r="C78" i="2"/>
  <c r="M77" i="2"/>
  <c r="L77" i="2"/>
  <c r="K77" i="2"/>
  <c r="J77" i="2"/>
  <c r="J78" i="2" s="1"/>
  <c r="J80" i="2" s="1"/>
  <c r="I77" i="2"/>
  <c r="H77" i="2"/>
  <c r="G77" i="2"/>
  <c r="F77" i="2"/>
  <c r="E77" i="2"/>
  <c r="M71" i="2"/>
  <c r="L71" i="2"/>
  <c r="K71" i="2"/>
  <c r="I71" i="2"/>
  <c r="H71" i="2"/>
  <c r="F71" i="2"/>
  <c r="E71" i="2"/>
  <c r="D71" i="2"/>
  <c r="C71" i="2"/>
  <c r="M64" i="2"/>
  <c r="L64" i="2"/>
  <c r="K64" i="2"/>
  <c r="I64" i="2"/>
  <c r="H64" i="2"/>
  <c r="E64" i="2"/>
  <c r="D64" i="2"/>
  <c r="C64" i="2"/>
  <c r="M63" i="2"/>
  <c r="L63" i="2"/>
  <c r="K63" i="2"/>
  <c r="I63" i="2"/>
  <c r="H63" i="2"/>
  <c r="M55" i="2"/>
  <c r="L55" i="2"/>
  <c r="K55" i="2"/>
  <c r="I55" i="2"/>
  <c r="H55" i="2"/>
  <c r="F55" i="2"/>
  <c r="E55" i="2"/>
  <c r="D55" i="2"/>
  <c r="C55" i="2"/>
  <c r="L46" i="2"/>
  <c r="L45" i="2"/>
  <c r="L44" i="2"/>
  <c r="L43" i="2"/>
  <c r="L42" i="2"/>
  <c r="L31" i="2"/>
  <c r="L29" i="2"/>
  <c r="L27" i="2"/>
  <c r="L20" i="2"/>
  <c r="L22" i="2" s="1"/>
  <c r="K17" i="2"/>
  <c r="K16" i="2"/>
  <c r="K43" i="2"/>
  <c r="K42" i="2"/>
  <c r="V35" i="4"/>
  <c r="U35" i="4"/>
  <c r="T35" i="4"/>
  <c r="S35" i="4"/>
  <c r="R35" i="4"/>
  <c r="Q35" i="4"/>
  <c r="P35" i="4"/>
  <c r="O35" i="4"/>
  <c r="N35" i="4"/>
  <c r="M35" i="4"/>
  <c r="V33" i="4"/>
  <c r="U33" i="4"/>
  <c r="T33" i="4"/>
  <c r="S33" i="4"/>
  <c r="R33" i="4"/>
  <c r="Q33" i="4"/>
  <c r="P33" i="4"/>
  <c r="O33" i="4"/>
  <c r="N33" i="4"/>
  <c r="M33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K20" i="2"/>
  <c r="K22" i="2" s="1"/>
  <c r="V58" i="4"/>
  <c r="V59" i="4"/>
  <c r="H6" i="3"/>
  <c r="G6" i="3"/>
  <c r="F6" i="3"/>
  <c r="E6" i="3"/>
  <c r="D6" i="3"/>
  <c r="C6" i="3"/>
  <c r="I6" i="3"/>
  <c r="H4" i="3"/>
  <c r="H5" i="3" s="1"/>
  <c r="H7" i="3" s="1"/>
  <c r="G4" i="3"/>
  <c r="G5" i="3" s="1"/>
  <c r="G7" i="3" s="1"/>
  <c r="F4" i="3"/>
  <c r="F5" i="3" s="1"/>
  <c r="F7" i="3" s="1"/>
  <c r="E4" i="3"/>
  <c r="E5" i="3" s="1"/>
  <c r="D4" i="3"/>
  <c r="D5" i="3" s="1"/>
  <c r="D7" i="3" s="1"/>
  <c r="C4" i="3"/>
  <c r="C5" i="3" s="1"/>
  <c r="I4" i="3"/>
  <c r="I5" i="3" s="1"/>
  <c r="O34" i="4"/>
  <c r="P34" i="4" s="1"/>
  <c r="Q34" i="4" s="1"/>
  <c r="R34" i="4" s="1"/>
  <c r="S34" i="4" s="1"/>
  <c r="T34" i="4" s="1"/>
  <c r="U34" i="4" s="1"/>
  <c r="V34" i="4" s="1"/>
  <c r="N34" i="4"/>
  <c r="N32" i="4" a="1"/>
  <c r="N32" i="4" s="1"/>
  <c r="O28" i="4"/>
  <c r="O26" i="4" s="1" a="1"/>
  <c r="O26" i="4" s="1"/>
  <c r="V61" i="4"/>
  <c r="J3" i="4"/>
  <c r="O3" i="4" s="1"/>
  <c r="K45" i="4"/>
  <c r="J45" i="4"/>
  <c r="I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K25" i="4"/>
  <c r="K43" i="4" s="1"/>
  <c r="J25" i="4"/>
  <c r="I25" i="4"/>
  <c r="I43" i="4" s="1"/>
  <c r="H25" i="4"/>
  <c r="G25" i="4"/>
  <c r="L25" i="4"/>
  <c r="O32" i="4" a="1"/>
  <c r="O32" i="4" s="1"/>
  <c r="M32" i="4" a="1"/>
  <c r="M32" i="4" s="1"/>
  <c r="N26" i="4" a="1"/>
  <c r="N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I47" i="5"/>
  <c r="F37" i="5"/>
  <c r="F32" i="5"/>
  <c r="F20" i="5"/>
  <c r="F8" i="5"/>
  <c r="F22" i="5" s="1"/>
  <c r="D2" i="3"/>
  <c r="E2" i="3" s="1"/>
  <c r="F2" i="3" s="1"/>
  <c r="G2" i="3" s="1"/>
  <c r="H2" i="3" s="1"/>
  <c r="I2" i="3" s="1"/>
  <c r="J2" i="3" s="1"/>
  <c r="K44" i="2" l="1"/>
  <c r="K27" i="2"/>
  <c r="P28" i="4"/>
  <c r="Q28" i="4" s="1"/>
  <c r="R28" i="4" s="1"/>
  <c r="S28" i="4" s="1"/>
  <c r="T28" i="4" s="1"/>
  <c r="U28" i="4" s="1"/>
  <c r="V28" i="4" s="1"/>
  <c r="I7" i="3"/>
  <c r="C7" i="3"/>
  <c r="E7" i="3"/>
  <c r="L43" i="4"/>
  <c r="L46" i="4"/>
  <c r="M25" i="4"/>
  <c r="M31" i="4" s="1"/>
  <c r="M37" i="4" s="1"/>
  <c r="M40" i="4" s="1"/>
  <c r="J26" i="4"/>
  <c r="L26" i="4"/>
  <c r="J46" i="4"/>
  <c r="K26" i="4"/>
  <c r="K46" i="4"/>
  <c r="G43" i="4"/>
  <c r="H26" i="4"/>
  <c r="H43" i="4"/>
  <c r="J43" i="4"/>
  <c r="I26" i="4"/>
  <c r="I46" i="4"/>
  <c r="P32" i="4" a="1"/>
  <c r="P32" i="4" s="1"/>
  <c r="O5" i="4"/>
  <c r="F41" i="5"/>
  <c r="K46" i="2" l="1"/>
  <c r="K29" i="2"/>
  <c r="Q26" i="4" a="1"/>
  <c r="Q26" i="4" s="1"/>
  <c r="P26" i="4" a="1"/>
  <c r="P26" i="4" s="1"/>
  <c r="M42" i="4"/>
  <c r="M45" i="4"/>
  <c r="M48" i="4"/>
  <c r="N25" i="4"/>
  <c r="O25" i="4" s="1"/>
  <c r="Q32" i="4" a="1"/>
  <c r="Q32" i="4" s="1"/>
  <c r="R26" i="4" a="1"/>
  <c r="R26" i="4" s="1"/>
  <c r="K31" i="2" l="1"/>
  <c r="K45" i="2"/>
  <c r="M51" i="4"/>
  <c r="M52" i="4" s="1"/>
  <c r="N31" i="4"/>
  <c r="N37" i="4" s="1"/>
  <c r="N40" i="4" s="1"/>
  <c r="N45" i="4"/>
  <c r="N42" i="4"/>
  <c r="N48" i="4"/>
  <c r="R32" i="4" a="1"/>
  <c r="R32" i="4" s="1"/>
  <c r="S26" i="4" a="1"/>
  <c r="S26" i="4" s="1"/>
  <c r="O45" i="4"/>
  <c r="O48" i="4"/>
  <c r="O42" i="4"/>
  <c r="P25" i="4"/>
  <c r="O31" i="4"/>
  <c r="N51" i="4" l="1"/>
  <c r="N52" i="4" s="1"/>
  <c r="S32" i="4" a="1"/>
  <c r="S32" i="4" s="1"/>
  <c r="T26" i="4" a="1"/>
  <c r="T26" i="4" s="1"/>
  <c r="O37" i="4"/>
  <c r="O40" i="4" s="1"/>
  <c r="O51" i="4" s="1"/>
  <c r="O52" i="4" s="1"/>
  <c r="P45" i="4"/>
  <c r="Q25" i="4"/>
  <c r="P48" i="4"/>
  <c r="P42" i="4"/>
  <c r="P31" i="4"/>
  <c r="T32" i="4" l="1" a="1"/>
  <c r="T32" i="4" s="1"/>
  <c r="V26" i="4" a="1"/>
  <c r="V26" i="4" s="1"/>
  <c r="U26" i="4" a="1"/>
  <c r="U26" i="4" s="1"/>
  <c r="Q48" i="4"/>
  <c r="Q42" i="4"/>
  <c r="Q45" i="4"/>
  <c r="R25" i="4"/>
  <c r="Q31" i="4"/>
  <c r="P37" i="4"/>
  <c r="P40" i="4" s="1"/>
  <c r="P51" i="4" s="1"/>
  <c r="P52" i="4" s="1"/>
  <c r="V32" i="4" l="1" a="1"/>
  <c r="V32" i="4" s="1"/>
  <c r="U32" i="4" a="1"/>
  <c r="U32" i="4" s="1"/>
  <c r="Q37" i="4"/>
  <c r="Q40" i="4" s="1"/>
  <c r="Q51" i="4" s="1"/>
  <c r="Q52" i="4" s="1"/>
  <c r="R42" i="4"/>
  <c r="S25" i="4"/>
  <c r="R45" i="4"/>
  <c r="R48" i="4"/>
  <c r="R31" i="4"/>
  <c r="R37" i="4" l="1"/>
  <c r="R40" i="4" s="1"/>
  <c r="R51" i="4" s="1"/>
  <c r="R52" i="4" s="1"/>
  <c r="S42" i="4"/>
  <c r="S45" i="4"/>
  <c r="S48" i="4"/>
  <c r="T25" i="4"/>
  <c r="S31" i="4"/>
  <c r="S37" i="4" l="1"/>
  <c r="S40" i="4" s="1"/>
  <c r="S51" i="4" s="1"/>
  <c r="S52" i="4" s="1"/>
  <c r="U25" i="4"/>
  <c r="T45" i="4"/>
  <c r="T48" i="4"/>
  <c r="T42" i="4"/>
  <c r="T31" i="4"/>
  <c r="T37" i="4" l="1"/>
  <c r="T40" i="4" s="1"/>
  <c r="T51" i="4" s="1"/>
  <c r="T52" i="4" s="1"/>
  <c r="V25" i="4"/>
  <c r="U48" i="4"/>
  <c r="U42" i="4"/>
  <c r="U45" i="4"/>
  <c r="U31" i="4"/>
  <c r="U37" i="4" l="1"/>
  <c r="U40" i="4" s="1"/>
  <c r="U51" i="4" s="1"/>
  <c r="U52" i="4" s="1"/>
  <c r="V45" i="4"/>
  <c r="V48" i="4"/>
  <c r="V42" i="4"/>
  <c r="V31" i="4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s="1"/>
  <c r="N69" i="4" s="1"/>
  <c r="C69" i="4" l="1"/>
  <c r="J5" i="4"/>
  <c r="F13" i="2"/>
  <c r="F12" i="2"/>
  <c r="J13" i="2"/>
  <c r="J12" i="2"/>
  <c r="P12" i="2"/>
  <c r="P108" i="2"/>
  <c r="P111" i="2" s="1"/>
  <c r="Q108" i="2"/>
  <c r="Q111" i="2" s="1"/>
  <c r="P101" i="2"/>
  <c r="P104" i="2" s="1"/>
  <c r="Q101" i="2"/>
  <c r="G45" i="4" s="1"/>
  <c r="G46" i="4" s="1"/>
  <c r="R101" i="2"/>
  <c r="H45" i="4" s="1"/>
  <c r="H46" i="4" s="1"/>
  <c r="P99" i="2"/>
  <c r="P91" i="2"/>
  <c r="Q99" i="2"/>
  <c r="G48" i="4" s="1"/>
  <c r="G49" i="4" s="1"/>
  <c r="Q91" i="2"/>
  <c r="R99" i="2"/>
  <c r="H48" i="4" s="1"/>
  <c r="H49" i="4" s="1"/>
  <c r="R91" i="2"/>
  <c r="R71" i="2"/>
  <c r="P28" i="2"/>
  <c r="P21" i="2"/>
  <c r="R21" i="2"/>
  <c r="Q12" i="2"/>
  <c r="R12" i="2"/>
  <c r="Q17" i="2"/>
  <c r="R17" i="2"/>
  <c r="S13" i="2"/>
  <c r="S105" i="2"/>
  <c r="S111" i="2" s="1"/>
  <c r="R111" i="2"/>
  <c r="S99" i="2"/>
  <c r="I48" i="4" s="1"/>
  <c r="I49" i="4" s="1"/>
  <c r="S71" i="2"/>
  <c r="Q71" i="2"/>
  <c r="P71" i="2"/>
  <c r="R77" i="2"/>
  <c r="Q77" i="2"/>
  <c r="P77" i="2"/>
  <c r="R63" i="2"/>
  <c r="Q63" i="2"/>
  <c r="P63" i="2"/>
  <c r="R55" i="2"/>
  <c r="Q55" i="2"/>
  <c r="P55" i="2"/>
  <c r="U115" i="2"/>
  <c r="U111" i="2"/>
  <c r="T111" i="2"/>
  <c r="U99" i="2"/>
  <c r="K48" i="4" s="1"/>
  <c r="K49" i="4" s="1"/>
  <c r="T99" i="2"/>
  <c r="J48" i="4" s="1"/>
  <c r="J49" i="4" s="1"/>
  <c r="V111" i="2"/>
  <c r="U104" i="2"/>
  <c r="T104" i="2"/>
  <c r="S104" i="2"/>
  <c r="V104" i="2"/>
  <c r="V99" i="2"/>
  <c r="L48" i="4" s="1"/>
  <c r="L49" i="4" s="1"/>
  <c r="U77" i="2"/>
  <c r="T77" i="2"/>
  <c r="S77" i="2"/>
  <c r="S78" i="2" s="1"/>
  <c r="S80" i="2" s="1"/>
  <c r="V77" i="2"/>
  <c r="U71" i="2"/>
  <c r="T71" i="2"/>
  <c r="V71" i="2"/>
  <c r="V78" i="2" s="1"/>
  <c r="V80" i="2" s="1"/>
  <c r="U63" i="2"/>
  <c r="U55" i="2"/>
  <c r="T55" i="2"/>
  <c r="S55" i="2"/>
  <c r="T63" i="2"/>
  <c r="S63" i="2"/>
  <c r="V63" i="2"/>
  <c r="V55" i="2"/>
  <c r="T17" i="2"/>
  <c r="T41" i="2" s="1"/>
  <c r="T16" i="2"/>
  <c r="S14" i="2"/>
  <c r="S38" i="2" s="1"/>
  <c r="J28" i="2"/>
  <c r="J26" i="2"/>
  <c r="J25" i="2"/>
  <c r="J24" i="2"/>
  <c r="J23" i="2"/>
  <c r="J21" i="2"/>
  <c r="J19" i="2"/>
  <c r="J18" i="2"/>
  <c r="J15" i="2"/>
  <c r="J14" i="2"/>
  <c r="F28" i="2"/>
  <c r="F26" i="2"/>
  <c r="F25" i="2"/>
  <c r="F24" i="2"/>
  <c r="F23" i="2"/>
  <c r="F21" i="2"/>
  <c r="F19" i="2"/>
  <c r="F18" i="2"/>
  <c r="F15" i="2"/>
  <c r="F14" i="2"/>
  <c r="G17" i="2"/>
  <c r="G16" i="2"/>
  <c r="C17" i="2"/>
  <c r="C16" i="2"/>
  <c r="I17" i="2"/>
  <c r="I16" i="2"/>
  <c r="E17" i="2"/>
  <c r="E16" i="2"/>
  <c r="D17" i="2"/>
  <c r="D16" i="2"/>
  <c r="H17" i="2"/>
  <c r="H16" i="2"/>
  <c r="U35" i="2"/>
  <c r="U34" i="2"/>
  <c r="T34" i="2"/>
  <c r="S34" i="2"/>
  <c r="R34" i="2"/>
  <c r="Q34" i="2"/>
  <c r="V34" i="2"/>
  <c r="V35" i="2"/>
  <c r="U37" i="2"/>
  <c r="U36" i="2"/>
  <c r="T36" i="2"/>
  <c r="S36" i="2"/>
  <c r="R36" i="2"/>
  <c r="Q36" i="2"/>
  <c r="V36" i="2"/>
  <c r="V37" i="2"/>
  <c r="U42" i="2"/>
  <c r="T42" i="2"/>
  <c r="S42" i="2"/>
  <c r="R42" i="2"/>
  <c r="Q42" i="2"/>
  <c r="S41" i="2"/>
  <c r="S40" i="2"/>
  <c r="R40" i="2"/>
  <c r="Q40" i="2"/>
  <c r="U39" i="2"/>
  <c r="U38" i="2"/>
  <c r="R38" i="2"/>
  <c r="Q38" i="2"/>
  <c r="V39" i="2"/>
  <c r="V38" i="2"/>
  <c r="V42" i="2"/>
  <c r="U17" i="2"/>
  <c r="U16" i="2"/>
  <c r="V17" i="2"/>
  <c r="V41" i="2" s="1"/>
  <c r="V16" i="2"/>
  <c r="V40" i="2" s="1"/>
  <c r="T20" i="2"/>
  <c r="T22" i="2" s="1"/>
  <c r="S20" i="2"/>
  <c r="S22" i="2" s="1"/>
  <c r="R20" i="2"/>
  <c r="Q20" i="2"/>
  <c r="Q22" i="2" s="1"/>
  <c r="P20" i="2"/>
  <c r="V20" i="2"/>
  <c r="V22" i="2" s="1"/>
  <c r="U20" i="2"/>
  <c r="U22" i="2" s="1"/>
  <c r="U5" i="2"/>
  <c r="T5" i="2"/>
  <c r="S5" i="2"/>
  <c r="R5" i="2"/>
  <c r="Q5" i="2"/>
  <c r="P5" i="2"/>
  <c r="V5" i="2"/>
  <c r="H4" i="1"/>
  <c r="H7" i="1" s="1"/>
  <c r="I42" i="2"/>
  <c r="H42" i="2"/>
  <c r="G42" i="2"/>
  <c r="I20" i="2"/>
  <c r="I43" i="2" s="1"/>
  <c r="H20" i="2"/>
  <c r="H43" i="2" s="1"/>
  <c r="E20" i="2"/>
  <c r="E22" i="2" s="1"/>
  <c r="E44" i="2" s="1"/>
  <c r="D20" i="2"/>
  <c r="D22" i="2" s="1"/>
  <c r="C20" i="2"/>
  <c r="C22" i="2" s="1"/>
  <c r="G20" i="2"/>
  <c r="G22" i="2" s="1"/>
  <c r="G27" i="2" s="1"/>
  <c r="P100" i="2" l="1"/>
  <c r="P113" i="2" s="1"/>
  <c r="P22" i="2"/>
  <c r="P27" i="2" s="1"/>
  <c r="P29" i="2" s="1"/>
  <c r="P45" i="2" s="1"/>
  <c r="Q104" i="2"/>
  <c r="V27" i="2"/>
  <c r="V29" i="2" s="1"/>
  <c r="V31" i="2" s="1"/>
  <c r="L31" i="4"/>
  <c r="Q27" i="2"/>
  <c r="Q29" i="2" s="1"/>
  <c r="Q45" i="2" s="1"/>
  <c r="G31" i="4"/>
  <c r="P43" i="2"/>
  <c r="R104" i="2"/>
  <c r="U27" i="2"/>
  <c r="U29" i="2" s="1"/>
  <c r="U31" i="2" s="1"/>
  <c r="K31" i="4"/>
  <c r="S27" i="2"/>
  <c r="S29" i="2" s="1"/>
  <c r="I31" i="4"/>
  <c r="R41" i="2"/>
  <c r="T27" i="2"/>
  <c r="T29" i="2" s="1"/>
  <c r="T31" i="2" s="1"/>
  <c r="J31" i="4"/>
  <c r="P44" i="2"/>
  <c r="P78" i="2"/>
  <c r="P80" i="2" s="1"/>
  <c r="Q78" i="2"/>
  <c r="Q80" i="2" s="1"/>
  <c r="R78" i="2"/>
  <c r="R80" i="2" s="1"/>
  <c r="Q31" i="2"/>
  <c r="P31" i="2"/>
  <c r="R22" i="2"/>
  <c r="Q41" i="2"/>
  <c r="F16" i="2"/>
  <c r="F17" i="2"/>
  <c r="U40" i="2"/>
  <c r="Q43" i="2"/>
  <c r="P64" i="2"/>
  <c r="Q64" i="2"/>
  <c r="S64" i="2"/>
  <c r="T64" i="2"/>
  <c r="U64" i="2"/>
  <c r="T40" i="2"/>
  <c r="V64" i="2"/>
  <c r="J17" i="2"/>
  <c r="J42" i="2"/>
  <c r="T38" i="2"/>
  <c r="R64" i="2"/>
  <c r="T78" i="2"/>
  <c r="T80" i="2" s="1"/>
  <c r="V82" i="2"/>
  <c r="V100" i="2" s="1"/>
  <c r="V113" i="2" s="1"/>
  <c r="V115" i="2" s="1"/>
  <c r="S46" i="2"/>
  <c r="T46" i="2"/>
  <c r="U78" i="2"/>
  <c r="U80" i="2" s="1"/>
  <c r="U46" i="2"/>
  <c r="F20" i="2"/>
  <c r="F22" i="2" s="1"/>
  <c r="T43" i="2"/>
  <c r="U43" i="2"/>
  <c r="V43" i="2"/>
  <c r="R43" i="2"/>
  <c r="Q44" i="2"/>
  <c r="S43" i="2"/>
  <c r="U44" i="2"/>
  <c r="J20" i="2"/>
  <c r="J43" i="2" s="1"/>
  <c r="S44" i="2"/>
  <c r="T44" i="2"/>
  <c r="J16" i="2"/>
  <c r="V44" i="2"/>
  <c r="U45" i="2"/>
  <c r="U41" i="2"/>
  <c r="H22" i="2"/>
  <c r="C43" i="2"/>
  <c r="D43" i="2"/>
  <c r="G44" i="2"/>
  <c r="C27" i="2"/>
  <c r="C44" i="2"/>
  <c r="D27" i="2"/>
  <c r="D44" i="2"/>
  <c r="G43" i="2"/>
  <c r="E43" i="2"/>
  <c r="E27" i="2"/>
  <c r="I22" i="2"/>
  <c r="F43" i="2" l="1"/>
  <c r="Q46" i="2"/>
  <c r="V45" i="2"/>
  <c r="V46" i="2"/>
  <c r="P46" i="2"/>
  <c r="T45" i="2"/>
  <c r="G32" i="4"/>
  <c r="G40" i="4"/>
  <c r="G51" i="4" s="1"/>
  <c r="G38" i="4"/>
  <c r="R27" i="2"/>
  <c r="R29" i="2" s="1"/>
  <c r="R82" i="2" s="1"/>
  <c r="R100" i="2" s="1"/>
  <c r="R113" i="2" s="1"/>
  <c r="H31" i="4"/>
  <c r="J38" i="4"/>
  <c r="J40" i="4"/>
  <c r="J51" i="4" s="1"/>
  <c r="J32" i="4"/>
  <c r="I32" i="4"/>
  <c r="I40" i="4"/>
  <c r="I51" i="4" s="1"/>
  <c r="I38" i="4"/>
  <c r="S45" i="2"/>
  <c r="S31" i="2"/>
  <c r="T82" i="2"/>
  <c r="T100" i="2" s="1"/>
  <c r="T113" i="2" s="1"/>
  <c r="K32" i="4"/>
  <c r="K40" i="4"/>
  <c r="K51" i="4" s="1"/>
  <c r="K38" i="4"/>
  <c r="U82" i="2"/>
  <c r="U100" i="2" s="1"/>
  <c r="U113" i="2" s="1"/>
  <c r="U114" i="2" s="1"/>
  <c r="T115" i="2" s="1"/>
  <c r="T114" i="2" s="1"/>
  <c r="S115" i="2" s="1"/>
  <c r="L32" i="4"/>
  <c r="L40" i="4"/>
  <c r="L51" i="4" s="1"/>
  <c r="L38" i="4"/>
  <c r="S82" i="2"/>
  <c r="S100" i="2" s="1"/>
  <c r="S113" i="2" s="1"/>
  <c r="Q82" i="2"/>
  <c r="Q100" i="2" s="1"/>
  <c r="Q113" i="2" s="1"/>
  <c r="R44" i="2"/>
  <c r="J22" i="2"/>
  <c r="F27" i="2"/>
  <c r="F44" i="2"/>
  <c r="H44" i="2"/>
  <c r="H27" i="2"/>
  <c r="D46" i="2"/>
  <c r="D29" i="2"/>
  <c r="C29" i="2"/>
  <c r="C46" i="2"/>
  <c r="F29" i="2"/>
  <c r="F46" i="2"/>
  <c r="J44" i="2"/>
  <c r="J27" i="2"/>
  <c r="G29" i="2"/>
  <c r="G46" i="2"/>
  <c r="E46" i="2"/>
  <c r="E29" i="2"/>
  <c r="E31" i="2" s="1"/>
  <c r="I44" i="2"/>
  <c r="I27" i="2"/>
  <c r="S114" i="2" l="1"/>
  <c r="R115" i="2" s="1"/>
  <c r="R114" i="2" s="1"/>
  <c r="Q115" i="2" s="1"/>
  <c r="Q114" i="2" s="1"/>
  <c r="P115" i="2" s="1"/>
  <c r="P114" i="2" s="1"/>
  <c r="R46" i="2"/>
  <c r="H32" i="4"/>
  <c r="H40" i="4"/>
  <c r="H51" i="4" s="1"/>
  <c r="H38" i="4"/>
  <c r="R45" i="2"/>
  <c r="R31" i="2"/>
  <c r="H29" i="2"/>
  <c r="H31" i="2" s="1"/>
  <c r="H46" i="2"/>
  <c r="J29" i="2"/>
  <c r="J31" i="2" s="1"/>
  <c r="J46" i="2"/>
  <c r="F45" i="2"/>
  <c r="C31" i="2"/>
  <c r="C45" i="2"/>
  <c r="D45" i="2"/>
  <c r="G31" i="2"/>
  <c r="G45" i="2"/>
  <c r="E45" i="2"/>
  <c r="I29" i="2"/>
  <c r="I31" i="2" s="1"/>
  <c r="I46" i="2"/>
  <c r="H45" i="2" l="1"/>
  <c r="J45" i="2"/>
  <c r="I45" i="2"/>
  <c r="F31" i="2" l="1"/>
  <c r="D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  <author>tc={00FCACC7-419A-4BE6-9120-71F40502A3D1}</author>
  </authors>
  <commentList>
    <comment ref="B7" authorId="0" shapeId="0" xr:uid="{6E3E0F3D-F588-46E1-ADF8-7BFAA9191ED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In thousands</t>
        </r>
      </text>
    </comment>
    <comment ref="T102" authorId="1" shapeId="0" xr:uid="{00FCACC7-419A-4BE6-9120-71F40502A3D1}">
      <text>
        <t>[Threaded comment]
Your version of Excel allows you to read this threaded comment; however, any edits to it will get removed if the file is opened in a newer version of Excel. Learn more: https://go.microsoft.com/fwlink/?linkid=870924
Comment:
    Acqusition of HEYDUDE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<sst xmlns="http://schemas.openxmlformats.org/spreadsheetml/2006/main" count="461" uniqueCount="340">
  <si>
    <t>Crocs Inc.</t>
  </si>
  <si>
    <t>Crox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</si>
  <si>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</si>
  <si>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</si>
  <si>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</si>
  <si>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</si>
  <si>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</si>
  <si>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</si>
  <si>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</si>
  <si>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</si>
  <si>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</si>
  <si>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</si>
  <si>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</si>
  <si>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</si>
  <si>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</si>
  <si>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</si>
  <si>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</si>
  <si>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</si>
  <si>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</si>
  <si>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</si>
  <si>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</si>
  <si>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</si>
  <si>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</si>
  <si>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</si>
  <si>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</si>
  <si>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</si>
  <si>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</si>
  <si>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SG&amp;A</t>
  </si>
  <si>
    <t>Operating Profit</t>
  </si>
  <si>
    <t>Other Income</t>
  </si>
  <si>
    <t>Loss on Foreign Currency</t>
  </si>
  <si>
    <t>Interest Income</t>
  </si>
  <si>
    <t>Interest Expense</t>
  </si>
  <si>
    <t>Pretax Income</t>
  </si>
  <si>
    <t>EPS</t>
  </si>
  <si>
    <t>Income Tax Expense</t>
  </si>
  <si>
    <t>Net Income</t>
  </si>
  <si>
    <t>Revenue Growth</t>
  </si>
  <si>
    <t>Operating Margin</t>
  </si>
  <si>
    <t>Gross Margin</t>
  </si>
  <si>
    <t>Net Margin</t>
  </si>
  <si>
    <t>Tax Rate</t>
  </si>
  <si>
    <t>numbers in mio USD</t>
  </si>
  <si>
    <t>Corcs Stores</t>
  </si>
  <si>
    <t>HEYDUDE Stores</t>
  </si>
  <si>
    <t>Total Stores</t>
  </si>
  <si>
    <t>Unit Sales Crocs</t>
  </si>
  <si>
    <t>Unit Sales HEYDUDE</t>
  </si>
  <si>
    <t>Avergae Price Crocs</t>
  </si>
  <si>
    <t>Avergae Price HEYDUDE</t>
  </si>
  <si>
    <t>Crocs Revenue</t>
  </si>
  <si>
    <t>HEYDUDE Revenue</t>
  </si>
  <si>
    <t>Wholesale Revenue</t>
  </si>
  <si>
    <t>DTC Revenue</t>
  </si>
  <si>
    <t>Crocs Store Growth</t>
  </si>
  <si>
    <t>HEYDUDE Store Growth</t>
  </si>
  <si>
    <t>Units Crocs Growth</t>
  </si>
  <si>
    <t>Units HEYDUDE Growth</t>
  </si>
  <si>
    <t>Crocs Revenue Growth</t>
  </si>
  <si>
    <t>HEYDUDE Revenue Growth</t>
  </si>
  <si>
    <t>Wholesale Growth</t>
  </si>
  <si>
    <t>DTC Growth</t>
  </si>
  <si>
    <t>Cash &amp; Cash Equivalents</t>
  </si>
  <si>
    <t>Restricted Cash</t>
  </si>
  <si>
    <t>Accounts Receivables</t>
  </si>
  <si>
    <t>Inventories</t>
  </si>
  <si>
    <t>Tax receivables</t>
  </si>
  <si>
    <t>Other receivables</t>
  </si>
  <si>
    <t>Prepaid expenses</t>
  </si>
  <si>
    <t>Current Assets</t>
  </si>
  <si>
    <t>Total Assets</t>
  </si>
  <si>
    <t>Non-current Assets</t>
  </si>
  <si>
    <t>PP&amp;E</t>
  </si>
  <si>
    <t>Intangibles</t>
  </si>
  <si>
    <t>Goodwill</t>
  </si>
  <si>
    <t>Deffered taxes</t>
  </si>
  <si>
    <t>Leases</t>
  </si>
  <si>
    <t>Other</t>
  </si>
  <si>
    <t>Current Liabilties</t>
  </si>
  <si>
    <t>Accounts Payables</t>
  </si>
  <si>
    <t>Accrued Expenses</t>
  </si>
  <si>
    <t>Tax Payables</t>
  </si>
  <si>
    <t>Current Debt</t>
  </si>
  <si>
    <t>Operating Leases</t>
  </si>
  <si>
    <t>Total Liabilties</t>
  </si>
  <si>
    <t>Equity</t>
  </si>
  <si>
    <t>Liabilties &amp; Equity</t>
  </si>
  <si>
    <t>Non-current Liabilties</t>
  </si>
  <si>
    <t>D&amp;A</t>
  </si>
  <si>
    <t>Disposal of Asets</t>
  </si>
  <si>
    <t>Inventory Donations</t>
  </si>
  <si>
    <t>Provison Doubtful accounts</t>
  </si>
  <si>
    <t>SBCs</t>
  </si>
  <si>
    <t>Asset impairments</t>
  </si>
  <si>
    <t>Deferred Taxes</t>
  </si>
  <si>
    <t>Change in AR</t>
  </si>
  <si>
    <t>Change in Inventories</t>
  </si>
  <si>
    <t>Change in Prepaid Expenses</t>
  </si>
  <si>
    <t>Change in AP</t>
  </si>
  <si>
    <t>Change in accrued expenses</t>
  </si>
  <si>
    <t>Change in laeses</t>
  </si>
  <si>
    <t>Changes in Tax Payables</t>
  </si>
  <si>
    <t>Change in WC</t>
  </si>
  <si>
    <t>CFFO</t>
  </si>
  <si>
    <t>CapEx</t>
  </si>
  <si>
    <t>Acquisitions</t>
  </si>
  <si>
    <t>CFFI</t>
  </si>
  <si>
    <t>Cash EoP</t>
  </si>
  <si>
    <t>Cash BoP</t>
  </si>
  <si>
    <t>Change in Cash</t>
  </si>
  <si>
    <t>FX Effects</t>
  </si>
  <si>
    <t>Issuance of Debt</t>
  </si>
  <si>
    <t>Repayment of Debt</t>
  </si>
  <si>
    <t xml:space="preserve">Deferred Debt </t>
  </si>
  <si>
    <t>Stock Repurchases</t>
  </si>
  <si>
    <t>Tax Withholdings</t>
  </si>
  <si>
    <t>CFFF</t>
  </si>
  <si>
    <t>IR</t>
  </si>
  <si>
    <t>North America Crocs</t>
  </si>
  <si>
    <t>International Crocs</t>
  </si>
  <si>
    <t>n.a.</t>
  </si>
  <si>
    <t>Notes</t>
  </si>
  <si>
    <t>Segments</t>
  </si>
  <si>
    <t>Crocs</t>
  </si>
  <si>
    <t>Heydude</t>
  </si>
  <si>
    <t>% of Rev</t>
  </si>
  <si>
    <t>Products</t>
  </si>
  <si>
    <t>Stores</t>
  </si>
  <si>
    <t>Ratios</t>
  </si>
  <si>
    <t>Shares o/s</t>
  </si>
  <si>
    <t>Market Cap</t>
  </si>
  <si>
    <t>Net Debt</t>
  </si>
  <si>
    <t>x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</si>
  <si>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</si>
  <si>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</si>
  <si>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</si>
  <si>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</si>
  <si>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</si>
  <si>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</si>
  <si>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</si>
  <si>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</si>
  <si>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</si>
  <si>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</si>
  <si>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</si>
  <si>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</si>
  <si>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</si>
  <si>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</si>
  <si>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</si>
  <si>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</si>
  <si>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</si>
  <si>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</si>
  <si>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</si>
  <si>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</si>
  <si>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</si>
  <si>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</si>
  <si>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</si>
  <si>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</si>
  <si>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</si>
  <si>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</si>
  <si>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</si>
  <si>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</si>
  <si>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</si>
  <si>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</si>
  <si>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</si>
  <si>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</si>
  <si>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</si>
  <si>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</si>
  <si>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</si>
  <si>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</si>
  <si>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</si>
  <si>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</si>
  <si>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</si>
  <si>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</si>
  <si>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</si>
  <si>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</si>
  <si>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</si>
  <si>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</si>
  <si>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</si>
  <si>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</si>
  <si>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</si>
  <si>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</si>
  <si>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</si>
  <si>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</si>
  <si>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</si>
  <si>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</si>
  <si>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</si>
  <si>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</si>
  <si>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</si>
  <si>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</si>
  <si>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</si>
  <si>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</si>
  <si>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</si>
  <si>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</si>
  <si>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</si>
  <si>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</si>
  <si>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</si>
  <si>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</si>
  <si>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</si>
  <si>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</si>
  <si>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</si>
  <si>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</si>
  <si>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</si>
  <si>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</si>
  <si>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</si>
  <si>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</si>
  <si>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</si>
  <si>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</si>
  <si>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</si>
  <si>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</si>
  <si>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</si>
  <si>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</si>
  <si>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</si>
  <si>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</si>
  <si>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</si>
  <si>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</si>
  <si>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</si>
  <si>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</si>
  <si>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</si>
  <si>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</si>
  <si>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</si>
  <si>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</si>
  <si>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</si>
  <si>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</si>
  <si>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</si>
  <si>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</si>
  <si>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</si>
  <si>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</si>
  <si>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</si>
  <si>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</si>
  <si>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</si>
  <si>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</si>
  <si>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</si>
  <si>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</si>
  <si>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</si>
  <si>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</si>
  <si>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</si>
  <si>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</si>
  <si>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</si>
  <si>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</si>
  <si>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</si>
  <si>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</si>
  <si>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</si>
  <si>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</si>
  <si>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</si>
  <si>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</si>
  <si>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</si>
  <si>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</si>
  <si>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</si>
  <si>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</si>
  <si>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</si>
  <si>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</si>
  <si>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</si>
  <si>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</si>
  <si>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</si>
  <si>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</si>
  <si>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</si>
  <si>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</si>
  <si>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</si>
  <si>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</si>
  <si>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</si>
  <si>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</si>
  <si>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</si>
  <si>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</si>
  <si>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</si>
  <si>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</si>
  <si>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</si>
  <si>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</si>
  <si>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</si>
  <si>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</si>
  <si>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</si>
  <si>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</si>
  <si>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</si>
  <si>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</si>
  <si>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</si>
  <si>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</si>
  <si>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</si>
  <si>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</si>
  <si>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</si>
  <si>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</si>
  <si>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</si>
  <si>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</si>
  <si>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</si>
  <si>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</si>
  <si>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</si>
  <si>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</si>
  <si>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</si>
  <si>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</si>
  <si>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</si>
  <si>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</si>
  <si>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</si>
  <si>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</si>
  <si>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</si>
  <si>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</si>
  <si>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</si>
  <si>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</si>
  <si>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</si>
  <si>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</si>
  <si>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</si>
  <si>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</si>
  <si>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</si>
  <si>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</si>
  <si>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</si>
  <si>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</si>
  <si>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CROX</t>
  </si>
  <si>
    <t>CROCS DCF</t>
  </si>
  <si>
    <t>Acquistion of Heydude in 2021 for 2.5 billion USD</t>
  </si>
  <si>
    <t>Clogs, other shoes, Accessoires</t>
  </si>
  <si>
    <t>Casual Shoes &amp; other, Accessoires</t>
  </si>
  <si>
    <t>Founded:</t>
  </si>
  <si>
    <t>Employees: 7.910</t>
  </si>
  <si>
    <t>Management</t>
  </si>
  <si>
    <t>CEO</t>
  </si>
  <si>
    <t>CFO</t>
  </si>
  <si>
    <t>CBO</t>
  </si>
  <si>
    <t>DFO</t>
  </si>
  <si>
    <t>CPO</t>
  </si>
  <si>
    <t>CIO</t>
  </si>
  <si>
    <t>Andrew Rees</t>
  </si>
  <si>
    <t>Susan Healy</t>
  </si>
  <si>
    <t>Terence Reilly</t>
  </si>
  <si>
    <t>Anne Mehlman</t>
  </si>
  <si>
    <t>Adam Michaels</t>
  </si>
  <si>
    <t>Shanoon Sisler</t>
  </si>
  <si>
    <t>Tom Britt</t>
  </si>
  <si>
    <t>TAM 160 billion USD -&gt; Market Share of  3%</t>
  </si>
  <si>
    <t>First Clog introduced in 2002 in six different colours</t>
  </si>
  <si>
    <t>Heydude: Most important models: Wally, Wendy and sandals</t>
  </si>
  <si>
    <t>Competitors: Nike, Sketchers, Underarmor, Adidas, Deckers etc.</t>
  </si>
  <si>
    <t>Crocs: Mostly Clogs; jibbitz and sandals;</t>
  </si>
  <si>
    <t>collabs with other brands like Crocs X Birkenstock</t>
  </si>
  <si>
    <t>Q125</t>
  </si>
  <si>
    <t>Outlook for 2025 canceled</t>
  </si>
  <si>
    <t>Heydude: Sydney Sweeney new Brand Ambassador</t>
  </si>
  <si>
    <t>Q225</t>
  </si>
  <si>
    <t>Q325</t>
  </si>
  <si>
    <t>Q425</t>
  </si>
  <si>
    <t>Impact of tariffs: around 45 to 130 mio USD</t>
  </si>
  <si>
    <t>Crocs number one brand on Tik Tok shops</t>
  </si>
  <si>
    <t>Guidance: Revenues for Q3 down to be down between 9-11%</t>
  </si>
  <si>
    <t>Operating Margin of approximately 18 to 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</si>
</sst>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.00;\(#,##0.00\)"/>
    <numFmt numFmtId="166" formatCode="#,##0.0"/>
    <numFmt numFmtId="167" formatCode="\F\Y#,##0"/>
    <numFmt numFmtId="168" formatCode="#,##0;\(#,##0\)"/>
    <numFmt numFmtId="169" formatCode="#,##0.0;[Red]#,##0.0"/>
    <numFmt numFmtId="170" formatCode="0.0%"/>
    <numFmt numFmtId="171" formatCode="&quot;FY&quot;0&quot;A&quot;"/>
    <numFmt numFmtId="172" formatCode="0.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9" fontId="0" fillId="0" borderId="0" xfId="1" applyFont="1"/>
    <xf numFmtId="165" fontId="0" fillId="0" borderId="0" xfId="0" applyNumberFormat="1"/>
    <xf numFmtId="9" fontId="2" fillId="0" borderId="0" xfId="1" applyFont="1"/>
    <xf numFmtId="164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9" fontId="2" fillId="0" borderId="0" xfId="1" applyFont="1" applyAlignment="1">
      <alignment horizontal="right"/>
    </xf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5" xfId="1" applyFont="1" applyBorder="1"/>
    <xf numFmtId="9" fontId="0" fillId="0" borderId="0" xfId="1" applyFont="1" applyBorder="1"/>
    <xf numFmtId="0" fontId="9" fillId="0" borderId="0" xfId="0" applyFont="1"/>
    <xf numFmtId="167" fontId="10" fillId="0" borderId="0" xfId="0" applyNumberFormat="1" applyFont="1" applyAlignment="1">
      <alignment horizontal="right"/>
    </xf>
    <xf numFmtId="0" fontId="10" fillId="0" borderId="0" xfId="0" applyFont="1"/>
    <xf numFmtId="168" fontId="0" fillId="0" borderId="0" xfId="0" applyNumberFormat="1"/>
    <xf numFmtId="0" fontId="0" fillId="0" borderId="0" xfId="0" applyAlignment="1">
      <alignment horizontal="center"/>
    </xf>
    <xf numFmtId="0" fontId="11" fillId="0" borderId="0" xfId="0" applyFont="1"/>
    <xf numFmtId="0" fontId="0" fillId="0" borderId="0" xfId="0" quotePrefix="1"/>
    <xf numFmtId="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9" fontId="0" fillId="0" borderId="0" xfId="0" applyNumberFormat="1"/>
    <xf numFmtId="0" fontId="6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0" xfId="2" applyBorder="1"/>
    <xf numFmtId="0" fontId="12" fillId="0" borderId="10" xfId="0" applyFont="1" applyBorder="1"/>
    <xf numFmtId="0" fontId="0" fillId="0" borderId="12" xfId="0" applyBorder="1"/>
    <xf numFmtId="0" fontId="0" fillId="3" borderId="13" xfId="0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166" fontId="0" fillId="3" borderId="14" xfId="1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9" fontId="0" fillId="3" borderId="14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170" fontId="0" fillId="3" borderId="14" xfId="1" applyNumberFormat="1" applyFont="1" applyFill="1" applyBorder="1" applyAlignment="1">
      <alignment horizontal="center"/>
    </xf>
    <xf numFmtId="171" fontId="6" fillId="2" borderId="0" xfId="0" applyNumberFormat="1" applyFont="1" applyFill="1"/>
    <xf numFmtId="0" fontId="1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3" fillId="0" borderId="0" xfId="0" applyFont="1"/>
    <xf numFmtId="9" fontId="13" fillId="0" borderId="0" xfId="1" applyFont="1"/>
    <xf numFmtId="170" fontId="0" fillId="3" borderId="14" xfId="1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5" borderId="2" xfId="0" applyFont="1" applyFill="1" applyBorder="1"/>
    <xf numFmtId="168" fontId="2" fillId="5" borderId="2" xfId="0" applyNumberFormat="1" applyFont="1" applyFill="1" applyBorder="1"/>
    <xf numFmtId="168" fontId="2" fillId="5" borderId="3" xfId="0" applyNumberFormat="1" applyFont="1" applyFill="1" applyBorder="1"/>
    <xf numFmtId="170" fontId="13" fillId="0" borderId="0" xfId="1" applyNumberFormat="1" applyFont="1"/>
    <xf numFmtId="170" fontId="13" fillId="0" borderId="0" xfId="0" applyNumberFormat="1" applyFont="1"/>
    <xf numFmtId="169" fontId="2" fillId="5" borderId="4" xfId="0" applyNumberFormat="1" applyFont="1" applyFill="1" applyBorder="1"/>
    <xf numFmtId="169" fontId="2" fillId="5" borderId="5" xfId="0" applyNumberFormat="1" applyFont="1" applyFill="1" applyBorder="1"/>
    <xf numFmtId="168" fontId="2" fillId="5" borderId="5" xfId="0" applyNumberFormat="1" applyFont="1" applyFill="1" applyBorder="1"/>
    <xf numFmtId="168" fontId="2" fillId="5" borderId="6" xfId="0" applyNumberFormat="1" applyFont="1" applyFill="1" applyBorder="1"/>
    <xf numFmtId="169" fontId="2" fillId="5" borderId="9" xfId="0" applyNumberFormat="1" applyFont="1" applyFill="1" applyBorder="1"/>
    <xf numFmtId="169" fontId="2" fillId="5" borderId="10" xfId="0" applyNumberFormat="1" applyFont="1" applyFill="1" applyBorder="1"/>
    <xf numFmtId="168" fontId="2" fillId="5" borderId="10" xfId="0" applyNumberFormat="1" applyFont="1" applyFill="1" applyBorder="1"/>
    <xf numFmtId="168" fontId="2" fillId="5" borderId="11" xfId="0" applyNumberFormat="1" applyFont="1" applyFill="1" applyBorder="1"/>
    <xf numFmtId="169" fontId="0" fillId="0" borderId="10" xfId="0" applyNumberFormat="1" applyBorder="1"/>
    <xf numFmtId="169" fontId="0" fillId="0" borderId="10" xfId="0" applyNumberFormat="1" applyBorder="1" applyAlignment="1">
      <alignment horizontal="right"/>
    </xf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6" borderId="4" xfId="0" applyFill="1" applyBorder="1"/>
    <xf numFmtId="2" fontId="14" fillId="6" borderId="5" xfId="0" applyNumberFormat="1" applyFont="1" applyFill="1" applyBorder="1"/>
    <xf numFmtId="170" fontId="6" fillId="6" borderId="5" xfId="0" applyNumberFormat="1" applyFont="1" applyFill="1" applyBorder="1"/>
    <xf numFmtId="170" fontId="6" fillId="6" borderId="0" xfId="0" applyNumberFormat="1" applyFont="1" applyFill="1"/>
    <xf numFmtId="172" fontId="0" fillId="0" borderId="0" xfId="0" applyNumberFormat="1"/>
    <xf numFmtId="172" fontId="2" fillId="0" borderId="0" xfId="0" applyNumberFormat="1" applyFont="1"/>
    <xf numFmtId="16" fontId="0" fillId="3" borderId="14" xfId="0" applyNumberFormat="1" applyFill="1" applyBorder="1" applyAlignment="1">
      <alignment horizontal="center"/>
    </xf>
    <xf numFmtId="4" fontId="0" fillId="0" borderId="0" xfId="0" applyNumberFormat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600074</xdr:colOff>
      <xdr:row>19</xdr:row>
      <xdr:rowOff>190499</xdr:rowOff>
    </xdr:from>
    <xdr:to>
      <xdr:col>13</xdr:col>
      <xdr:colOff>329</xdr:colOff>
      <xdr:row>29</xdr:row>
      <xdr:rowOff>109537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8608E-F01D-269B-1795-AE3A2318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099" y="3809999"/>
          <a:ext cx="4277055" cy="1824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4763</xdr:colOff>
      <xdr:row>0</xdr:row>
      <xdr:rowOff>157163</xdr:rowOff>
    </xdr:from>
    <xdr:to>
      <xdr:col>12</xdr:col>
      <xdr:colOff>14288</xdr:colOff>
      <xdr:row>46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3FF6414-BA60-EBDC-F3B1-BAA18A094F0A}"/>
            </a:ext>
          </a:extLst>
        </xdr:cNvPr>
        <xdr:cNvCxnSpPr/>
      </xdr:nvCxnSpPr>
      <xdr:spPr>
        <a:xfrm flipH="1">
          <a:off x="8015288" y="157163"/>
          <a:ext cx="9525" cy="8701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4772</xdr:colOff>
      <xdr:row>1</xdr:row>
      <xdr:rowOff>9526</xdr:rowOff>
    </xdr:from>
    <xdr:to>
      <xdr:col>22</xdr:col>
      <xdr:colOff>14297</xdr:colOff>
      <xdr:row>46</xdr:row>
      <xdr:rowOff>138113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C922264-9CEB-4DB8-9F1F-6E6F762F8DC1}"/>
            </a:ext>
          </a:extLst>
        </xdr:cNvPr>
        <xdr:cNvCxnSpPr/>
      </xdr:nvCxnSpPr>
      <xdr:spPr>
        <a:xfrm flipH="1">
          <a:off x="14111297" y="200026"/>
          <a:ext cx="9525" cy="8701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14CAE7B-30B0-4EA1-A8DC-1E22B4A36D82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639290D8-F7CF-4759-87EE-92EB30C9B5D0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02" dT="2025-04-16T16:22:27.95" personId="{639290D8-F7CF-4759-87EE-92EB30C9B5D0}" id="{00FCACC7-419A-4BE6-9120-71F40502A3D1}">
    <text>Acqusition of HEYDUDE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crocs.com/overview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B2D-B359-487B-8CEA-5CA0DA6B29B3}">
  <dimension ref="A1:I25"/>
  <sheetViews>
    <sheetView tabSelected="1" zoomScale="200" zoomScaleNormal="200" workbookViewId="0">
      <selection activeCell="C26" sqref="C26"/>
    </sheetView>
  </sheetViews>
  <sheetFormatPr defaultRowHeight="15" x14ac:dyDescent="0.25"/>
  <cols>
    <col min="1" max="1" width="4.42578125" customWidth="1"/>
    <col min="3" max="3" width="8.140625" bestFit="1" customWidth="1"/>
    <col min="4" max="4" width="29.28515625" bestFit="1" customWidth="1"/>
  </cols>
  <sheetData>
    <row r="1" spans="1:9" x14ac:dyDescent="0.25">
      <c r="A1" s="1" t="s">
        <v>0</v>
      </c>
    </row>
    <row r="2" spans="1:9" x14ac:dyDescent="0.25">
      <c r="A2" t="s">
        <v>42</v>
      </c>
      <c r="G2" t="s">
        <v>2</v>
      </c>
      <c r="H2" s="4">
        <v>55.783000000000001</v>
      </c>
    </row>
    <row r="3" spans="1:9" x14ac:dyDescent="0.25">
      <c r="G3" t="s">
        <v>3</v>
      </c>
      <c r="H3" s="4">
        <v>56.11</v>
      </c>
      <c r="I3" s="3" t="s">
        <v>333</v>
      </c>
    </row>
    <row r="4" spans="1:9" x14ac:dyDescent="0.25">
      <c r="B4" t="s">
        <v>1</v>
      </c>
      <c r="G4" t="s">
        <v>4</v>
      </c>
      <c r="H4" s="4">
        <f>H3*H2</f>
        <v>3129.9841299999998</v>
      </c>
    </row>
    <row r="5" spans="1:9" x14ac:dyDescent="0.25">
      <c r="B5" s="2" t="s">
        <v>117</v>
      </c>
      <c r="G5" t="s">
        <v>5</v>
      </c>
      <c r="H5" s="4">
        <v>200.61099999999999</v>
      </c>
      <c r="I5" s="3" t="s">
        <v>333</v>
      </c>
    </row>
    <row r="6" spans="1:9" x14ac:dyDescent="0.25">
      <c r="G6" t="s">
        <v>6</v>
      </c>
      <c r="H6" s="4">
        <v>1379.1120000000001</v>
      </c>
      <c r="I6" s="3" t="s">
        <v>333</v>
      </c>
    </row>
    <row r="7" spans="1:9" x14ac:dyDescent="0.25">
      <c r="B7" s="13" t="s">
        <v>122</v>
      </c>
      <c r="C7" s="14" t="s">
        <v>125</v>
      </c>
      <c r="D7" s="14" t="s">
        <v>126</v>
      </c>
      <c r="E7" s="15" t="s">
        <v>127</v>
      </c>
      <c r="G7" t="s">
        <v>7</v>
      </c>
      <c r="H7" s="4">
        <f>H4+H6-H5</f>
        <v>4308.48513</v>
      </c>
    </row>
    <row r="8" spans="1:9" x14ac:dyDescent="0.25">
      <c r="B8" s="16" t="s">
        <v>123</v>
      </c>
      <c r="C8" s="24">
        <v>0.79909329544712138</v>
      </c>
      <c r="D8" s="17" t="s">
        <v>306</v>
      </c>
      <c r="E8" s="18">
        <v>390</v>
      </c>
    </row>
    <row r="9" spans="1:9" x14ac:dyDescent="0.25">
      <c r="B9" s="19" t="s">
        <v>124</v>
      </c>
      <c r="C9" s="25">
        <v>0.20090670455287862</v>
      </c>
      <c r="D9" t="s">
        <v>307</v>
      </c>
      <c r="E9" s="20">
        <v>52</v>
      </c>
      <c r="G9" t="s">
        <v>308</v>
      </c>
      <c r="H9">
        <v>2002</v>
      </c>
    </row>
    <row r="10" spans="1:9" x14ac:dyDescent="0.25">
      <c r="B10" s="21"/>
      <c r="C10" s="22"/>
      <c r="D10" s="22"/>
      <c r="E10" s="23"/>
      <c r="G10" t="s">
        <v>309</v>
      </c>
    </row>
    <row r="12" spans="1:9" x14ac:dyDescent="0.25">
      <c r="A12" s="30" t="s">
        <v>132</v>
      </c>
      <c r="B12" s="12" t="s">
        <v>121</v>
      </c>
      <c r="G12" s="31" t="s">
        <v>310</v>
      </c>
    </row>
    <row r="13" spans="1:9" x14ac:dyDescent="0.25">
      <c r="B13" t="s">
        <v>305</v>
      </c>
      <c r="G13" t="s">
        <v>311</v>
      </c>
      <c r="H13" t="s">
        <v>317</v>
      </c>
    </row>
    <row r="14" spans="1:9" x14ac:dyDescent="0.25">
      <c r="B14" t="s">
        <v>324</v>
      </c>
      <c r="G14" t="s">
        <v>312</v>
      </c>
      <c r="H14" t="s">
        <v>318</v>
      </c>
    </row>
    <row r="15" spans="1:9" x14ac:dyDescent="0.25">
      <c r="B15" t="s">
        <v>328</v>
      </c>
      <c r="G15" t="s">
        <v>313</v>
      </c>
      <c r="H15" t="s">
        <v>319</v>
      </c>
    </row>
    <row r="16" spans="1:9" x14ac:dyDescent="0.25">
      <c r="B16" t="s">
        <v>329</v>
      </c>
      <c r="G16" t="s">
        <v>313</v>
      </c>
      <c r="H16" t="s">
        <v>320</v>
      </c>
    </row>
    <row r="17" spans="2:8" x14ac:dyDescent="0.25">
      <c r="B17" t="s">
        <v>325</v>
      </c>
      <c r="G17" t="s">
        <v>314</v>
      </c>
      <c r="H17" t="s">
        <v>321</v>
      </c>
    </row>
    <row r="18" spans="2:8" x14ac:dyDescent="0.25">
      <c r="B18" t="s">
        <v>326</v>
      </c>
      <c r="G18" t="s">
        <v>315</v>
      </c>
      <c r="H18" t="s">
        <v>322</v>
      </c>
    </row>
    <row r="19" spans="2:8" x14ac:dyDescent="0.25">
      <c r="B19" t="s">
        <v>327</v>
      </c>
      <c r="G19" t="s">
        <v>316</v>
      </c>
      <c r="H19" t="s">
        <v>323</v>
      </c>
    </row>
    <row r="20" spans="2:8" x14ac:dyDescent="0.25">
      <c r="B20" t="s">
        <v>331</v>
      </c>
    </row>
    <row r="21" spans="2:8" x14ac:dyDescent="0.25">
      <c r="B21" t="s">
        <v>332</v>
      </c>
    </row>
    <row r="22" spans="2:8" x14ac:dyDescent="0.25">
      <c r="B22" t="s">
        <v>336</v>
      </c>
    </row>
    <row r="23" spans="2:8" x14ac:dyDescent="0.25">
      <c r="B23" t="s">
        <v>337</v>
      </c>
    </row>
    <row r="24" spans="2:8" x14ac:dyDescent="0.25">
      <c r="B24" t="s">
        <v>338</v>
      </c>
    </row>
    <row r="25" spans="2:8" x14ac:dyDescent="0.25">
      <c r="C25" t="s">
        <v>339</v>
      </c>
    </row>
  </sheetData>
  <hyperlinks>
    <hyperlink ref="B5" r:id="rId1" xr:uid="{C049F28A-898C-4D1E-949A-12E4D0F173C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F4D1-17EF-4BB4-A228-DFF8F743CBAC}">
  <dimension ref="A1:AD296"/>
  <sheetViews>
    <sheetView zoomScale="200" zoomScaleNormal="20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L37" sqref="L37"/>
    </sheetView>
  </sheetViews>
  <sheetFormatPr defaultRowHeight="15" x14ac:dyDescent="0.25"/>
  <cols>
    <col min="1" max="1" width="4.7109375" bestFit="1" customWidth="1"/>
    <col min="2" max="2" width="24" bestFit="1" customWidth="1"/>
  </cols>
  <sheetData>
    <row r="1" spans="1:23" x14ac:dyDescent="0.25">
      <c r="A1" s="2" t="s">
        <v>8</v>
      </c>
    </row>
    <row r="2" spans="1:23" x14ac:dyDescent="0.25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330</v>
      </c>
      <c r="L2" s="3" t="s">
        <v>333</v>
      </c>
      <c r="M2" s="3" t="s">
        <v>334</v>
      </c>
      <c r="N2" s="3" t="s">
        <v>335</v>
      </c>
      <c r="O2" s="3"/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</row>
    <row r="3" spans="1:23" x14ac:dyDescent="0.25">
      <c r="B3" t="s">
        <v>43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v>383</v>
      </c>
      <c r="Q3" s="3">
        <v>367</v>
      </c>
      <c r="R3" s="3">
        <v>351</v>
      </c>
      <c r="S3" s="3">
        <v>340</v>
      </c>
      <c r="T3" s="3">
        <v>373</v>
      </c>
      <c r="U3" s="3">
        <v>349</v>
      </c>
      <c r="V3" s="3">
        <v>390</v>
      </c>
    </row>
    <row r="4" spans="1:23" x14ac:dyDescent="0.25">
      <c r="B4" t="s">
        <v>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14</v>
      </c>
      <c r="V4" s="3">
        <v>52</v>
      </c>
    </row>
    <row r="5" spans="1:23" x14ac:dyDescent="0.25">
      <c r="B5" t="s">
        <v>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f t="shared" ref="P5:U5" si="0">+P3+P4</f>
        <v>383</v>
      </c>
      <c r="Q5" s="3">
        <f t="shared" si="0"/>
        <v>367</v>
      </c>
      <c r="R5" s="3">
        <f t="shared" si="0"/>
        <v>351</v>
      </c>
      <c r="S5" s="3">
        <f t="shared" si="0"/>
        <v>340</v>
      </c>
      <c r="T5" s="3">
        <f t="shared" si="0"/>
        <v>373</v>
      </c>
      <c r="U5" s="3">
        <f t="shared" si="0"/>
        <v>363</v>
      </c>
      <c r="V5" s="3">
        <f>+V3+V4</f>
        <v>442</v>
      </c>
    </row>
    <row r="6" spans="1:23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B7" t="s">
        <v>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59.814999999999998</v>
      </c>
      <c r="Q7" s="4">
        <v>67.051000000000002</v>
      </c>
      <c r="R7" s="4">
        <v>69.087000000000003</v>
      </c>
      <c r="S7" s="4">
        <v>102.962</v>
      </c>
      <c r="T7" s="4">
        <v>115.55800000000001</v>
      </c>
      <c r="U7" s="4">
        <v>119.577</v>
      </c>
      <c r="V7" s="4">
        <v>127</v>
      </c>
      <c r="W7" s="4"/>
    </row>
    <row r="8" spans="1:23" x14ac:dyDescent="0.25">
      <c r="B8" t="s">
        <v>47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9" t="s">
        <v>120</v>
      </c>
      <c r="Q8" s="9" t="s">
        <v>120</v>
      </c>
      <c r="R8" s="9" t="s">
        <v>120</v>
      </c>
      <c r="S8" s="9" t="s">
        <v>120</v>
      </c>
      <c r="T8" s="4">
        <v>30.518999999999998</v>
      </c>
      <c r="U8" s="4">
        <v>32.969000000000001</v>
      </c>
      <c r="V8" s="4">
        <v>26.95</v>
      </c>
      <c r="W8" s="4"/>
    </row>
    <row r="9" spans="1:23" x14ac:dyDescent="0.25">
      <c r="B9" t="s">
        <v>48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>
        <v>17.71</v>
      </c>
      <c r="Q9" s="4">
        <v>18.21</v>
      </c>
      <c r="R9" s="4">
        <v>19.91</v>
      </c>
      <c r="S9" s="4">
        <v>22.27</v>
      </c>
      <c r="T9" s="4">
        <v>22.72</v>
      </c>
      <c r="U9" s="4">
        <v>24.92</v>
      </c>
      <c r="V9" s="4">
        <v>25.52</v>
      </c>
      <c r="W9" s="4"/>
    </row>
    <row r="10" spans="1:23" x14ac:dyDescent="0.25">
      <c r="B10" t="s">
        <v>49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9" t="s">
        <v>120</v>
      </c>
      <c r="Q10" s="9" t="s">
        <v>120</v>
      </c>
      <c r="R10" s="9" t="s">
        <v>120</v>
      </c>
      <c r="S10" s="9" t="s">
        <v>120</v>
      </c>
      <c r="T10" s="4">
        <v>29.35</v>
      </c>
      <c r="U10" s="4">
        <v>28.8</v>
      </c>
      <c r="V10" s="4">
        <v>30.54</v>
      </c>
      <c r="W10" s="4"/>
    </row>
    <row r="11" spans="1:23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B12" t="s">
        <v>118</v>
      </c>
      <c r="C12" s="4">
        <v>351.30900000000003</v>
      </c>
      <c r="D12" s="4">
        <v>474.55799999999999</v>
      </c>
      <c r="E12" s="4">
        <v>480.74400000000003</v>
      </c>
      <c r="F12" s="4">
        <f>+U12-SUM(C12:E12)</f>
        <v>471.27400000000011</v>
      </c>
      <c r="G12" s="4">
        <v>382.91300000000001</v>
      </c>
      <c r="H12" s="4">
        <v>488.71499999999997</v>
      </c>
      <c r="I12" s="4">
        <v>490.81700000000001</v>
      </c>
      <c r="J12" s="4">
        <f>+V12-SUM(G12:I12)</f>
        <v>470.97700000000009</v>
      </c>
      <c r="K12" s="4">
        <v>368.517</v>
      </c>
      <c r="L12" s="4">
        <v>457.13</v>
      </c>
      <c r="M12" s="4"/>
      <c r="N12" s="4"/>
      <c r="O12" s="4"/>
      <c r="P12" s="4">
        <f>216.797+204.806+98.589</f>
        <v>520.19200000000001</v>
      </c>
      <c r="Q12" s="4">
        <f>275.284+241.694+123.537</f>
        <v>640.51499999999999</v>
      </c>
      <c r="R12" s="4">
        <f>390.93+249.238+223.445</f>
        <v>863.61300000000006</v>
      </c>
      <c r="S12" s="4">
        <v>1553.8910000000001</v>
      </c>
      <c r="T12" s="4">
        <v>1644.6559999999999</v>
      </c>
      <c r="U12" s="4">
        <v>1777.885</v>
      </c>
      <c r="V12" s="4">
        <v>1833.422</v>
      </c>
      <c r="W12" s="4"/>
    </row>
    <row r="13" spans="1:23" x14ac:dyDescent="0.25">
      <c r="B13" t="s">
        <v>119</v>
      </c>
      <c r="C13" s="4">
        <v>297.46899999999999</v>
      </c>
      <c r="D13" s="4">
        <v>358.392</v>
      </c>
      <c r="E13" s="4">
        <v>318.02499999999998</v>
      </c>
      <c r="F13" s="4">
        <f>+U13-SUM(C13:E13)</f>
        <v>261.18299999999999</v>
      </c>
      <c r="G13" s="4">
        <v>360.90300000000002</v>
      </c>
      <c r="H13" s="4">
        <v>425.274</v>
      </c>
      <c r="I13" s="4">
        <v>367.28100000000001</v>
      </c>
      <c r="J13" s="4">
        <f>+V13-SUM(G13:I13)</f>
        <v>291.08699999999999</v>
      </c>
      <c r="K13" s="4">
        <v>393.09100000000001</v>
      </c>
      <c r="L13" s="4">
        <v>502.46</v>
      </c>
      <c r="M13" s="4"/>
      <c r="N13" s="4"/>
      <c r="O13" s="4"/>
      <c r="P13" s="4">
        <v>568.01299999999992</v>
      </c>
      <c r="Q13" s="4">
        <v>590.07800000000009</v>
      </c>
      <c r="R13" s="4">
        <v>522.33799999999997</v>
      </c>
      <c r="S13" s="4">
        <f>350.16+409.278+0.087</f>
        <v>759.52500000000009</v>
      </c>
      <c r="T13" s="4">
        <v>1014.4690000000001</v>
      </c>
      <c r="U13" s="4">
        <v>1235.069</v>
      </c>
      <c r="V13" s="4">
        <v>1444.5450000000001</v>
      </c>
      <c r="W13" s="4"/>
    </row>
    <row r="14" spans="1:23" x14ac:dyDescent="0.25">
      <c r="B14" t="s">
        <v>50</v>
      </c>
      <c r="C14" s="4">
        <v>743.81600000000003</v>
      </c>
      <c r="D14" s="4">
        <v>832.95</v>
      </c>
      <c r="E14" s="4">
        <v>798.76900000000001</v>
      </c>
      <c r="F14" s="4">
        <f>+U14-SUM(C14:E14)</f>
        <v>637.41900000000032</v>
      </c>
      <c r="G14" s="4">
        <v>648.77800000000002</v>
      </c>
      <c r="H14" s="4">
        <v>913.98900000000003</v>
      </c>
      <c r="I14" s="4">
        <v>858.09799999999996</v>
      </c>
      <c r="J14" s="4">
        <f>+V14-SUM(G14:I14)</f>
        <v>857.10200000000032</v>
      </c>
      <c r="K14" s="4">
        <v>761.60799999999995</v>
      </c>
      <c r="L14" s="4">
        <f>+L12+L13</f>
        <v>959.58999999999992</v>
      </c>
      <c r="M14" s="4"/>
      <c r="N14" s="4"/>
      <c r="O14" s="4"/>
      <c r="P14" s="4">
        <v>1088.2049999999999</v>
      </c>
      <c r="Q14" s="4">
        <v>1230.5930000000001</v>
      </c>
      <c r="R14" s="4">
        <v>1385.951</v>
      </c>
      <c r="S14" s="4">
        <f>+S18</f>
        <v>2313.4160000000002</v>
      </c>
      <c r="T14" s="4">
        <v>2659.125</v>
      </c>
      <c r="U14" s="4">
        <v>3012.9540000000002</v>
      </c>
      <c r="V14" s="4">
        <v>3277.9670000000001</v>
      </c>
      <c r="W14" s="4"/>
    </row>
    <row r="15" spans="1:23" x14ac:dyDescent="0.25">
      <c r="B15" t="s">
        <v>51</v>
      </c>
      <c r="C15" s="4">
        <v>194.81700000000001</v>
      </c>
      <c r="D15" s="4">
        <v>239.417</v>
      </c>
      <c r="E15" s="4">
        <v>246.94800000000001</v>
      </c>
      <c r="F15" s="4">
        <f t="shared" ref="F15:F28" si="1">+U15-SUM(C15:E15)</f>
        <v>268.21100000000001</v>
      </c>
      <c r="G15" s="4">
        <v>235.38800000000001</v>
      </c>
      <c r="H15" s="4">
        <v>197.51300000000001</v>
      </c>
      <c r="I15" s="4">
        <v>204.102</v>
      </c>
      <c r="J15" s="4">
        <f t="shared" ref="J15:J28" si="2">+V15-SUM(G15:I15)</f>
        <v>187.13799999999992</v>
      </c>
      <c r="K15" s="4">
        <v>175.72499999999999</v>
      </c>
      <c r="L15" s="4">
        <v>189.78299999999999</v>
      </c>
      <c r="M15" s="4"/>
      <c r="N15" s="4"/>
      <c r="O15" s="4"/>
      <c r="P15" s="9" t="s">
        <v>120</v>
      </c>
      <c r="Q15" s="9" t="s">
        <v>120</v>
      </c>
      <c r="R15" s="9" t="s">
        <v>120</v>
      </c>
      <c r="S15" s="9" t="s">
        <v>120</v>
      </c>
      <c r="T15" s="4">
        <v>895.86</v>
      </c>
      <c r="U15" s="4">
        <v>949.39300000000003</v>
      </c>
      <c r="V15" s="4">
        <v>824.14099999999996</v>
      </c>
      <c r="W15" s="4"/>
    </row>
    <row r="16" spans="1:23" x14ac:dyDescent="0.25">
      <c r="B16" t="s">
        <v>52</v>
      </c>
      <c r="C16" s="4">
        <f>462.002+134.753</f>
        <v>596.755</v>
      </c>
      <c r="D16" s="4">
        <f>407.342+148.825</f>
        <v>556.16699999999992</v>
      </c>
      <c r="E16" s="4">
        <f>369.177+146.501</f>
        <v>515.678</v>
      </c>
      <c r="F16" s="4">
        <f t="shared" si="1"/>
        <v>391.87400000000025</v>
      </c>
      <c r="G16" s="4">
        <f>410.563+167.863</f>
        <v>578.42599999999993</v>
      </c>
      <c r="H16" s="4">
        <f>435.281+113.829</f>
        <v>549.11</v>
      </c>
      <c r="I16" s="4">
        <f>395.564+113.018</f>
        <v>508.58199999999999</v>
      </c>
      <c r="J16" s="4">
        <f t="shared" si="2"/>
        <v>427.90000000000009</v>
      </c>
      <c r="K16" s="4">
        <f>476.804+110.693</f>
        <v>587.49699999999996</v>
      </c>
      <c r="L16" s="4">
        <f>464.679+99.76</f>
        <v>564.43899999999996</v>
      </c>
      <c r="M16" s="4"/>
      <c r="N16" s="4"/>
      <c r="O16" s="4"/>
      <c r="P16" s="4">
        <v>578.04399999999998</v>
      </c>
      <c r="Q16" s="4">
        <v>656.22699999999998</v>
      </c>
      <c r="R16" s="4">
        <v>629.91899999999998</v>
      </c>
      <c r="S16" s="4">
        <v>1174.0809999999999</v>
      </c>
      <c r="T16" s="4">
        <f>1377.302+574.14</f>
        <v>1951.442</v>
      </c>
      <c r="U16" s="4">
        <f>1493.537+566.937</f>
        <v>2060.4740000000002</v>
      </c>
      <c r="V16" s="4">
        <f>1607.546+456.472</f>
        <v>2064.018</v>
      </c>
      <c r="W16" s="4"/>
    </row>
    <row r="17" spans="2:30" x14ac:dyDescent="0.25">
      <c r="B17" t="s">
        <v>53</v>
      </c>
      <c r="C17" s="4">
        <f>281.814+60.064</f>
        <v>341.87800000000004</v>
      </c>
      <c r="D17" s="4">
        <f>425.608+90.592</f>
        <v>516.20000000000005</v>
      </c>
      <c r="E17" s="4">
        <f>429.592+100.447</f>
        <v>530.03899999999999</v>
      </c>
      <c r="F17" s="4">
        <f t="shared" si="1"/>
        <v>513.75599999999986</v>
      </c>
      <c r="G17" s="4">
        <f>238.215+67.525</f>
        <v>305.74</v>
      </c>
      <c r="H17" s="4">
        <f>478.708+83.684</f>
        <v>562.39200000000005</v>
      </c>
      <c r="I17" s="4">
        <f>462.534+91.084</f>
        <v>553.61799999999994</v>
      </c>
      <c r="J17" s="4">
        <f t="shared" si="2"/>
        <v>616.34000000000015</v>
      </c>
      <c r="K17" s="4">
        <f>284.804+65.032</f>
        <v>349.83599999999996</v>
      </c>
      <c r="L17" s="4">
        <f>494.911+90.023</f>
        <v>584.93399999999997</v>
      </c>
      <c r="M17" s="4"/>
      <c r="N17" s="4"/>
      <c r="O17" s="4"/>
      <c r="P17" s="4">
        <v>510.16099999999994</v>
      </c>
      <c r="Q17" s="4">
        <f>347.362+226.004</f>
        <v>573.36599999999999</v>
      </c>
      <c r="R17" s="4">
        <f>334.016+359.016</f>
        <v>693.03200000000004</v>
      </c>
      <c r="S17" s="4">
        <v>1139.335</v>
      </c>
      <c r="T17" s="4">
        <f>1291.823+321.72</f>
        <v>1613.5430000000001</v>
      </c>
      <c r="U17" s="4">
        <f>1519.417+382.456</f>
        <v>1901.873</v>
      </c>
      <c r="V17" s="4">
        <f>1670.421+367.669</f>
        <v>2038.0900000000001</v>
      </c>
      <c r="W17" s="4"/>
    </row>
    <row r="18" spans="2:30" x14ac:dyDescent="0.25">
      <c r="B18" s="1" t="s">
        <v>24</v>
      </c>
      <c r="C18" s="5">
        <v>884.16600000000005</v>
      </c>
      <c r="D18" s="5">
        <v>1072.367</v>
      </c>
      <c r="E18" s="5">
        <v>1045.7170000000001</v>
      </c>
      <c r="F18" s="5">
        <f t="shared" si="1"/>
        <v>960.09700000000021</v>
      </c>
      <c r="G18" s="5">
        <v>938.63300000000004</v>
      </c>
      <c r="H18" s="5">
        <v>1111.502</v>
      </c>
      <c r="I18" s="5">
        <v>1062.2</v>
      </c>
      <c r="J18" s="5">
        <f t="shared" si="2"/>
        <v>989.77300000000014</v>
      </c>
      <c r="K18" s="5">
        <v>937.33299999999997</v>
      </c>
      <c r="L18" s="5">
        <v>1149.373</v>
      </c>
      <c r="M18" s="5"/>
      <c r="N18" s="5"/>
      <c r="O18" s="5"/>
      <c r="P18" s="5">
        <v>1088.2049999999999</v>
      </c>
      <c r="Q18" s="5">
        <v>1230.5930000000001</v>
      </c>
      <c r="R18" s="5">
        <v>1385.951</v>
      </c>
      <c r="S18" s="5">
        <v>2313.4160000000002</v>
      </c>
      <c r="T18" s="5">
        <v>3554.9850000000001</v>
      </c>
      <c r="U18" s="5">
        <v>3962.3470000000002</v>
      </c>
      <c r="V18" s="5">
        <v>4102.1080000000002</v>
      </c>
      <c r="W18" s="1"/>
      <c r="X18" s="1"/>
      <c r="Y18" s="1"/>
      <c r="Z18" s="1"/>
      <c r="AA18" s="1"/>
      <c r="AB18" s="1"/>
      <c r="AC18" s="1"/>
      <c r="AD18" s="1"/>
    </row>
    <row r="19" spans="2:30" x14ac:dyDescent="0.25">
      <c r="B19" t="s">
        <v>25</v>
      </c>
      <c r="C19" s="4">
        <v>407.79599999999999</v>
      </c>
      <c r="D19" s="4">
        <v>451.06</v>
      </c>
      <c r="E19" s="4">
        <v>464.08100000000002</v>
      </c>
      <c r="F19" s="4">
        <f t="shared" si="1"/>
        <v>429.40000000000009</v>
      </c>
      <c r="G19" s="4">
        <v>416.55599999999998</v>
      </c>
      <c r="H19" s="4">
        <v>429.58600000000001</v>
      </c>
      <c r="I19" s="4">
        <v>428.86099999999999</v>
      </c>
      <c r="J19" s="4">
        <f t="shared" si="2"/>
        <v>416.84699999999975</v>
      </c>
      <c r="K19" s="4">
        <v>395.78399999999999</v>
      </c>
      <c r="L19" s="4">
        <v>440.53699999999998</v>
      </c>
      <c r="M19" s="4"/>
      <c r="N19" s="4"/>
      <c r="O19" s="4"/>
      <c r="P19" s="4">
        <v>528.05100000000004</v>
      </c>
      <c r="Q19" s="4">
        <v>613.53700000000003</v>
      </c>
      <c r="R19" s="4">
        <v>636.00300000000004</v>
      </c>
      <c r="S19" s="4">
        <v>893.19600000000003</v>
      </c>
      <c r="T19" s="4">
        <v>1694.703</v>
      </c>
      <c r="U19" s="4">
        <v>1752.337</v>
      </c>
      <c r="V19" s="4">
        <v>1691.85</v>
      </c>
    </row>
    <row r="20" spans="2:30" x14ac:dyDescent="0.25">
      <c r="B20" t="s">
        <v>26</v>
      </c>
      <c r="C20" s="4">
        <f t="shared" ref="C20:F20" si="3">C18-C19</f>
        <v>476.37000000000006</v>
      </c>
      <c r="D20" s="4">
        <f t="shared" si="3"/>
        <v>621.30700000000002</v>
      </c>
      <c r="E20" s="4">
        <f t="shared" si="3"/>
        <v>581.63600000000008</v>
      </c>
      <c r="F20" s="4">
        <f t="shared" si="3"/>
        <v>530.69700000000012</v>
      </c>
      <c r="G20" s="4">
        <f>G18-G19</f>
        <v>522.077</v>
      </c>
      <c r="H20" s="4">
        <f t="shared" ref="H20:L20" si="4">H18-H19</f>
        <v>681.91599999999994</v>
      </c>
      <c r="I20" s="4">
        <f t="shared" si="4"/>
        <v>633.33900000000006</v>
      </c>
      <c r="J20" s="4">
        <f t="shared" si="4"/>
        <v>572.92600000000039</v>
      </c>
      <c r="K20" s="4">
        <f t="shared" si="4"/>
        <v>541.54899999999998</v>
      </c>
      <c r="L20" s="4">
        <f t="shared" si="4"/>
        <v>708.83600000000001</v>
      </c>
      <c r="M20" s="4"/>
      <c r="N20" s="4"/>
      <c r="O20" s="4"/>
      <c r="P20" s="4">
        <f t="shared" ref="P20:T20" si="5">+P18-P19</f>
        <v>560.15399999999988</v>
      </c>
      <c r="Q20" s="4">
        <f t="shared" si="5"/>
        <v>617.05600000000004</v>
      </c>
      <c r="R20" s="4">
        <f t="shared" si="5"/>
        <v>749.94799999999998</v>
      </c>
      <c r="S20" s="4">
        <f t="shared" si="5"/>
        <v>1420.2200000000003</v>
      </c>
      <c r="T20" s="4">
        <f t="shared" si="5"/>
        <v>1860.2820000000002</v>
      </c>
      <c r="U20" s="4">
        <f>+U18-U19</f>
        <v>2210.0100000000002</v>
      </c>
      <c r="V20" s="4">
        <f t="shared" ref="V20" si="6">+V18-V19</f>
        <v>2410.2580000000003</v>
      </c>
    </row>
    <row r="21" spans="2:30" x14ac:dyDescent="0.25">
      <c r="B21" t="s">
        <v>27</v>
      </c>
      <c r="C21" s="4">
        <v>241.44200000000001</v>
      </c>
      <c r="D21" s="4">
        <v>302.81799999999998</v>
      </c>
      <c r="E21" s="4">
        <v>307.78399999999999</v>
      </c>
      <c r="F21" s="4">
        <f t="shared" si="1"/>
        <v>321.18300000000011</v>
      </c>
      <c r="G21" s="4">
        <v>295.64800000000002</v>
      </c>
      <c r="H21" s="4">
        <v>356.178</v>
      </c>
      <c r="I21" s="4">
        <v>363.51</v>
      </c>
      <c r="J21" s="4">
        <f t="shared" si="2"/>
        <v>373.01099999999997</v>
      </c>
      <c r="K21" s="4">
        <v>318.57499999999999</v>
      </c>
      <c r="L21" s="4">
        <v>1136.3520000000001</v>
      </c>
      <c r="M21" s="4"/>
      <c r="N21" s="4"/>
      <c r="O21" s="4"/>
      <c r="P21" s="4">
        <f>495.028+2.182</f>
        <v>497.21000000000004</v>
      </c>
      <c r="Q21" s="4">
        <v>488.40699999999998</v>
      </c>
      <c r="R21" s="4">
        <f>514.753+21.071</f>
        <v>535.82400000000007</v>
      </c>
      <c r="S21" s="4">
        <v>737.15599999999995</v>
      </c>
      <c r="T21" s="4">
        <v>1009.526</v>
      </c>
      <c r="U21" s="4">
        <v>1173.2270000000001</v>
      </c>
      <c r="V21" s="4">
        <v>1388.347</v>
      </c>
    </row>
    <row r="22" spans="2:30" x14ac:dyDescent="0.25">
      <c r="B22" t="s">
        <v>28</v>
      </c>
      <c r="C22" s="4">
        <f t="shared" ref="C22:F22" si="7">C20-C21</f>
        <v>234.92800000000005</v>
      </c>
      <c r="D22" s="4">
        <f t="shared" si="7"/>
        <v>318.48900000000003</v>
      </c>
      <c r="E22" s="4">
        <f t="shared" si="7"/>
        <v>273.85200000000009</v>
      </c>
      <c r="F22" s="4">
        <f t="shared" si="7"/>
        <v>209.51400000000001</v>
      </c>
      <c r="G22" s="4">
        <f>G20-G21</f>
        <v>226.42899999999997</v>
      </c>
      <c r="H22" s="4">
        <f t="shared" ref="H22:L22" si="8">H20-H21</f>
        <v>325.73799999999994</v>
      </c>
      <c r="I22" s="4">
        <f t="shared" si="8"/>
        <v>269.82900000000006</v>
      </c>
      <c r="J22" s="4">
        <f t="shared" si="8"/>
        <v>199.91500000000042</v>
      </c>
      <c r="K22" s="4">
        <f t="shared" si="8"/>
        <v>222.97399999999999</v>
      </c>
      <c r="L22" s="4">
        <f t="shared" si="8"/>
        <v>-427.51600000000008</v>
      </c>
      <c r="M22" s="4"/>
      <c r="N22" s="4"/>
      <c r="O22" s="4"/>
      <c r="P22" s="4">
        <f t="shared" ref="P22:T22" si="9">+P20-P21</f>
        <v>62.943999999999846</v>
      </c>
      <c r="Q22" s="4">
        <f t="shared" si="9"/>
        <v>128.64900000000006</v>
      </c>
      <c r="R22" s="4">
        <f t="shared" si="9"/>
        <v>214.12399999999991</v>
      </c>
      <c r="S22" s="4">
        <f t="shared" si="9"/>
        <v>683.06400000000031</v>
      </c>
      <c r="T22" s="4">
        <f t="shared" si="9"/>
        <v>850.7560000000002</v>
      </c>
      <c r="U22" s="4">
        <f>+U20-U21</f>
        <v>1036.7830000000001</v>
      </c>
      <c r="V22" s="4">
        <f>+V20-V21</f>
        <v>1021.9110000000003</v>
      </c>
    </row>
    <row r="23" spans="2:30" x14ac:dyDescent="0.25">
      <c r="B23" t="s">
        <v>30</v>
      </c>
      <c r="C23" s="4">
        <v>0.40300000000000002</v>
      </c>
      <c r="D23" s="4">
        <v>-0.55100000000000005</v>
      </c>
      <c r="E23" s="4">
        <v>1.77</v>
      </c>
      <c r="F23" s="4">
        <f t="shared" si="1"/>
        <v>-0.3819999999999999</v>
      </c>
      <c r="G23" s="4">
        <v>2.2730000000000001</v>
      </c>
      <c r="H23" s="4">
        <v>1.323</v>
      </c>
      <c r="I23" s="4">
        <v>0.33200000000000002</v>
      </c>
      <c r="J23" s="4">
        <f t="shared" si="2"/>
        <v>2.8490000000000002</v>
      </c>
      <c r="K23" s="4">
        <v>-4.8730000000000002</v>
      </c>
      <c r="L23" s="4">
        <v>-0.434</v>
      </c>
      <c r="M23" s="4"/>
      <c r="N23" s="4"/>
      <c r="O23" s="4"/>
      <c r="P23" s="4">
        <v>-1.3180000000000001</v>
      </c>
      <c r="Q23" s="4">
        <v>1.323</v>
      </c>
      <c r="R23" s="4">
        <v>1.1279999999999999</v>
      </c>
      <c r="S23" s="4">
        <v>0.14000000000000001</v>
      </c>
      <c r="T23" s="4">
        <v>-3.2280000000000002</v>
      </c>
      <c r="U23" s="4">
        <v>1.24</v>
      </c>
      <c r="V23" s="4">
        <v>6.7770000000000001</v>
      </c>
    </row>
    <row r="24" spans="2:30" x14ac:dyDescent="0.25">
      <c r="B24" t="s">
        <v>31</v>
      </c>
      <c r="C24" s="4">
        <v>0.17100000000000001</v>
      </c>
      <c r="D24" s="4">
        <v>0.54800000000000004</v>
      </c>
      <c r="E24" s="4">
        <v>0.50600000000000001</v>
      </c>
      <c r="F24" s="4">
        <f t="shared" si="1"/>
        <v>1.181</v>
      </c>
      <c r="G24" s="4">
        <v>0.41599999999999998</v>
      </c>
      <c r="H24" s="4">
        <v>1.1259999999999999</v>
      </c>
      <c r="I24" s="4">
        <v>1.3660000000000001</v>
      </c>
      <c r="J24" s="4">
        <f t="shared" si="2"/>
        <v>0.57600000000000007</v>
      </c>
      <c r="K24" s="4">
        <v>0.33300000000000002</v>
      </c>
      <c r="L24" s="4">
        <v>0.371</v>
      </c>
      <c r="M24" s="4"/>
      <c r="N24" s="4"/>
      <c r="O24" s="4"/>
      <c r="P24" s="4">
        <v>1.2809999999999999</v>
      </c>
      <c r="Q24" s="4">
        <v>0.60099999999999998</v>
      </c>
      <c r="R24" s="4">
        <v>0.215</v>
      </c>
      <c r="S24" s="4">
        <v>0.77500000000000002</v>
      </c>
      <c r="T24" s="4">
        <v>1.02</v>
      </c>
      <c r="U24" s="4">
        <v>2.4060000000000001</v>
      </c>
      <c r="V24" s="4">
        <v>3.484</v>
      </c>
    </row>
    <row r="25" spans="2:30" x14ac:dyDescent="0.25">
      <c r="B25" t="s">
        <v>32</v>
      </c>
      <c r="C25" s="4">
        <v>42.637</v>
      </c>
      <c r="D25" s="4">
        <v>43.063000000000002</v>
      </c>
      <c r="E25" s="4">
        <v>39.207000000000001</v>
      </c>
      <c r="F25" s="4">
        <f t="shared" si="1"/>
        <v>36.443999999999988</v>
      </c>
      <c r="G25" s="4">
        <v>30.562999999999999</v>
      </c>
      <c r="H25" s="4">
        <v>29.161000000000001</v>
      </c>
      <c r="I25" s="4">
        <v>26.230399999999999</v>
      </c>
      <c r="J25" s="4">
        <f t="shared" si="2"/>
        <v>23.309599999999989</v>
      </c>
      <c r="K25" s="4">
        <v>22.765999999999998</v>
      </c>
      <c r="L25" s="4">
        <v>22.523</v>
      </c>
      <c r="M25" s="4"/>
      <c r="N25" s="4"/>
      <c r="O25" s="4"/>
      <c r="P25" s="4">
        <v>0.95499999999999996</v>
      </c>
      <c r="Q25" s="4">
        <v>8.6359999999999992</v>
      </c>
      <c r="R25" s="4">
        <v>6.742</v>
      </c>
      <c r="S25" s="4">
        <v>21.646999999999998</v>
      </c>
      <c r="T25" s="4">
        <v>136.15799999999999</v>
      </c>
      <c r="U25" s="4">
        <v>161.351</v>
      </c>
      <c r="V25" s="4">
        <v>109.264</v>
      </c>
    </row>
    <row r="26" spans="2:30" x14ac:dyDescent="0.25">
      <c r="B26" t="s">
        <v>29</v>
      </c>
      <c r="C26" s="4">
        <v>-0.29299999999999998</v>
      </c>
      <c r="D26" s="4">
        <v>0.71699999999999997</v>
      </c>
      <c r="E26" s="4">
        <v>2.4E-2</v>
      </c>
      <c r="F26" s="4">
        <f t="shared" si="1"/>
        <v>-0.77400000000000002</v>
      </c>
      <c r="G26" s="4">
        <v>0.02</v>
      </c>
      <c r="H26" s="4">
        <v>4.4999999999999998E-2</v>
      </c>
      <c r="I26" s="4">
        <v>0.23699999999999999</v>
      </c>
      <c r="J26" s="4">
        <f t="shared" si="2"/>
        <v>0.92900000000000005</v>
      </c>
      <c r="K26" s="4">
        <v>-0.47499999999999998</v>
      </c>
      <c r="L26" s="4">
        <v>0.627</v>
      </c>
      <c r="M26" s="4"/>
      <c r="N26" s="4"/>
      <c r="O26" s="4"/>
      <c r="P26" s="4">
        <v>0.56899999999999995</v>
      </c>
      <c r="Q26" s="4">
        <v>3.1E-2</v>
      </c>
      <c r="R26" s="4">
        <v>0.51</v>
      </c>
      <c r="S26" s="4">
        <v>1.7969999999999999</v>
      </c>
      <c r="T26" s="4">
        <v>-0.33800000000000002</v>
      </c>
      <c r="U26" s="4">
        <v>-0.32600000000000001</v>
      </c>
      <c r="V26" s="4">
        <v>1.2310000000000001</v>
      </c>
    </row>
    <row r="27" spans="2:30" x14ac:dyDescent="0.25">
      <c r="B27" t="s">
        <v>33</v>
      </c>
      <c r="C27" s="4">
        <f t="shared" ref="C27:F27" si="10">C22-C23+C24-C25+C26</f>
        <v>191.76600000000005</v>
      </c>
      <c r="D27" s="4">
        <f t="shared" si="10"/>
        <v>277.24200000000002</v>
      </c>
      <c r="E27" s="4">
        <f t="shared" si="10"/>
        <v>233.40500000000009</v>
      </c>
      <c r="F27" s="4">
        <f t="shared" si="10"/>
        <v>173.85900000000004</v>
      </c>
      <c r="G27" s="4">
        <f>G22-G23+G24-G25+G26</f>
        <v>194.029</v>
      </c>
      <c r="H27" s="4">
        <f t="shared" ref="H27:V27" si="11">H22-H23+H24-H25+H26</f>
        <v>296.42499999999995</v>
      </c>
      <c r="I27" s="4">
        <f t="shared" si="11"/>
        <v>244.86960000000005</v>
      </c>
      <c r="J27" s="4">
        <f t="shared" si="11"/>
        <v>175.26140000000044</v>
      </c>
      <c r="K27" s="4">
        <f>K22-K23+K24-K25+K26</f>
        <v>204.93899999999999</v>
      </c>
      <c r="L27" s="4">
        <f>L22-L23+L24-L25+L26</f>
        <v>-448.60700000000008</v>
      </c>
      <c r="M27" s="4"/>
      <c r="N27" s="4"/>
      <c r="O27" s="4"/>
      <c r="P27" s="4">
        <f t="shared" si="11"/>
        <v>65.156999999999854</v>
      </c>
      <c r="Q27" s="4">
        <f t="shared" si="11"/>
        <v>119.32200000000007</v>
      </c>
      <c r="R27" s="4">
        <f t="shared" si="11"/>
        <v>206.97899999999993</v>
      </c>
      <c r="S27" s="4">
        <f t="shared" si="11"/>
        <v>663.84900000000027</v>
      </c>
      <c r="T27" s="4">
        <f t="shared" si="11"/>
        <v>718.50800000000015</v>
      </c>
      <c r="U27" s="4">
        <f t="shared" si="11"/>
        <v>876.27200000000005</v>
      </c>
      <c r="V27" s="4">
        <f t="shared" si="11"/>
        <v>910.58500000000026</v>
      </c>
    </row>
    <row r="28" spans="2:30" x14ac:dyDescent="0.25">
      <c r="B28" t="s">
        <v>35</v>
      </c>
      <c r="C28" s="4">
        <v>42.222999999999999</v>
      </c>
      <c r="D28" s="4">
        <v>64.83</v>
      </c>
      <c r="E28" s="4">
        <v>56.38</v>
      </c>
      <c r="F28" s="4">
        <f t="shared" si="1"/>
        <v>-79.72699999999999</v>
      </c>
      <c r="G28" s="4">
        <v>41.575000000000003</v>
      </c>
      <c r="H28" s="4">
        <v>67.518000000000001</v>
      </c>
      <c r="I28" s="4">
        <v>45.095999999999997</v>
      </c>
      <c r="J28" s="4">
        <f t="shared" si="2"/>
        <v>-193.67499999999998</v>
      </c>
      <c r="K28" s="4">
        <v>44.835999999999999</v>
      </c>
      <c r="L28" s="4">
        <v>43.674999999999997</v>
      </c>
      <c r="M28" s="4"/>
      <c r="N28" s="4"/>
      <c r="O28" s="4"/>
      <c r="P28" s="4">
        <f>14.72+108.224+11.429</f>
        <v>134.37299999999999</v>
      </c>
      <c r="Q28" s="4">
        <v>-0.17499999999999999</v>
      </c>
      <c r="R28" s="4">
        <v>-105.88200000000001</v>
      </c>
      <c r="S28" s="4">
        <v>-61.844999999999999</v>
      </c>
      <c r="T28" s="4">
        <v>178.34899999999999</v>
      </c>
      <c r="U28" s="4">
        <v>83.706000000000003</v>
      </c>
      <c r="V28" s="4">
        <v>-39.485999999999997</v>
      </c>
    </row>
    <row r="29" spans="2:30" x14ac:dyDescent="0.25">
      <c r="B29" t="s">
        <v>36</v>
      </c>
      <c r="C29" s="4">
        <f t="shared" ref="C29:F29" si="12">C27-C28</f>
        <v>149.54300000000006</v>
      </c>
      <c r="D29" s="4">
        <f t="shared" si="12"/>
        <v>212.41200000000003</v>
      </c>
      <c r="E29" s="4">
        <f t="shared" si="12"/>
        <v>177.02500000000009</v>
      </c>
      <c r="F29" s="4">
        <f t="shared" si="12"/>
        <v>253.58600000000001</v>
      </c>
      <c r="G29" s="4">
        <f>G27-G28</f>
        <v>152.45400000000001</v>
      </c>
      <c r="H29" s="4">
        <f t="shared" ref="H29:J29" si="13">H27-H28</f>
        <v>228.90699999999995</v>
      </c>
      <c r="I29" s="4">
        <f t="shared" si="13"/>
        <v>199.77360000000004</v>
      </c>
      <c r="J29" s="4">
        <f t="shared" si="13"/>
        <v>368.93640000000039</v>
      </c>
      <c r="K29" s="4">
        <f>K27-K28</f>
        <v>160.10300000000001</v>
      </c>
      <c r="L29" s="4">
        <f>L27-L28</f>
        <v>-492.2820000000001</v>
      </c>
      <c r="M29" s="4"/>
      <c r="N29" s="4"/>
      <c r="O29" s="4"/>
      <c r="P29" s="4">
        <f t="shared" ref="P29:U29" si="14">+P27-P28</f>
        <v>-69.216000000000136</v>
      </c>
      <c r="Q29" s="4">
        <f t="shared" si="14"/>
        <v>119.49700000000007</v>
      </c>
      <c r="R29" s="4">
        <f t="shared" si="14"/>
        <v>312.86099999999993</v>
      </c>
      <c r="S29" s="4">
        <f t="shared" si="14"/>
        <v>725.6940000000003</v>
      </c>
      <c r="T29" s="4">
        <f t="shared" si="14"/>
        <v>540.15900000000011</v>
      </c>
      <c r="U29" s="4">
        <f t="shared" si="14"/>
        <v>792.56600000000003</v>
      </c>
      <c r="V29" s="4">
        <f>+V27-V28</f>
        <v>950.07100000000025</v>
      </c>
    </row>
    <row r="30" spans="2:30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2:30" x14ac:dyDescent="0.25">
      <c r="B31" t="s">
        <v>34</v>
      </c>
      <c r="C31" s="7">
        <f>C29/C32</f>
        <v>2.4183808784526826</v>
      </c>
      <c r="D31" s="7">
        <f>D29/D32</f>
        <v>3.4239566710189089</v>
      </c>
      <c r="E31" s="7">
        <f>E29/E32</f>
        <v>2.8952619269581161</v>
      </c>
      <c r="F31" s="7">
        <f>F29/F32</f>
        <v>4.1422084286180993</v>
      </c>
      <c r="G31" s="7">
        <f>G29/G32</f>
        <v>2.5172379631464237</v>
      </c>
      <c r="H31" s="7">
        <f>+H29/H32</f>
        <v>3.7948773209549063</v>
      </c>
      <c r="I31" s="7">
        <f>+I29/I32</f>
        <v>3.3833553500660511</v>
      </c>
      <c r="J31" s="7">
        <f>+J29/J32</f>
        <v>6.2130378403866624</v>
      </c>
      <c r="K31" s="7">
        <f>+K29/K32</f>
        <v>2.8533772945998934</v>
      </c>
      <c r="L31" s="7">
        <f>+L29/L32</f>
        <v>-8.8249466683398179</v>
      </c>
      <c r="M31" s="4"/>
      <c r="N31" s="4"/>
      <c r="O31" s="4"/>
      <c r="P31" s="7">
        <f t="shared" ref="P31:S31" si="15">+P29/P32</f>
        <v>-1.0116192397071093</v>
      </c>
      <c r="Q31" s="7">
        <f t="shared" si="15"/>
        <v>1.6984379663715063</v>
      </c>
      <c r="R31" s="7">
        <f t="shared" si="15"/>
        <v>4.642818983171578</v>
      </c>
      <c r="S31" s="7">
        <f t="shared" si="15"/>
        <v>11.617795850409841</v>
      </c>
      <c r="T31" s="7">
        <f>+T29/T32</f>
        <v>8.8232440378961137</v>
      </c>
      <c r="U31" s="7">
        <f>+U29/U32</f>
        <v>12.911184960740234</v>
      </c>
      <c r="V31" s="7">
        <f>+V29/V32</f>
        <v>15.999578989912603</v>
      </c>
    </row>
    <row r="32" spans="2:30" x14ac:dyDescent="0.25">
      <c r="B32" t="s">
        <v>3</v>
      </c>
      <c r="C32" s="4">
        <v>61.835999999999999</v>
      </c>
      <c r="D32" s="4">
        <v>62.036999999999999</v>
      </c>
      <c r="E32" s="4">
        <v>61.143000000000001</v>
      </c>
      <c r="F32" s="4">
        <v>61.22</v>
      </c>
      <c r="G32" s="4">
        <v>60.564</v>
      </c>
      <c r="H32" s="4">
        <v>60.32</v>
      </c>
      <c r="I32" s="4">
        <v>59.045999999999999</v>
      </c>
      <c r="J32" s="4">
        <v>59.381</v>
      </c>
      <c r="K32" s="4">
        <v>56.11</v>
      </c>
      <c r="L32" s="4">
        <v>55.783000000000001</v>
      </c>
      <c r="M32" s="4"/>
      <c r="N32" s="4"/>
      <c r="O32" s="4"/>
      <c r="P32" s="4">
        <v>68.421000000000006</v>
      </c>
      <c r="Q32" s="4">
        <v>70.356999999999999</v>
      </c>
      <c r="R32" s="4">
        <v>67.385999999999996</v>
      </c>
      <c r="S32" s="4">
        <v>62.463999999999999</v>
      </c>
      <c r="T32" s="4">
        <v>61.22</v>
      </c>
      <c r="U32" s="4">
        <v>61.386000000000003</v>
      </c>
      <c r="V32" s="4">
        <v>59.381</v>
      </c>
    </row>
    <row r="33" spans="2:22" x14ac:dyDescent="0.25">
      <c r="D33" s="4"/>
      <c r="E33" s="4"/>
      <c r="F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22" x14ac:dyDescent="0.25">
      <c r="B34" t="s">
        <v>54</v>
      </c>
      <c r="D34" s="4"/>
      <c r="E34" s="4"/>
      <c r="F34" s="4"/>
      <c r="H34" s="4"/>
      <c r="I34" s="4"/>
      <c r="J34" s="4"/>
      <c r="K34" s="4"/>
      <c r="L34" s="4"/>
      <c r="M34" s="4"/>
      <c r="N34" s="4"/>
      <c r="O34" s="4"/>
      <c r="P34" s="10" t="s">
        <v>120</v>
      </c>
      <c r="Q34" s="6">
        <f t="shared" ref="Q34:V34" si="16">+Q3/P3-1</f>
        <v>-4.1775456919060039E-2</v>
      </c>
      <c r="R34" s="6">
        <f t="shared" si="16"/>
        <v>-4.3596730245231585E-2</v>
      </c>
      <c r="S34" s="6">
        <f t="shared" si="16"/>
        <v>-3.1339031339031376E-2</v>
      </c>
      <c r="T34" s="6">
        <f t="shared" si="16"/>
        <v>9.7058823529411864E-2</v>
      </c>
      <c r="U34" s="6">
        <f t="shared" si="16"/>
        <v>-6.4343163538874037E-2</v>
      </c>
      <c r="V34" s="6">
        <f t="shared" si="16"/>
        <v>0.11747851002865328</v>
      </c>
    </row>
    <row r="35" spans="2:22" x14ac:dyDescent="0.25">
      <c r="B35" t="s">
        <v>55</v>
      </c>
      <c r="D35" s="4"/>
      <c r="E35" s="4"/>
      <c r="F35" s="4"/>
      <c r="H35" s="4"/>
      <c r="I35" s="4"/>
      <c r="J35" s="4"/>
      <c r="K35" s="4"/>
      <c r="L35" s="4"/>
      <c r="M35" s="4"/>
      <c r="N35" s="4"/>
      <c r="O35" s="4"/>
      <c r="P35" s="10" t="s">
        <v>120</v>
      </c>
      <c r="Q35" s="10" t="s">
        <v>120</v>
      </c>
      <c r="R35" s="10" t="s">
        <v>120</v>
      </c>
      <c r="S35" s="10" t="s">
        <v>120</v>
      </c>
      <c r="T35" s="10" t="s">
        <v>120</v>
      </c>
      <c r="U35" s="6" t="e">
        <f>+U4/T4-1</f>
        <v>#DIV/0!</v>
      </c>
      <c r="V35" s="6">
        <f>+V4/U4-1</f>
        <v>2.7142857142857144</v>
      </c>
    </row>
    <row r="36" spans="2:22" x14ac:dyDescent="0.25">
      <c r="B36" t="s">
        <v>56</v>
      </c>
      <c r="D36" s="4"/>
      <c r="E36" s="4"/>
      <c r="F36" s="4"/>
      <c r="H36" s="4"/>
      <c r="I36" s="4"/>
      <c r="J36" s="4"/>
      <c r="K36" s="4"/>
      <c r="L36" s="4"/>
      <c r="M36" s="4"/>
      <c r="N36" s="4"/>
      <c r="O36" s="4"/>
      <c r="P36" s="10" t="s">
        <v>120</v>
      </c>
      <c r="Q36" s="6">
        <f t="shared" ref="Q36:V36" si="17">+Q7/P7-1</f>
        <v>0.12097300008359113</v>
      </c>
      <c r="R36" s="6">
        <f t="shared" si="17"/>
        <v>3.0364946085815303E-2</v>
      </c>
      <c r="S36" s="6">
        <f t="shared" si="17"/>
        <v>0.49032379463574904</v>
      </c>
      <c r="T36" s="6">
        <f t="shared" si="17"/>
        <v>0.1223363959519046</v>
      </c>
      <c r="U36" s="6">
        <f t="shared" si="17"/>
        <v>3.4779071981169585E-2</v>
      </c>
      <c r="V36" s="6">
        <f t="shared" si="17"/>
        <v>6.2077155305786169E-2</v>
      </c>
    </row>
    <row r="37" spans="2:22" x14ac:dyDescent="0.25">
      <c r="B37" t="s">
        <v>57</v>
      </c>
      <c r="D37" s="4"/>
      <c r="E37" s="4"/>
      <c r="F37" s="4"/>
      <c r="H37" s="4"/>
      <c r="I37" s="4"/>
      <c r="J37" s="4"/>
      <c r="K37" s="4"/>
      <c r="L37" s="4"/>
      <c r="M37" s="4"/>
      <c r="N37" s="4"/>
      <c r="O37" s="4"/>
      <c r="P37" s="10" t="s">
        <v>120</v>
      </c>
      <c r="Q37" s="10" t="s">
        <v>120</v>
      </c>
      <c r="R37" s="10" t="s">
        <v>120</v>
      </c>
      <c r="S37" s="10" t="s">
        <v>120</v>
      </c>
      <c r="T37" s="10" t="s">
        <v>120</v>
      </c>
      <c r="U37" s="6">
        <f>+U8/T8-1</f>
        <v>8.0277859693961284E-2</v>
      </c>
      <c r="V37" s="6">
        <f>+V8/U8-1</f>
        <v>-0.18256544026206445</v>
      </c>
    </row>
    <row r="38" spans="2:22" x14ac:dyDescent="0.25">
      <c r="B38" t="s">
        <v>58</v>
      </c>
      <c r="D38" s="4"/>
      <c r="E38" s="4"/>
      <c r="F38" s="4"/>
      <c r="H38" s="4"/>
      <c r="I38" s="4"/>
      <c r="J38" s="4"/>
      <c r="K38" s="4"/>
      <c r="L38" s="4"/>
      <c r="M38" s="4"/>
      <c r="N38" s="4"/>
      <c r="O38" s="4"/>
      <c r="P38" s="10" t="s">
        <v>120</v>
      </c>
      <c r="Q38" s="6">
        <f t="shared" ref="Q38:U41" si="18">+Q14/P14-1</f>
        <v>0.1308466695153947</v>
      </c>
      <c r="R38" s="6">
        <f t="shared" si="18"/>
        <v>0.12624645191383332</v>
      </c>
      <c r="S38" s="6">
        <f t="shared" si="18"/>
        <v>0.6691903249104767</v>
      </c>
      <c r="T38" s="6">
        <f t="shared" si="18"/>
        <v>0.14943659073854421</v>
      </c>
      <c r="U38" s="6">
        <f t="shared" si="18"/>
        <v>0.13306219151036536</v>
      </c>
      <c r="V38" s="6">
        <f t="shared" ref="V38:V41" si="19">+V14/U14-1</f>
        <v>8.7957864607292269E-2</v>
      </c>
    </row>
    <row r="39" spans="2:22" x14ac:dyDescent="0.25">
      <c r="B39" t="s">
        <v>59</v>
      </c>
      <c r="D39" s="4"/>
      <c r="E39" s="4"/>
      <c r="F39" s="4"/>
      <c r="H39" s="4"/>
      <c r="I39" s="4"/>
      <c r="J39" s="4"/>
      <c r="K39" s="4"/>
      <c r="L39" s="4"/>
      <c r="M39" s="4"/>
      <c r="N39" s="4"/>
      <c r="O39" s="4"/>
      <c r="P39" s="10" t="s">
        <v>120</v>
      </c>
      <c r="Q39" s="10" t="s">
        <v>120</v>
      </c>
      <c r="R39" s="10" t="s">
        <v>120</v>
      </c>
      <c r="S39" s="10" t="s">
        <v>120</v>
      </c>
      <c r="T39" s="10" t="s">
        <v>120</v>
      </c>
      <c r="U39" s="6">
        <f t="shared" si="18"/>
        <v>5.9755988658942272E-2</v>
      </c>
      <c r="V39" s="6">
        <f t="shared" si="19"/>
        <v>-0.13192850589797911</v>
      </c>
    </row>
    <row r="40" spans="2:22" x14ac:dyDescent="0.25">
      <c r="B40" t="s">
        <v>60</v>
      </c>
      <c r="D40" s="4"/>
      <c r="E40" s="4"/>
      <c r="F40" s="4"/>
      <c r="H40" s="4"/>
      <c r="I40" s="4"/>
      <c r="J40" s="4"/>
      <c r="K40" s="4"/>
      <c r="L40" s="4"/>
      <c r="M40" s="4"/>
      <c r="N40" s="4"/>
      <c r="O40" s="4"/>
      <c r="P40" s="10" t="s">
        <v>120</v>
      </c>
      <c r="Q40" s="6">
        <f t="shared" si="18"/>
        <v>0.13525440969891567</v>
      </c>
      <c r="R40" s="6">
        <f t="shared" si="18"/>
        <v>-4.008978600392854E-2</v>
      </c>
      <c r="S40" s="6">
        <f t="shared" si="18"/>
        <v>0.86386027409873312</v>
      </c>
      <c r="T40" s="6">
        <f t="shared" si="18"/>
        <v>0.66210167782291007</v>
      </c>
      <c r="U40" s="6">
        <f t="shared" si="18"/>
        <v>5.5872529134865401E-2</v>
      </c>
      <c r="V40" s="6">
        <f t="shared" si="19"/>
        <v>1.7199925842306119E-3</v>
      </c>
    </row>
    <row r="41" spans="2:22" x14ac:dyDescent="0.25">
      <c r="B41" t="s">
        <v>61</v>
      </c>
      <c r="D41" s="4"/>
      <c r="E41" s="4"/>
      <c r="F41" s="4"/>
      <c r="H41" s="4"/>
      <c r="I41" s="4"/>
      <c r="J41" s="4"/>
      <c r="K41" s="4"/>
      <c r="L41" s="4"/>
      <c r="M41" s="4"/>
      <c r="N41" s="4"/>
      <c r="O41" s="4"/>
      <c r="P41" s="10" t="s">
        <v>120</v>
      </c>
      <c r="Q41" s="6">
        <f t="shared" si="18"/>
        <v>0.12389226146255794</v>
      </c>
      <c r="R41" s="6">
        <f t="shared" si="18"/>
        <v>0.20870787594660323</v>
      </c>
      <c r="S41" s="6">
        <f t="shared" si="18"/>
        <v>0.64398613628230716</v>
      </c>
      <c r="T41" s="6">
        <f t="shared" si="18"/>
        <v>0.41621472174557961</v>
      </c>
      <c r="U41" s="6">
        <f t="shared" si="18"/>
        <v>0.1786937193492828</v>
      </c>
      <c r="V41" s="6">
        <f t="shared" si="19"/>
        <v>7.1622553135777256E-2</v>
      </c>
    </row>
    <row r="42" spans="2:22" x14ac:dyDescent="0.25">
      <c r="B42" s="1" t="s">
        <v>37</v>
      </c>
      <c r="C42" s="8"/>
      <c r="D42" s="8"/>
      <c r="E42" s="8"/>
      <c r="F42" s="8"/>
      <c r="G42" s="8">
        <f>G18/C18-1</f>
        <v>6.1602685468565843E-2</v>
      </c>
      <c r="H42" s="8">
        <f t="shared" ref="H42:L42" si="20">H18/D18-1</f>
        <v>3.6494036090256365E-2</v>
      </c>
      <c r="I42" s="8">
        <f t="shared" si="20"/>
        <v>1.5762390780679647E-2</v>
      </c>
      <c r="J42" s="8">
        <f t="shared" si="20"/>
        <v>3.0909376865045912E-2</v>
      </c>
      <c r="K42" s="8">
        <f t="shared" si="20"/>
        <v>-1.3849928566330716E-3</v>
      </c>
      <c r="L42" s="8">
        <f t="shared" si="20"/>
        <v>3.4071913500830497E-2</v>
      </c>
      <c r="M42" s="8"/>
      <c r="N42" s="8"/>
      <c r="O42" s="5"/>
      <c r="P42" s="11" t="s">
        <v>120</v>
      </c>
      <c r="Q42" s="8">
        <f t="shared" ref="Q42:U42" si="21">+Q18/P18-1</f>
        <v>0.1308466695153947</v>
      </c>
      <c r="R42" s="8">
        <f t="shared" si="21"/>
        <v>0.12624645191383332</v>
      </c>
      <c r="S42" s="8">
        <f t="shared" si="21"/>
        <v>0.6691903249104767</v>
      </c>
      <c r="T42" s="8">
        <f t="shared" si="21"/>
        <v>0.53668211856406289</v>
      </c>
      <c r="U42" s="8">
        <f t="shared" si="21"/>
        <v>0.11458895044564188</v>
      </c>
      <c r="V42" s="8">
        <f>+V18/U18-1</f>
        <v>3.5272276759203525E-2</v>
      </c>
    </row>
    <row r="43" spans="2:22" x14ac:dyDescent="0.25">
      <c r="B43" t="s">
        <v>39</v>
      </c>
      <c r="C43" s="6">
        <f t="shared" ref="C43:F43" si="22">C20/C18</f>
        <v>0.53877891708118164</v>
      </c>
      <c r="D43" s="6">
        <f t="shared" si="22"/>
        <v>0.5793790745146018</v>
      </c>
      <c r="E43" s="6">
        <f t="shared" si="22"/>
        <v>0.55620784590859673</v>
      </c>
      <c r="F43" s="6">
        <f t="shared" si="22"/>
        <v>0.55275352386269305</v>
      </c>
      <c r="G43" s="6">
        <f>G20/G18</f>
        <v>0.55620993508645011</v>
      </c>
      <c r="H43" s="6">
        <f t="shared" ref="H43:J43" si="23">H20/H18</f>
        <v>0.61350856768588813</v>
      </c>
      <c r="I43" s="6">
        <f t="shared" si="23"/>
        <v>0.59625211824515156</v>
      </c>
      <c r="J43" s="6">
        <f t="shared" si="23"/>
        <v>0.57884585657519483</v>
      </c>
      <c r="K43" s="6">
        <f t="shared" ref="K43:L43" si="24">K20/K18</f>
        <v>0.57775518412346516</v>
      </c>
      <c r="L43" s="6">
        <f t="shared" si="24"/>
        <v>0.61671537438238067</v>
      </c>
      <c r="M43" s="6"/>
      <c r="N43" s="6"/>
      <c r="O43" s="4"/>
      <c r="P43" s="6">
        <f t="shared" ref="P43" si="25">P20/P18</f>
        <v>0.5147504376473182</v>
      </c>
      <c r="Q43" s="6">
        <f t="shared" ref="Q43:V43" si="26">Q20/Q18</f>
        <v>0.50142979847926972</v>
      </c>
      <c r="R43" s="6">
        <f t="shared" si="26"/>
        <v>0.54110715313889157</v>
      </c>
      <c r="S43" s="6">
        <f t="shared" si="26"/>
        <v>0.61390601603862005</v>
      </c>
      <c r="T43" s="6">
        <f t="shared" si="26"/>
        <v>0.52328828391680982</v>
      </c>
      <c r="U43" s="6">
        <f t="shared" si="26"/>
        <v>0.55775276622668335</v>
      </c>
      <c r="V43" s="6">
        <f t="shared" si="26"/>
        <v>0.58756571011782244</v>
      </c>
    </row>
    <row r="44" spans="2:22" x14ac:dyDescent="0.25">
      <c r="B44" t="s">
        <v>38</v>
      </c>
      <c r="C44" s="6">
        <f t="shared" ref="C44:F44" si="27">C22/C18</f>
        <v>0.26570576113535244</v>
      </c>
      <c r="D44" s="6">
        <f t="shared" si="27"/>
        <v>0.29699627086622399</v>
      </c>
      <c r="E44" s="6">
        <f t="shared" si="27"/>
        <v>0.26187964812659648</v>
      </c>
      <c r="F44" s="6">
        <f t="shared" si="27"/>
        <v>0.21822170051567702</v>
      </c>
      <c r="G44" s="6">
        <f>G22/G18</f>
        <v>0.24123272887273298</v>
      </c>
      <c r="H44" s="6">
        <f t="shared" ref="H44:J44" si="28">H22/H18</f>
        <v>0.29306110110463135</v>
      </c>
      <c r="I44" s="6">
        <f t="shared" si="28"/>
        <v>0.25402843155714561</v>
      </c>
      <c r="J44" s="6">
        <f t="shared" si="28"/>
        <v>0.20198065617065772</v>
      </c>
      <c r="K44" s="6">
        <f t="shared" ref="K44:L44" si="29">K22/K18</f>
        <v>0.23788130792365147</v>
      </c>
      <c r="L44" s="6">
        <f t="shared" si="29"/>
        <v>-0.37195584027117401</v>
      </c>
      <c r="M44" s="6"/>
      <c r="N44" s="6"/>
      <c r="O44" s="4"/>
      <c r="P44" s="6">
        <f t="shared" ref="P44" si="30">P22/P18</f>
        <v>5.7842042629835236E-2</v>
      </c>
      <c r="Q44" s="6">
        <f t="shared" ref="Q44:V44" si="31">Q22/Q18</f>
        <v>0.10454228164795351</v>
      </c>
      <c r="R44" s="6">
        <f t="shared" si="31"/>
        <v>0.15449608247333413</v>
      </c>
      <c r="S44" s="6">
        <f t="shared" si="31"/>
        <v>0.29526207132655791</v>
      </c>
      <c r="T44" s="6">
        <f t="shared" si="31"/>
        <v>0.23931352734259081</v>
      </c>
      <c r="U44" s="6">
        <f t="shared" si="31"/>
        <v>0.26165880979126765</v>
      </c>
      <c r="V44" s="6">
        <f t="shared" si="31"/>
        <v>0.24911850199945984</v>
      </c>
    </row>
    <row r="45" spans="2:22" x14ac:dyDescent="0.25">
      <c r="B45" t="s">
        <v>40</v>
      </c>
      <c r="C45" s="6">
        <f t="shared" ref="C45:F45" si="32">C29/C18</f>
        <v>0.16913452903640272</v>
      </c>
      <c r="D45" s="6">
        <f t="shared" si="32"/>
        <v>0.19807771033610699</v>
      </c>
      <c r="E45" s="6">
        <f t="shared" si="32"/>
        <v>0.16928576278285623</v>
      </c>
      <c r="F45" s="6">
        <f t="shared" si="32"/>
        <v>0.26412539566314647</v>
      </c>
      <c r="G45" s="6">
        <f>G29/G18</f>
        <v>0.16242130843471303</v>
      </c>
      <c r="H45" s="6">
        <f t="shared" ref="H45:J45" si="33">H29/H18</f>
        <v>0.20594384895393797</v>
      </c>
      <c r="I45" s="6">
        <f t="shared" si="33"/>
        <v>0.18807531538316705</v>
      </c>
      <c r="J45" s="6">
        <f t="shared" si="33"/>
        <v>0.37274849889823258</v>
      </c>
      <c r="K45" s="6">
        <f t="shared" ref="K45:L45" si="34">K29/K18</f>
        <v>0.17080695974642951</v>
      </c>
      <c r="L45" s="6">
        <f t="shared" si="34"/>
        <v>-0.42830482358642502</v>
      </c>
      <c r="M45" s="6"/>
      <c r="N45" s="6"/>
      <c r="O45" s="4"/>
      <c r="P45" s="6">
        <f t="shared" ref="P45" si="35">P29/P18</f>
        <v>-6.360566253601127E-2</v>
      </c>
      <c r="Q45" s="6">
        <f t="shared" ref="Q45:V45" si="36">Q29/Q18</f>
        <v>9.7105216753223908E-2</v>
      </c>
      <c r="R45" s="6">
        <f t="shared" si="36"/>
        <v>0.22573741784521958</v>
      </c>
      <c r="S45" s="6">
        <f t="shared" si="36"/>
        <v>0.31368936672003661</v>
      </c>
      <c r="T45" s="6">
        <f t="shared" si="36"/>
        <v>0.15194410102996217</v>
      </c>
      <c r="U45" s="6">
        <f t="shared" si="36"/>
        <v>0.20002437949023646</v>
      </c>
      <c r="V45" s="6">
        <f t="shared" si="36"/>
        <v>0.2316055549975769</v>
      </c>
    </row>
    <row r="46" spans="2:22" x14ac:dyDescent="0.25">
      <c r="B46" t="s">
        <v>41</v>
      </c>
      <c r="C46" s="6">
        <f t="shared" ref="C46:F46" si="37">C28/C27</f>
        <v>0.22017980246759064</v>
      </c>
      <c r="D46" s="6">
        <f t="shared" si="37"/>
        <v>0.23383902871859241</v>
      </c>
      <c r="E46" s="6">
        <f t="shared" si="37"/>
        <v>0.24155437972622687</v>
      </c>
      <c r="F46" s="6">
        <f t="shared" si="37"/>
        <v>-0.45857275148252302</v>
      </c>
      <c r="G46" s="6">
        <f>G28/G27</f>
        <v>0.21427209334687083</v>
      </c>
      <c r="H46" s="6">
        <f t="shared" ref="H46:J46" si="38">H28/H27</f>
        <v>0.22777431053386188</v>
      </c>
      <c r="I46" s="6">
        <f t="shared" si="38"/>
        <v>0.18416332611316386</v>
      </c>
      <c r="J46" s="6">
        <f t="shared" si="38"/>
        <v>-1.1050636363740076</v>
      </c>
      <c r="K46" s="6">
        <f>K28/K27</f>
        <v>0.21877729470720556</v>
      </c>
      <c r="L46" s="6">
        <f>L28/L27</f>
        <v>-9.735692933904283E-2</v>
      </c>
      <c r="M46" s="6"/>
      <c r="N46" s="6"/>
      <c r="O46" s="4"/>
      <c r="P46" s="6">
        <f t="shared" ref="P46" si="39">P28/P27</f>
        <v>2.0622956858050601</v>
      </c>
      <c r="Q46" s="6">
        <f t="shared" ref="Q46:V46" si="40">Q28/Q27</f>
        <v>-1.466619734835151E-3</v>
      </c>
      <c r="R46" s="6">
        <f t="shared" si="40"/>
        <v>-0.51155914368124322</v>
      </c>
      <c r="S46" s="6">
        <f t="shared" si="40"/>
        <v>-9.3161246006245355E-2</v>
      </c>
      <c r="T46" s="6">
        <f t="shared" si="40"/>
        <v>0.24822131416769186</v>
      </c>
      <c r="U46" s="6">
        <f t="shared" si="40"/>
        <v>9.5525133748425139E-2</v>
      </c>
      <c r="V46" s="6">
        <f t="shared" si="40"/>
        <v>-4.3363332363260967E-2</v>
      </c>
    </row>
    <row r="47" spans="2:22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x14ac:dyDescent="0.25">
      <c r="B48" t="s">
        <v>62</v>
      </c>
      <c r="C48" s="4"/>
      <c r="D48" s="4"/>
      <c r="E48" s="4"/>
      <c r="F48" s="4"/>
      <c r="G48" s="4"/>
      <c r="H48" s="4"/>
      <c r="I48" s="4"/>
      <c r="J48" s="4">
        <v>180.48500000000001</v>
      </c>
      <c r="K48" s="4"/>
      <c r="L48" s="4">
        <v>200.61099999999999</v>
      </c>
      <c r="M48" s="4"/>
      <c r="N48" s="4"/>
      <c r="O48" s="4"/>
      <c r="P48" s="4">
        <v>123.367</v>
      </c>
      <c r="Q48" s="4">
        <v>108.253</v>
      </c>
      <c r="R48" s="4">
        <v>135.80199999999999</v>
      </c>
      <c r="S48" s="4">
        <v>213.197</v>
      </c>
      <c r="T48" s="4">
        <v>191.62899999999999</v>
      </c>
      <c r="U48" s="4">
        <v>149.28800000000001</v>
      </c>
      <c r="V48" s="4">
        <v>180.48500000000001</v>
      </c>
    </row>
    <row r="49" spans="2:22" x14ac:dyDescent="0.25">
      <c r="B49" t="s">
        <v>63</v>
      </c>
      <c r="C49" s="4"/>
      <c r="D49" s="4"/>
      <c r="E49" s="4"/>
      <c r="F49" s="4"/>
      <c r="G49" s="4"/>
      <c r="H49" s="4"/>
      <c r="I49" s="4"/>
      <c r="J49" s="4">
        <v>0</v>
      </c>
      <c r="K49" s="4"/>
      <c r="L49" s="4">
        <v>0</v>
      </c>
      <c r="M49" s="4"/>
      <c r="N49" s="4"/>
      <c r="O49" s="4"/>
      <c r="P49" s="4">
        <v>97.626999999999995</v>
      </c>
      <c r="Q49" s="4">
        <v>1.5</v>
      </c>
      <c r="R49" s="4">
        <v>1.542</v>
      </c>
      <c r="S49" s="4">
        <v>6.5000000000000002E-2</v>
      </c>
      <c r="T49" s="4">
        <v>2E-3</v>
      </c>
      <c r="U49" s="4">
        <v>2E-3</v>
      </c>
      <c r="V49" s="4">
        <v>0</v>
      </c>
    </row>
    <row r="50" spans="2:22" x14ac:dyDescent="0.25">
      <c r="B50" t="s">
        <v>64</v>
      </c>
      <c r="C50" s="4"/>
      <c r="D50" s="4"/>
      <c r="E50" s="4"/>
      <c r="F50" s="4"/>
      <c r="G50" s="4"/>
      <c r="H50" s="4"/>
      <c r="I50" s="4"/>
      <c r="J50" s="4">
        <v>257.65699999999998</v>
      </c>
      <c r="K50" s="4"/>
      <c r="L50" s="4">
        <v>417.42599999999999</v>
      </c>
      <c r="M50" s="4"/>
      <c r="N50" s="4"/>
      <c r="O50" s="4"/>
      <c r="P50" s="4">
        <v>124.491</v>
      </c>
      <c r="Q50" s="4">
        <v>108.199</v>
      </c>
      <c r="R50" s="4">
        <v>149.84700000000001</v>
      </c>
      <c r="S50" s="4">
        <v>182.62899999999999</v>
      </c>
      <c r="T50" s="4">
        <v>295.59399999999999</v>
      </c>
      <c r="U50" s="4">
        <v>305.74700000000001</v>
      </c>
      <c r="V50" s="4">
        <v>257.65699999999998</v>
      </c>
    </row>
    <row r="51" spans="2:22" x14ac:dyDescent="0.25">
      <c r="B51" t="s">
        <v>65</v>
      </c>
      <c r="C51" s="4"/>
      <c r="D51" s="4"/>
      <c r="E51" s="4"/>
      <c r="F51" s="4"/>
      <c r="G51" s="4"/>
      <c r="H51" s="4"/>
      <c r="I51" s="4"/>
      <c r="J51" s="4">
        <v>356.25400000000002</v>
      </c>
      <c r="K51" s="4"/>
      <c r="L51" s="4">
        <v>405.13600000000002</v>
      </c>
      <c r="M51" s="4"/>
      <c r="N51" s="4"/>
      <c r="O51" s="4"/>
      <c r="P51" s="4">
        <v>3.0409999999999999</v>
      </c>
      <c r="Q51" s="4">
        <v>172.02799999999999</v>
      </c>
      <c r="R51" s="4">
        <v>175.12100000000001</v>
      </c>
      <c r="S51" s="4">
        <v>213.52</v>
      </c>
      <c r="T51" s="4">
        <v>471.55099999999999</v>
      </c>
      <c r="U51" s="4">
        <v>385.05399999999997</v>
      </c>
      <c r="V51" s="4">
        <v>356.25400000000002</v>
      </c>
    </row>
    <row r="52" spans="2:22" x14ac:dyDescent="0.25">
      <c r="B52" t="s">
        <v>66</v>
      </c>
      <c r="C52" s="4"/>
      <c r="D52" s="4"/>
      <c r="E52" s="4"/>
      <c r="F52" s="4"/>
      <c r="G52" s="4"/>
      <c r="H52" s="4"/>
      <c r="I52" s="4"/>
      <c r="J52" s="4">
        <v>4.0460000000000003</v>
      </c>
      <c r="K52" s="4"/>
      <c r="L52" s="4">
        <v>6.5</v>
      </c>
      <c r="M52" s="4"/>
      <c r="N52" s="4"/>
      <c r="O52" s="4"/>
      <c r="P52" s="4">
        <v>7.7030000000000003</v>
      </c>
      <c r="Q52" s="4">
        <v>1.341</v>
      </c>
      <c r="R52" s="4">
        <v>1.857</v>
      </c>
      <c r="S52" s="4">
        <v>22.300999999999998</v>
      </c>
      <c r="T52" s="4">
        <v>14.752000000000001</v>
      </c>
      <c r="U52" s="4">
        <v>4.4130000000000003</v>
      </c>
      <c r="V52" s="4">
        <v>4.0460000000000003</v>
      </c>
    </row>
    <row r="53" spans="2:22" x14ac:dyDescent="0.25">
      <c r="B53" t="s">
        <v>67</v>
      </c>
      <c r="C53" s="4"/>
      <c r="D53" s="4"/>
      <c r="E53" s="4"/>
      <c r="F53" s="4"/>
      <c r="G53" s="4"/>
      <c r="H53" s="4"/>
      <c r="I53" s="4"/>
      <c r="J53" s="4">
        <v>22.204000000000001</v>
      </c>
      <c r="K53" s="4"/>
      <c r="L53" s="4">
        <v>22.192</v>
      </c>
      <c r="M53" s="4"/>
      <c r="N53" s="4"/>
      <c r="O53" s="4"/>
      <c r="P53" s="4">
        <v>1.946</v>
      </c>
      <c r="Q53" s="4">
        <v>8.7110000000000003</v>
      </c>
      <c r="R53" s="4">
        <v>10.816000000000001</v>
      </c>
      <c r="S53" s="4">
        <v>12.252000000000001</v>
      </c>
      <c r="T53" s="4">
        <v>18.841999999999999</v>
      </c>
      <c r="U53" s="4">
        <v>21.071000000000002</v>
      </c>
      <c r="V53" s="4">
        <v>22.204000000000001</v>
      </c>
    </row>
    <row r="54" spans="2:22" x14ac:dyDescent="0.25">
      <c r="B54" t="s">
        <v>68</v>
      </c>
      <c r="C54" s="4"/>
      <c r="D54" s="4"/>
      <c r="E54" s="4"/>
      <c r="F54" s="4"/>
      <c r="G54" s="4"/>
      <c r="H54" s="4"/>
      <c r="I54" s="4"/>
      <c r="J54" s="4">
        <v>51.622999999999998</v>
      </c>
      <c r="K54" s="4"/>
      <c r="L54" s="4">
        <v>49.942</v>
      </c>
      <c r="M54" s="4"/>
      <c r="N54" s="4"/>
      <c r="O54" s="4"/>
      <c r="P54" s="4">
        <v>22.123000000000001</v>
      </c>
      <c r="Q54" s="4">
        <v>25.35</v>
      </c>
      <c r="R54" s="4">
        <v>17.856000000000002</v>
      </c>
      <c r="S54" s="4">
        <v>22.605</v>
      </c>
      <c r="T54" s="4">
        <v>33.604999999999997</v>
      </c>
      <c r="U54" s="4">
        <v>45.128999999999998</v>
      </c>
      <c r="V54" s="4">
        <v>51.622999999999998</v>
      </c>
    </row>
    <row r="55" spans="2:22" x14ac:dyDescent="0.25">
      <c r="B55" t="s">
        <v>69</v>
      </c>
      <c r="C55" s="4">
        <f t="shared" ref="C55:M55" si="41">+SUM(C48:C54)</f>
        <v>0</v>
      </c>
      <c r="D55" s="4">
        <f t="shared" si="41"/>
        <v>0</v>
      </c>
      <c r="E55" s="4">
        <f t="shared" si="41"/>
        <v>0</v>
      </c>
      <c r="F55" s="4">
        <f t="shared" si="41"/>
        <v>0</v>
      </c>
      <c r="G55" s="4">
        <f t="shared" si="41"/>
        <v>0</v>
      </c>
      <c r="H55" s="4">
        <f t="shared" si="41"/>
        <v>0</v>
      </c>
      <c r="I55" s="4">
        <f t="shared" si="41"/>
        <v>0</v>
      </c>
      <c r="J55" s="4">
        <f t="shared" ref="J55" si="42">+SUM(J48:J54)</f>
        <v>872.26900000000001</v>
      </c>
      <c r="K55" s="4">
        <f t="shared" si="41"/>
        <v>0</v>
      </c>
      <c r="L55" s="4">
        <f t="shared" si="41"/>
        <v>1101.807</v>
      </c>
      <c r="M55" s="4">
        <f t="shared" si="41"/>
        <v>0</v>
      </c>
      <c r="N55" s="4"/>
      <c r="O55" s="4"/>
      <c r="P55" s="4">
        <f t="shared" ref="P55:R55" si="43">+SUM(P48:P54)</f>
        <v>380.298</v>
      </c>
      <c r="Q55" s="4">
        <f t="shared" si="43"/>
        <v>425.38200000000006</v>
      </c>
      <c r="R55" s="4">
        <f t="shared" si="43"/>
        <v>492.84100000000001</v>
      </c>
      <c r="S55" s="4">
        <f t="shared" ref="S55:U55" si="44">+SUM(S48:S54)</f>
        <v>666.56899999999996</v>
      </c>
      <c r="T55" s="4">
        <f t="shared" si="44"/>
        <v>1025.9749999999999</v>
      </c>
      <c r="U55" s="4">
        <f t="shared" si="44"/>
        <v>910.70400000000006</v>
      </c>
      <c r="V55" s="4">
        <f>+SUM(V48:V54)</f>
        <v>872.26900000000001</v>
      </c>
    </row>
    <row r="56" spans="2:22" x14ac:dyDescent="0.25">
      <c r="B56" t="s">
        <v>72</v>
      </c>
      <c r="C56" s="4"/>
      <c r="D56" s="4"/>
      <c r="E56" s="4"/>
      <c r="F56" s="4"/>
      <c r="G56" s="4"/>
      <c r="H56" s="4"/>
      <c r="I56" s="4"/>
      <c r="J56" s="4">
        <v>244.33500000000001</v>
      </c>
      <c r="K56" s="4"/>
      <c r="L56" s="4">
        <v>249.14500000000001</v>
      </c>
      <c r="M56" s="4"/>
      <c r="N56" s="4"/>
      <c r="O56" s="4"/>
      <c r="P56" s="4">
        <v>22.210999999999999</v>
      </c>
      <c r="Q56" s="4">
        <v>47.405000000000001</v>
      </c>
      <c r="R56" s="4">
        <v>57.466999999999999</v>
      </c>
      <c r="S56" s="4">
        <v>108.398</v>
      </c>
      <c r="T56" s="4">
        <v>181.529</v>
      </c>
      <c r="U56" s="4">
        <v>238.315</v>
      </c>
      <c r="V56" s="4">
        <v>244.33500000000001</v>
      </c>
    </row>
    <row r="57" spans="2:22" x14ac:dyDescent="0.25">
      <c r="B57" t="s">
        <v>73</v>
      </c>
      <c r="C57" s="4"/>
      <c r="D57" s="4"/>
      <c r="E57" s="4"/>
      <c r="F57" s="4"/>
      <c r="G57" s="4"/>
      <c r="H57" s="4"/>
      <c r="I57" s="4"/>
      <c r="J57" s="4">
        <v>1777.08</v>
      </c>
      <c r="K57" s="4"/>
      <c r="L57" s="4">
        <v>1335.462</v>
      </c>
      <c r="M57" s="4"/>
      <c r="N57" s="4"/>
      <c r="O57" s="4"/>
      <c r="P57" s="4">
        <v>45.69</v>
      </c>
      <c r="Q57" s="4">
        <v>47.094999999999999</v>
      </c>
      <c r="R57" s="4">
        <v>37.636000000000003</v>
      </c>
      <c r="S57" s="4">
        <v>28.802</v>
      </c>
      <c r="T57" s="4">
        <v>1800.1669999999999</v>
      </c>
      <c r="U57" s="4">
        <v>1792.5619999999999</v>
      </c>
      <c r="V57" s="4">
        <v>1777.08</v>
      </c>
    </row>
    <row r="58" spans="2:22" x14ac:dyDescent="0.25">
      <c r="B58" t="s">
        <v>74</v>
      </c>
      <c r="C58" s="4"/>
      <c r="D58" s="4"/>
      <c r="E58" s="4"/>
      <c r="F58" s="4"/>
      <c r="G58" s="4"/>
      <c r="H58" s="4"/>
      <c r="I58" s="4"/>
      <c r="J58" s="4">
        <v>711.49099999999999</v>
      </c>
      <c r="K58" s="4"/>
      <c r="L58" s="4">
        <v>404.69499999999999</v>
      </c>
      <c r="M58" s="4"/>
      <c r="N58" s="4"/>
      <c r="O58" s="4"/>
      <c r="P58" s="4">
        <v>1.6140000000000001</v>
      </c>
      <c r="Q58" s="4">
        <v>1.5780000000000001</v>
      </c>
      <c r="R58" s="4">
        <v>1.7190000000000001</v>
      </c>
      <c r="S58" s="4">
        <v>1.6</v>
      </c>
      <c r="T58" s="4">
        <v>714.81399999999996</v>
      </c>
      <c r="U58" s="4">
        <v>711.58799999999997</v>
      </c>
      <c r="V58" s="4">
        <v>711.49099999999999</v>
      </c>
    </row>
    <row r="59" spans="2:22" x14ac:dyDescent="0.25">
      <c r="B59" t="s">
        <v>75</v>
      </c>
      <c r="C59" s="4"/>
      <c r="D59" s="4"/>
      <c r="E59" s="4"/>
      <c r="F59" s="4"/>
      <c r="G59" s="4"/>
      <c r="H59" s="4"/>
      <c r="I59" s="4"/>
      <c r="J59" s="4">
        <v>872.35</v>
      </c>
      <c r="K59" s="4"/>
      <c r="L59" s="4">
        <v>971.97400000000005</v>
      </c>
      <c r="M59" s="4"/>
      <c r="N59" s="4"/>
      <c r="O59" s="4"/>
      <c r="P59" s="4">
        <v>8.6630000000000003</v>
      </c>
      <c r="Q59" s="4">
        <v>24.747</v>
      </c>
      <c r="R59" s="4">
        <v>350.78399999999999</v>
      </c>
      <c r="S59" s="4">
        <v>567.20100000000002</v>
      </c>
      <c r="T59" s="4">
        <v>528.27800000000002</v>
      </c>
      <c r="U59" s="4">
        <v>667.97199999999998</v>
      </c>
      <c r="V59" s="4">
        <v>872.35</v>
      </c>
    </row>
    <row r="60" spans="2:22" x14ac:dyDescent="0.25">
      <c r="B60" t="s">
        <v>63</v>
      </c>
      <c r="C60" s="4"/>
      <c r="D60" s="4"/>
      <c r="E60" s="4"/>
      <c r="F60" s="4"/>
      <c r="G60" s="4"/>
      <c r="H60" s="4"/>
      <c r="I60" s="4"/>
      <c r="J60" s="4">
        <v>3.1930000000000001</v>
      </c>
      <c r="K60" s="4"/>
      <c r="L60" s="4">
        <v>3.57</v>
      </c>
      <c r="M60" s="4"/>
      <c r="N60" s="4"/>
      <c r="O60" s="4"/>
      <c r="P60" s="4">
        <v>2.2170000000000001</v>
      </c>
      <c r="Q60" s="4">
        <v>2.2919999999999998</v>
      </c>
      <c r="R60" s="4">
        <v>1.929</v>
      </c>
      <c r="S60" s="4">
        <v>3.6629999999999998</v>
      </c>
      <c r="T60" s="4">
        <v>3.254</v>
      </c>
      <c r="U60" s="4">
        <v>3.8069999999999999</v>
      </c>
      <c r="V60" s="4">
        <v>3.1930000000000001</v>
      </c>
    </row>
    <row r="61" spans="2:22" x14ac:dyDescent="0.25">
      <c r="B61" t="s">
        <v>76</v>
      </c>
      <c r="C61" s="4"/>
      <c r="D61" s="4"/>
      <c r="E61" s="4"/>
      <c r="F61" s="4"/>
      <c r="G61" s="4"/>
      <c r="H61" s="4"/>
      <c r="I61" s="4"/>
      <c r="J61" s="4">
        <v>307.22800000000001</v>
      </c>
      <c r="K61" s="4"/>
      <c r="L61" s="4">
        <v>349.26799999999997</v>
      </c>
      <c r="M61" s="4"/>
      <c r="N61" s="4"/>
      <c r="O61" s="4"/>
      <c r="P61" s="4">
        <v>0</v>
      </c>
      <c r="Q61" s="4">
        <v>182.22800000000001</v>
      </c>
      <c r="R61" s="4">
        <v>167.42099999999999</v>
      </c>
      <c r="S61" s="4">
        <v>160.768</v>
      </c>
      <c r="T61" s="4">
        <v>239.905</v>
      </c>
      <c r="U61" s="4">
        <v>287.44</v>
      </c>
      <c r="V61" s="4">
        <v>307.22800000000001</v>
      </c>
    </row>
    <row r="62" spans="2:22" x14ac:dyDescent="0.25">
      <c r="B62" t="s">
        <v>77</v>
      </c>
      <c r="C62" s="4"/>
      <c r="D62" s="4"/>
      <c r="E62" s="4"/>
      <c r="F62" s="4"/>
      <c r="G62" s="4"/>
      <c r="H62" s="4"/>
      <c r="I62" s="4"/>
      <c r="J62" s="4">
        <v>24.207000000000001</v>
      </c>
      <c r="K62" s="4"/>
      <c r="L62" s="4">
        <v>34.645000000000003</v>
      </c>
      <c r="M62" s="4"/>
      <c r="N62" s="4"/>
      <c r="O62" s="4"/>
      <c r="P62" s="4">
        <v>8.2080000000000002</v>
      </c>
      <c r="Q62" s="4">
        <v>8.0749999999999993</v>
      </c>
      <c r="R62" s="4">
        <v>8.9260000000000002</v>
      </c>
      <c r="S62" s="4">
        <v>8.0670000000000002</v>
      </c>
      <c r="T62" s="4">
        <v>7.875</v>
      </c>
      <c r="U62" s="4">
        <v>31.446000000000002</v>
      </c>
      <c r="V62" s="4">
        <v>24.207000000000001</v>
      </c>
    </row>
    <row r="63" spans="2:22" x14ac:dyDescent="0.25">
      <c r="B63" t="s">
        <v>71</v>
      </c>
      <c r="C63" s="4"/>
      <c r="D63" s="4"/>
      <c r="E63" s="4"/>
      <c r="F63" s="4">
        <f t="shared" ref="F63:M63" si="45">+SUM(F56:F62)</f>
        <v>0</v>
      </c>
      <c r="G63" s="4">
        <f t="shared" si="45"/>
        <v>0</v>
      </c>
      <c r="H63" s="4">
        <f t="shared" si="45"/>
        <v>0</v>
      </c>
      <c r="I63" s="4">
        <f t="shared" si="45"/>
        <v>0</v>
      </c>
      <c r="J63" s="4">
        <f t="shared" ref="J63" si="46">+SUM(J56:J62)</f>
        <v>3939.884</v>
      </c>
      <c r="K63" s="4">
        <f t="shared" si="45"/>
        <v>0</v>
      </c>
      <c r="L63" s="4">
        <f t="shared" si="45"/>
        <v>3348.759</v>
      </c>
      <c r="M63" s="4">
        <f t="shared" si="45"/>
        <v>0</v>
      </c>
      <c r="N63" s="4"/>
      <c r="O63" s="4"/>
      <c r="P63" s="4">
        <f t="shared" ref="P63:R63" si="47">+SUM(P56:P62)</f>
        <v>88.602999999999994</v>
      </c>
      <c r="Q63" s="4">
        <f t="shared" si="47"/>
        <v>313.42</v>
      </c>
      <c r="R63" s="4">
        <f t="shared" si="47"/>
        <v>625.88199999999995</v>
      </c>
      <c r="S63" s="4">
        <f t="shared" ref="S63:T63" si="48">+SUM(S56:S62)</f>
        <v>878.49900000000002</v>
      </c>
      <c r="T63" s="4">
        <f t="shared" si="48"/>
        <v>3475.8219999999997</v>
      </c>
      <c r="U63" s="4">
        <f>+SUM(U56:U62)</f>
        <v>3733.1299999999997</v>
      </c>
      <c r="V63" s="4">
        <f>+SUM(V56:V62)</f>
        <v>3939.884</v>
      </c>
    </row>
    <row r="64" spans="2:22" x14ac:dyDescent="0.25">
      <c r="B64" s="1" t="s">
        <v>70</v>
      </c>
      <c r="C64" s="5">
        <f t="shared" ref="C64:M64" si="49">+C63+C55</f>
        <v>0</v>
      </c>
      <c r="D64" s="5">
        <f t="shared" si="49"/>
        <v>0</v>
      </c>
      <c r="E64" s="5">
        <f t="shared" si="49"/>
        <v>0</v>
      </c>
      <c r="F64" s="5">
        <f t="shared" si="49"/>
        <v>0</v>
      </c>
      <c r="G64" s="5">
        <f t="shared" si="49"/>
        <v>0</v>
      </c>
      <c r="H64" s="5">
        <f t="shared" si="49"/>
        <v>0</v>
      </c>
      <c r="I64" s="5">
        <f t="shared" si="49"/>
        <v>0</v>
      </c>
      <c r="J64" s="5">
        <f t="shared" ref="J64" si="50">+J63+J55</f>
        <v>4812.1530000000002</v>
      </c>
      <c r="K64" s="5">
        <f t="shared" si="49"/>
        <v>0</v>
      </c>
      <c r="L64" s="5">
        <f t="shared" si="49"/>
        <v>4450.5659999999998</v>
      </c>
      <c r="M64" s="5">
        <f t="shared" si="49"/>
        <v>0</v>
      </c>
      <c r="N64" s="4"/>
      <c r="O64" s="4"/>
      <c r="P64" s="5">
        <f t="shared" ref="P64:R64" si="51">+P63+P55</f>
        <v>468.90100000000001</v>
      </c>
      <c r="Q64" s="5">
        <f t="shared" si="51"/>
        <v>738.80200000000013</v>
      </c>
      <c r="R64" s="5">
        <f t="shared" si="51"/>
        <v>1118.723</v>
      </c>
      <c r="S64" s="5">
        <f t="shared" ref="S64:U64" si="52">+S63+S55</f>
        <v>1545.068</v>
      </c>
      <c r="T64" s="5">
        <f t="shared" si="52"/>
        <v>4501.7969999999996</v>
      </c>
      <c r="U64" s="5">
        <f t="shared" si="52"/>
        <v>4643.8339999999998</v>
      </c>
      <c r="V64" s="5">
        <f>+V63+V55</f>
        <v>4812.1530000000002</v>
      </c>
    </row>
    <row r="65" spans="2:22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2:22" x14ac:dyDescent="0.25">
      <c r="B66" t="s">
        <v>79</v>
      </c>
      <c r="C66" s="4"/>
      <c r="D66" s="4"/>
      <c r="E66" s="4"/>
      <c r="F66" s="4"/>
      <c r="G66" s="4"/>
      <c r="H66" s="4"/>
      <c r="I66" s="4"/>
      <c r="J66" s="4">
        <v>264.90100000000001</v>
      </c>
      <c r="K66" s="4"/>
      <c r="L66" s="4">
        <v>263.339</v>
      </c>
      <c r="M66" s="4"/>
      <c r="N66" s="4"/>
      <c r="O66" s="4"/>
      <c r="P66" s="4">
        <v>77.230999999999995</v>
      </c>
      <c r="Q66" s="4">
        <v>95.754000000000005</v>
      </c>
      <c r="R66" s="4">
        <v>112.77800000000001</v>
      </c>
      <c r="S66" s="4">
        <v>162.14500000000001</v>
      </c>
      <c r="T66" s="4">
        <v>230.821</v>
      </c>
      <c r="U66" s="4">
        <v>260.97800000000001</v>
      </c>
      <c r="V66" s="4">
        <v>264.90100000000001</v>
      </c>
    </row>
    <row r="67" spans="2:22" x14ac:dyDescent="0.25">
      <c r="B67" t="s">
        <v>80</v>
      </c>
      <c r="C67" s="4"/>
      <c r="D67" s="4"/>
      <c r="E67" s="4"/>
      <c r="F67" s="4"/>
      <c r="G67" s="4"/>
      <c r="H67" s="4"/>
      <c r="I67" s="4"/>
      <c r="J67" s="4">
        <v>298.06799999999998</v>
      </c>
      <c r="K67" s="4"/>
      <c r="L67" s="4">
        <v>272.57100000000003</v>
      </c>
      <c r="M67" s="4"/>
      <c r="N67" s="4"/>
      <c r="O67" s="4"/>
      <c r="P67" s="4">
        <v>102.17100000000001</v>
      </c>
      <c r="Q67" s="4">
        <v>108.67700000000001</v>
      </c>
      <c r="R67" s="4">
        <v>126.70399999999999</v>
      </c>
      <c r="S67" s="4">
        <v>166.887</v>
      </c>
      <c r="T67" s="4">
        <v>239.42400000000001</v>
      </c>
      <c r="U67" s="4">
        <v>285.77100000000002</v>
      </c>
      <c r="V67" s="4">
        <v>298.06799999999998</v>
      </c>
    </row>
    <row r="68" spans="2:22" x14ac:dyDescent="0.25">
      <c r="B68" t="s">
        <v>81</v>
      </c>
      <c r="C68" s="4"/>
      <c r="D68" s="4"/>
      <c r="E68" s="4"/>
      <c r="F68" s="4"/>
      <c r="G68" s="4"/>
      <c r="H68" s="4"/>
      <c r="I68" s="4"/>
      <c r="J68" s="4">
        <v>108.688</v>
      </c>
      <c r="K68" s="4"/>
      <c r="L68" s="4">
        <v>96.021000000000001</v>
      </c>
      <c r="M68" s="4"/>
      <c r="N68" s="4"/>
      <c r="O68" s="4"/>
      <c r="P68" s="4">
        <v>5.0890000000000004</v>
      </c>
      <c r="Q68" s="4">
        <v>4.2069999999999999</v>
      </c>
      <c r="R68" s="4">
        <v>5.0380000000000003</v>
      </c>
      <c r="S68" s="4">
        <v>16.279</v>
      </c>
      <c r="T68" s="4">
        <v>89.210999999999999</v>
      </c>
      <c r="U68" s="4">
        <v>65.951999999999998</v>
      </c>
      <c r="V68" s="4">
        <v>108.688</v>
      </c>
    </row>
    <row r="69" spans="2:22" x14ac:dyDescent="0.25">
      <c r="B69" t="s">
        <v>82</v>
      </c>
      <c r="C69" s="4"/>
      <c r="D69" s="4"/>
      <c r="E69" s="4"/>
      <c r="F69" s="4"/>
      <c r="G69" s="4"/>
      <c r="H69" s="4"/>
      <c r="I69" s="4"/>
      <c r="J69" s="4">
        <v>0</v>
      </c>
      <c r="K69" s="4"/>
      <c r="L69" s="4">
        <v>0</v>
      </c>
      <c r="M69" s="4"/>
      <c r="N69" s="4"/>
      <c r="O69" s="4"/>
      <c r="P69" s="4">
        <v>0</v>
      </c>
      <c r="Q69" s="4">
        <v>0</v>
      </c>
      <c r="R69" s="4">
        <v>0</v>
      </c>
      <c r="S69" s="4">
        <v>0</v>
      </c>
      <c r="T69" s="4">
        <v>24.361999999999998</v>
      </c>
      <c r="U69" s="4">
        <v>23.327999999999999</v>
      </c>
      <c r="V69" s="4">
        <v>0</v>
      </c>
    </row>
    <row r="70" spans="2:22" x14ac:dyDescent="0.25">
      <c r="B70" t="s">
        <v>83</v>
      </c>
      <c r="C70" s="4"/>
      <c r="D70" s="4"/>
      <c r="E70" s="4"/>
      <c r="F70" s="4"/>
      <c r="G70" s="4"/>
      <c r="H70" s="4"/>
      <c r="I70" s="4"/>
      <c r="J70" s="4">
        <v>68.551000000000002</v>
      </c>
      <c r="K70" s="4"/>
      <c r="L70" s="4">
        <v>82.918000000000006</v>
      </c>
      <c r="M70" s="4"/>
      <c r="N70" s="4"/>
      <c r="O70" s="4"/>
      <c r="P70" s="4">
        <v>0</v>
      </c>
      <c r="Q70" s="4">
        <v>48.585000000000001</v>
      </c>
      <c r="R70" s="4">
        <v>47.064</v>
      </c>
      <c r="S70" s="4">
        <v>42.932000000000002</v>
      </c>
      <c r="T70" s="4">
        <v>57.456000000000003</v>
      </c>
      <c r="U70" s="4">
        <v>62.267000000000003</v>
      </c>
      <c r="V70" s="4">
        <v>68.551000000000002</v>
      </c>
    </row>
    <row r="71" spans="2:22" x14ac:dyDescent="0.25">
      <c r="B71" t="s">
        <v>78</v>
      </c>
      <c r="C71" s="4">
        <f t="shared" ref="C71:M71" si="53">+SUM(C66:C70)</f>
        <v>0</v>
      </c>
      <c r="D71" s="4">
        <f t="shared" si="53"/>
        <v>0</v>
      </c>
      <c r="E71" s="4">
        <f t="shared" si="53"/>
        <v>0</v>
      </c>
      <c r="F71" s="4">
        <f t="shared" si="53"/>
        <v>0</v>
      </c>
      <c r="G71" s="4">
        <f t="shared" si="53"/>
        <v>0</v>
      </c>
      <c r="H71" s="4">
        <f t="shared" si="53"/>
        <v>0</v>
      </c>
      <c r="I71" s="4">
        <f t="shared" si="53"/>
        <v>0</v>
      </c>
      <c r="J71" s="4">
        <f t="shared" ref="J71" si="54">+SUM(J66:J70)</f>
        <v>740.20800000000008</v>
      </c>
      <c r="K71" s="4">
        <f t="shared" si="53"/>
        <v>0</v>
      </c>
      <c r="L71" s="4">
        <f t="shared" si="53"/>
        <v>714.84900000000005</v>
      </c>
      <c r="M71" s="4">
        <f t="shared" si="53"/>
        <v>0</v>
      </c>
      <c r="N71" s="4"/>
      <c r="O71" s="4"/>
      <c r="P71" s="4">
        <f t="shared" ref="P71:S71" si="55">+SUM(P66:P70)</f>
        <v>184.49099999999999</v>
      </c>
      <c r="Q71" s="4">
        <f t="shared" si="55"/>
        <v>257.22300000000001</v>
      </c>
      <c r="R71" s="4">
        <f t="shared" si="55"/>
        <v>291.584</v>
      </c>
      <c r="S71" s="4">
        <f t="shared" si="55"/>
        <v>388.24300000000005</v>
      </c>
      <c r="T71" s="4">
        <f t="shared" ref="T71:U71" si="56">+SUM(T66:T70)</f>
        <v>641.274</v>
      </c>
      <c r="U71" s="4">
        <f t="shared" si="56"/>
        <v>698.29600000000005</v>
      </c>
      <c r="V71" s="4">
        <f>+SUM(V66:V70)</f>
        <v>740.20800000000008</v>
      </c>
    </row>
    <row r="72" spans="2:22" x14ac:dyDescent="0.25">
      <c r="B72" t="s">
        <v>94</v>
      </c>
      <c r="C72" s="4"/>
      <c r="D72" s="4"/>
      <c r="E72" s="4"/>
      <c r="F72" s="4"/>
      <c r="G72" s="4"/>
      <c r="H72" s="4"/>
      <c r="I72" s="4"/>
      <c r="J72" s="4">
        <v>4.0860000000000003</v>
      </c>
      <c r="K72" s="4"/>
      <c r="L72" s="4">
        <v>1.139</v>
      </c>
      <c r="M72" s="4"/>
      <c r="N72" s="4"/>
      <c r="O72" s="4"/>
      <c r="P72" s="4">
        <v>4.6559999999999997</v>
      </c>
      <c r="Q72" s="4">
        <v>4.5519999999999996</v>
      </c>
      <c r="R72" s="4">
        <v>205.97399999999999</v>
      </c>
      <c r="S72" s="4">
        <v>0.17599999999999999</v>
      </c>
      <c r="T72" s="4">
        <v>302.02999999999997</v>
      </c>
      <c r="U72" s="4">
        <v>12.912000000000001</v>
      </c>
      <c r="V72" s="4">
        <v>4.0860000000000003</v>
      </c>
    </row>
    <row r="73" spans="2:22" x14ac:dyDescent="0.25">
      <c r="B73" t="s">
        <v>81</v>
      </c>
      <c r="C73" s="4"/>
      <c r="D73" s="4"/>
      <c r="E73" s="4"/>
      <c r="F73" s="4"/>
      <c r="G73" s="4"/>
      <c r="H73" s="4"/>
      <c r="I73" s="4"/>
      <c r="J73" s="4">
        <v>595.43399999999997</v>
      </c>
      <c r="K73" s="4"/>
      <c r="L73" s="4">
        <v>618.08199999999999</v>
      </c>
      <c r="M73" s="4"/>
      <c r="N73" s="4"/>
      <c r="O73" s="4"/>
      <c r="P73" s="4">
        <v>0</v>
      </c>
      <c r="Q73" s="4">
        <v>0</v>
      </c>
      <c r="R73" s="4">
        <v>0</v>
      </c>
      <c r="S73" s="4">
        <v>219.56800000000001</v>
      </c>
      <c r="T73" s="4">
        <v>224.83699999999999</v>
      </c>
      <c r="U73" s="4">
        <v>565.17100000000005</v>
      </c>
      <c r="V73" s="4">
        <v>595.43399999999997</v>
      </c>
    </row>
    <row r="74" spans="2:22" x14ac:dyDescent="0.25">
      <c r="B74" t="s">
        <v>6</v>
      </c>
      <c r="C74" s="4"/>
      <c r="D74" s="4"/>
      <c r="E74" s="4"/>
      <c r="F74" s="4"/>
      <c r="G74" s="4"/>
      <c r="H74" s="4"/>
      <c r="I74" s="4"/>
      <c r="J74" s="4">
        <v>1349.3389999999999</v>
      </c>
      <c r="K74" s="4"/>
      <c r="L74" s="4">
        <v>1379.1120000000001</v>
      </c>
      <c r="M74" s="4"/>
      <c r="N74" s="4"/>
      <c r="O74" s="4"/>
      <c r="P74" s="4">
        <v>120</v>
      </c>
      <c r="Q74" s="4">
        <v>205</v>
      </c>
      <c r="R74" s="4">
        <v>180</v>
      </c>
      <c r="S74" s="4">
        <v>771.39</v>
      </c>
      <c r="T74" s="4">
        <v>2298.027</v>
      </c>
      <c r="U74" s="4">
        <v>1640.9960000000001</v>
      </c>
      <c r="V74" s="4">
        <v>1349.3389999999999</v>
      </c>
    </row>
    <row r="75" spans="2:22" x14ac:dyDescent="0.25">
      <c r="B75" t="s">
        <v>83</v>
      </c>
      <c r="C75" s="4"/>
      <c r="D75" s="4"/>
      <c r="E75" s="4"/>
      <c r="F75" s="4"/>
      <c r="G75" s="4"/>
      <c r="H75" s="4"/>
      <c r="I75" s="4"/>
      <c r="J75" s="4">
        <v>283.40600000000001</v>
      </c>
      <c r="K75" s="4"/>
      <c r="L75" s="4">
        <v>311.54899999999998</v>
      </c>
      <c r="M75" s="4"/>
      <c r="N75" s="4"/>
      <c r="O75" s="4"/>
      <c r="P75" s="4">
        <v>0</v>
      </c>
      <c r="Q75" s="4">
        <v>140.148</v>
      </c>
      <c r="R75" s="4">
        <v>146.40100000000001</v>
      </c>
      <c r="S75" s="4">
        <v>149.23699999999999</v>
      </c>
      <c r="T75" s="4">
        <v>215.119</v>
      </c>
      <c r="U75" s="4">
        <v>269.76900000000001</v>
      </c>
      <c r="V75" s="4">
        <v>283.40600000000001</v>
      </c>
    </row>
    <row r="76" spans="2:22" x14ac:dyDescent="0.25">
      <c r="B76" t="s">
        <v>77</v>
      </c>
      <c r="C76" s="4"/>
      <c r="D76" s="4"/>
      <c r="E76" s="4"/>
      <c r="F76" s="4"/>
      <c r="G76" s="4"/>
      <c r="H76" s="4"/>
      <c r="I76" s="4"/>
      <c r="J76" s="4">
        <v>3.948</v>
      </c>
      <c r="K76" s="4"/>
      <c r="L76" s="4">
        <v>4.6980000000000004</v>
      </c>
      <c r="M76" s="4"/>
      <c r="N76" s="4"/>
      <c r="O76" s="4"/>
      <c r="P76" s="4">
        <v>9.4459999999999997</v>
      </c>
      <c r="Q76" s="4">
        <v>4.0000000000000001E-3</v>
      </c>
      <c r="R76" s="4">
        <v>4.1310000000000002</v>
      </c>
      <c r="S76" s="4">
        <v>2.3719999999999999</v>
      </c>
      <c r="T76" s="4">
        <v>2.5790000000000002</v>
      </c>
      <c r="U76" s="4">
        <v>2.7669999999999999</v>
      </c>
      <c r="V76" s="4">
        <v>3.948</v>
      </c>
    </row>
    <row r="77" spans="2:22" x14ac:dyDescent="0.25">
      <c r="B77" t="s">
        <v>87</v>
      </c>
      <c r="C77" s="4"/>
      <c r="D77" s="4"/>
      <c r="E77" s="4">
        <f t="shared" ref="E77:M77" si="57">+SUM(E72:E76)</f>
        <v>0</v>
      </c>
      <c r="F77" s="4">
        <f t="shared" si="57"/>
        <v>0</v>
      </c>
      <c r="G77" s="4">
        <f t="shared" si="57"/>
        <v>0</v>
      </c>
      <c r="H77" s="4">
        <f t="shared" si="57"/>
        <v>0</v>
      </c>
      <c r="I77" s="4">
        <f t="shared" si="57"/>
        <v>0</v>
      </c>
      <c r="J77" s="4">
        <f t="shared" si="57"/>
        <v>2236.2129999999997</v>
      </c>
      <c r="K77" s="4">
        <f t="shared" si="57"/>
        <v>0</v>
      </c>
      <c r="L77" s="4">
        <f t="shared" si="57"/>
        <v>2314.58</v>
      </c>
      <c r="M77" s="4">
        <f t="shared" si="57"/>
        <v>0</v>
      </c>
      <c r="N77" s="4"/>
      <c r="O77" s="4"/>
      <c r="P77" s="4">
        <f t="shared" ref="P77:R77" si="58">+SUM(P72:P76)</f>
        <v>134.102</v>
      </c>
      <c r="Q77" s="4">
        <f t="shared" si="58"/>
        <v>349.70400000000001</v>
      </c>
      <c r="R77" s="4">
        <f t="shared" si="58"/>
        <v>536.50599999999997</v>
      </c>
      <c r="S77" s="4">
        <f t="shared" ref="S77:U77" si="59">+SUM(S72:S76)</f>
        <v>1142.7430000000002</v>
      </c>
      <c r="T77" s="4">
        <f t="shared" si="59"/>
        <v>3042.5920000000006</v>
      </c>
      <c r="U77" s="4">
        <f t="shared" si="59"/>
        <v>2491.6149999999998</v>
      </c>
      <c r="V77" s="4">
        <f>+SUM(V72:V76)</f>
        <v>2236.2129999999997</v>
      </c>
    </row>
    <row r="78" spans="2:22" x14ac:dyDescent="0.25">
      <c r="B78" s="1" t="s">
        <v>84</v>
      </c>
      <c r="C78" s="5">
        <f t="shared" ref="C78:M78" si="60">+C77+C71</f>
        <v>0</v>
      </c>
      <c r="D78" s="5">
        <f t="shared" si="60"/>
        <v>0</v>
      </c>
      <c r="E78" s="5">
        <f t="shared" si="60"/>
        <v>0</v>
      </c>
      <c r="F78" s="5">
        <f t="shared" si="60"/>
        <v>0</v>
      </c>
      <c r="G78" s="5">
        <f t="shared" si="60"/>
        <v>0</v>
      </c>
      <c r="H78" s="5">
        <f t="shared" si="60"/>
        <v>0</v>
      </c>
      <c r="I78" s="5">
        <f t="shared" si="60"/>
        <v>0</v>
      </c>
      <c r="J78" s="5">
        <f t="shared" si="60"/>
        <v>2976.4209999999998</v>
      </c>
      <c r="K78" s="5">
        <f t="shared" si="60"/>
        <v>0</v>
      </c>
      <c r="L78" s="5">
        <f t="shared" si="60"/>
        <v>3029.4290000000001</v>
      </c>
      <c r="M78" s="5">
        <f t="shared" si="60"/>
        <v>0</v>
      </c>
      <c r="N78" s="4"/>
      <c r="O78" s="4"/>
      <c r="P78" s="5">
        <f t="shared" ref="P78:R78" si="61">+P77+P71</f>
        <v>318.59299999999996</v>
      </c>
      <c r="Q78" s="5">
        <f t="shared" si="61"/>
        <v>606.92700000000002</v>
      </c>
      <c r="R78" s="5">
        <f t="shared" si="61"/>
        <v>828.08999999999992</v>
      </c>
      <c r="S78" s="5">
        <f t="shared" ref="S78:U78" si="62">+S77+S71</f>
        <v>1530.9860000000003</v>
      </c>
      <c r="T78" s="5">
        <f t="shared" si="62"/>
        <v>3683.8660000000004</v>
      </c>
      <c r="U78" s="5">
        <f t="shared" si="62"/>
        <v>3189.9110000000001</v>
      </c>
      <c r="V78" s="5">
        <f>+V77+V71</f>
        <v>2976.4209999999998</v>
      </c>
    </row>
    <row r="79" spans="2:22" x14ac:dyDescent="0.25">
      <c r="B79" t="s">
        <v>85</v>
      </c>
      <c r="C79" s="4"/>
      <c r="D79" s="4"/>
      <c r="E79" s="4"/>
      <c r="F79" s="4"/>
      <c r="G79" s="4"/>
      <c r="H79" s="4"/>
      <c r="I79" s="4"/>
      <c r="J79" s="4">
        <v>1835.732</v>
      </c>
      <c r="K79" s="4"/>
      <c r="L79" s="4">
        <v>1421.1369999999999</v>
      </c>
      <c r="M79" s="4"/>
      <c r="N79" s="4"/>
      <c r="O79" s="4"/>
      <c r="P79" s="4">
        <v>150.30799999999999</v>
      </c>
      <c r="Q79" s="4">
        <v>131.905</v>
      </c>
      <c r="R79" s="4">
        <v>290.63299999999998</v>
      </c>
      <c r="S79" s="4">
        <v>14.082000000000001</v>
      </c>
      <c r="T79" s="4">
        <v>817.93100000000004</v>
      </c>
      <c r="U79" s="4">
        <v>1453.923</v>
      </c>
      <c r="V79" s="4">
        <v>1835.732</v>
      </c>
    </row>
    <row r="80" spans="2:22" x14ac:dyDescent="0.25">
      <c r="B80" s="1" t="s">
        <v>86</v>
      </c>
      <c r="C80" s="5">
        <f t="shared" ref="C80:M80" si="63">+C78+C79</f>
        <v>0</v>
      </c>
      <c r="D80" s="5">
        <f t="shared" si="63"/>
        <v>0</v>
      </c>
      <c r="E80" s="5">
        <f t="shared" si="63"/>
        <v>0</v>
      </c>
      <c r="F80" s="5">
        <f t="shared" si="63"/>
        <v>0</v>
      </c>
      <c r="G80" s="5">
        <f t="shared" si="63"/>
        <v>0</v>
      </c>
      <c r="H80" s="5">
        <f t="shared" si="63"/>
        <v>0</v>
      </c>
      <c r="I80" s="5">
        <f t="shared" si="63"/>
        <v>0</v>
      </c>
      <c r="J80" s="5">
        <f t="shared" si="63"/>
        <v>4812.1530000000002</v>
      </c>
      <c r="K80" s="5">
        <f t="shared" si="63"/>
        <v>0</v>
      </c>
      <c r="L80" s="5">
        <f t="shared" si="63"/>
        <v>4450.5659999999998</v>
      </c>
      <c r="M80" s="5">
        <f t="shared" si="63"/>
        <v>0</v>
      </c>
      <c r="N80" s="4"/>
      <c r="O80" s="4"/>
      <c r="P80" s="5">
        <f t="shared" ref="P80:R80" si="64">+P78+P79</f>
        <v>468.90099999999995</v>
      </c>
      <c r="Q80" s="5">
        <f t="shared" si="64"/>
        <v>738.83199999999999</v>
      </c>
      <c r="R80" s="5">
        <f t="shared" si="64"/>
        <v>1118.723</v>
      </c>
      <c r="S80" s="5">
        <f t="shared" ref="S80:U80" si="65">+S78+S79</f>
        <v>1545.0680000000004</v>
      </c>
      <c r="T80" s="5">
        <f t="shared" si="65"/>
        <v>4501.7970000000005</v>
      </c>
      <c r="U80" s="5">
        <f t="shared" si="65"/>
        <v>4643.8339999999998</v>
      </c>
      <c r="V80" s="5">
        <f>+V78+V79</f>
        <v>4812.1530000000002</v>
      </c>
    </row>
    <row r="81" spans="2:22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2:22" x14ac:dyDescent="0.25">
      <c r="B82" t="s">
        <v>36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>
        <v>50.436999999999998</v>
      </c>
      <c r="Q82" s="4">
        <f t="shared" ref="Q82:R82" si="66">+Q29</f>
        <v>119.49700000000007</v>
      </c>
      <c r="R82" s="4">
        <f t="shared" si="66"/>
        <v>312.86099999999993</v>
      </c>
      <c r="S82" s="4">
        <f t="shared" ref="S82:U82" si="67">+S29</f>
        <v>725.6940000000003</v>
      </c>
      <c r="T82" s="4">
        <f t="shared" si="67"/>
        <v>540.15900000000011</v>
      </c>
      <c r="U82" s="4">
        <f t="shared" si="67"/>
        <v>792.56600000000003</v>
      </c>
      <c r="V82" s="4">
        <f>+V29</f>
        <v>950.07100000000025</v>
      </c>
    </row>
    <row r="83" spans="2:22" x14ac:dyDescent="0.25">
      <c r="B83" t="s">
        <v>88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>
        <v>29.25</v>
      </c>
      <c r="Q83" s="4">
        <v>24.213000000000001</v>
      </c>
      <c r="R83" s="4">
        <v>27.619</v>
      </c>
      <c r="S83" s="4">
        <v>31.975999999999999</v>
      </c>
      <c r="T83" s="4">
        <v>39.228999999999999</v>
      </c>
      <c r="U83" s="4">
        <v>54.304000000000002</v>
      </c>
      <c r="V83" s="4">
        <v>69.84</v>
      </c>
    </row>
    <row r="84" spans="2:22" x14ac:dyDescent="0.25">
      <c r="B84" t="s">
        <v>89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>
        <v>0</v>
      </c>
      <c r="Q84" s="4">
        <v>0</v>
      </c>
      <c r="R84" s="4">
        <v>0</v>
      </c>
      <c r="S84" s="4">
        <v>0.31</v>
      </c>
      <c r="T84" s="4">
        <v>9.0630000000000006</v>
      </c>
      <c r="U84" s="4">
        <v>0.41899999999999998</v>
      </c>
      <c r="V84" s="4">
        <v>0.95799999999999996</v>
      </c>
    </row>
    <row r="85" spans="2:22" x14ac:dyDescent="0.25">
      <c r="B85" t="s">
        <v>83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>
        <v>0</v>
      </c>
      <c r="Q85" s="4">
        <v>60.142000000000003</v>
      </c>
      <c r="R85" s="4">
        <v>61.582999999999998</v>
      </c>
      <c r="S85" s="4">
        <v>58.283000000000001</v>
      </c>
      <c r="T85" s="4">
        <v>66.012</v>
      </c>
      <c r="U85" s="4">
        <v>79.543000000000006</v>
      </c>
      <c r="V85" s="4">
        <v>85.13</v>
      </c>
    </row>
    <row r="86" spans="2:22" x14ac:dyDescent="0.25">
      <c r="B86" t="s">
        <v>90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>
        <v>8.4000000000000005E-2</v>
      </c>
      <c r="Q86" s="4">
        <v>0.109</v>
      </c>
      <c r="R86" s="4">
        <v>8.9939999999999998</v>
      </c>
      <c r="S86" s="4">
        <v>1.264</v>
      </c>
      <c r="T86" s="4">
        <v>2.77</v>
      </c>
      <c r="U86" s="4">
        <v>2.0779999999999998</v>
      </c>
      <c r="V86" s="4">
        <v>0.81200000000000006</v>
      </c>
    </row>
    <row r="87" spans="2:22" x14ac:dyDescent="0.25">
      <c r="B87" t="s">
        <v>91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>
        <v>0.71099999999999997</v>
      </c>
      <c r="Q87" s="4">
        <v>1.5660000000000001</v>
      </c>
      <c r="R87" s="4">
        <v>5.7789999999999999</v>
      </c>
      <c r="S87" s="4">
        <v>-2.629</v>
      </c>
      <c r="T87" s="4">
        <v>1.101</v>
      </c>
      <c r="U87" s="4">
        <v>3.5680000000000001</v>
      </c>
      <c r="V87" s="4">
        <v>1.3520000000000001</v>
      </c>
    </row>
    <row r="88" spans="2:22" x14ac:dyDescent="0.25">
      <c r="B88" t="s">
        <v>92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>
        <v>13.105</v>
      </c>
      <c r="Q88" s="4">
        <v>14.412000000000001</v>
      </c>
      <c r="R88" s="4">
        <v>16.361000000000001</v>
      </c>
      <c r="S88" s="4">
        <v>38.122</v>
      </c>
      <c r="T88" s="4">
        <v>31.303000000000001</v>
      </c>
      <c r="U88" s="4">
        <v>29.071999999999999</v>
      </c>
      <c r="V88" s="4">
        <v>33.052999999999997</v>
      </c>
    </row>
    <row r="89" spans="2:22" x14ac:dyDescent="0.25">
      <c r="B89" t="s">
        <v>93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>
        <v>2.1819999999999999</v>
      </c>
      <c r="Q89" s="4">
        <v>0</v>
      </c>
      <c r="R89" s="4">
        <v>21.071000000000002</v>
      </c>
      <c r="S89" s="4">
        <v>0</v>
      </c>
      <c r="T89" s="4">
        <v>0</v>
      </c>
      <c r="U89" s="4">
        <v>9.2870000000000008</v>
      </c>
      <c r="V89" s="4">
        <v>24.081</v>
      </c>
    </row>
    <row r="90" spans="2:22" x14ac:dyDescent="0.25">
      <c r="B90" t="s">
        <v>94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>
        <v>0.95899999999999996</v>
      </c>
      <c r="Q90" s="4">
        <v>-16.259</v>
      </c>
      <c r="R90" s="4">
        <v>-325.06099999999998</v>
      </c>
      <c r="S90" s="4">
        <v>-241.28299999999999</v>
      </c>
      <c r="T90" s="4">
        <v>-4.76</v>
      </c>
      <c r="U90" s="4">
        <v>-410.31900000000002</v>
      </c>
      <c r="V90" s="4">
        <v>-254.45400000000001</v>
      </c>
    </row>
    <row r="91" spans="2:22" x14ac:dyDescent="0.25">
      <c r="B91" t="s">
        <v>77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>
        <f>1.91-1.455+5.019</f>
        <v>5.4740000000000002</v>
      </c>
      <c r="Q91" s="4">
        <f>-1.072-1.14-0.213</f>
        <v>-2.4249999999999998</v>
      </c>
      <c r="R91" s="4">
        <f>4.841+0.126+0.34</f>
        <v>5.3070000000000004</v>
      </c>
      <c r="S91" s="4">
        <v>-4.5999999999999999E-2</v>
      </c>
      <c r="T91" s="4">
        <v>9.9469999999999992</v>
      </c>
      <c r="U91" s="4">
        <v>3.4009999999999998</v>
      </c>
      <c r="V91" s="4">
        <v>13.212999999999999</v>
      </c>
    </row>
    <row r="92" spans="2:22" x14ac:dyDescent="0.25">
      <c r="B92" t="s">
        <v>95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>
        <v>-24.623000000000001</v>
      </c>
      <c r="Q92" s="4">
        <v>-15.015000000000001</v>
      </c>
      <c r="R92" s="4">
        <v>-47.045000000000002</v>
      </c>
      <c r="S92" s="4">
        <v>-35.063000000000002</v>
      </c>
      <c r="T92" s="4">
        <v>-56.765999999999998</v>
      </c>
      <c r="U92" s="4">
        <v>-13.317</v>
      </c>
      <c r="V92" s="4">
        <v>42.587000000000003</v>
      </c>
    </row>
    <row r="93" spans="2:22" x14ac:dyDescent="0.25">
      <c r="B93" t="s">
        <v>96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>
        <v>-1.9870000000000001</v>
      </c>
      <c r="Q93" s="4">
        <v>-48.155999999999999</v>
      </c>
      <c r="R93" s="4">
        <v>-13.462</v>
      </c>
      <c r="S93" s="4">
        <v>-43.063000000000002</v>
      </c>
      <c r="T93" s="4">
        <v>-91.614000000000004</v>
      </c>
      <c r="U93" s="4">
        <v>86.35</v>
      </c>
      <c r="V93" s="4">
        <v>22.055</v>
      </c>
    </row>
    <row r="94" spans="2:22" x14ac:dyDescent="0.25">
      <c r="B94" t="s">
        <v>97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>
        <v>9.7029999999999994</v>
      </c>
      <c r="Q94" s="4">
        <v>-4.0119999999999996</v>
      </c>
      <c r="R94" s="4">
        <v>5.0069999999999997</v>
      </c>
      <c r="S94" s="4">
        <v>-6.2119999999999997</v>
      </c>
      <c r="T94" s="4">
        <v>-14.435</v>
      </c>
      <c r="U94" s="4">
        <v>-31.838999999999999</v>
      </c>
      <c r="V94" s="4">
        <v>-13.891999999999999</v>
      </c>
    </row>
    <row r="95" spans="2:22" x14ac:dyDescent="0.25">
      <c r="B95" t="s">
        <v>98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>
        <v>12.952999999999999</v>
      </c>
      <c r="Q95" s="4">
        <v>6.032</v>
      </c>
      <c r="R95" s="4">
        <v>23.228999999999999</v>
      </c>
      <c r="S95" s="4">
        <v>34.868000000000002</v>
      </c>
      <c r="T95" s="4">
        <v>41.701000000000001</v>
      </c>
      <c r="U95" s="4">
        <v>37.197000000000003</v>
      </c>
      <c r="V95" s="4">
        <v>3.9510000000000001</v>
      </c>
    </row>
    <row r="96" spans="2:22" x14ac:dyDescent="0.25">
      <c r="B96" t="s">
        <v>99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>
        <v>18.065000000000001</v>
      </c>
      <c r="Q96" s="4">
        <v>13.265000000000001</v>
      </c>
      <c r="R96" s="4">
        <v>22.358000000000001</v>
      </c>
      <c r="S96" s="4">
        <v>38.448</v>
      </c>
      <c r="T96" s="4">
        <v>38.628999999999998</v>
      </c>
      <c r="U96" s="4">
        <v>46.695</v>
      </c>
      <c r="V96" s="4">
        <v>9.9710000000000001</v>
      </c>
    </row>
    <row r="97" spans="2:22" x14ac:dyDescent="0.25">
      <c r="B97" t="s">
        <v>100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>
        <v>0</v>
      </c>
      <c r="Q97" s="4">
        <v>-64.313000000000002</v>
      </c>
      <c r="R97" s="4">
        <v>-61.177999999999997</v>
      </c>
      <c r="S97" s="4">
        <v>-52.752000000000002</v>
      </c>
      <c r="T97" s="4">
        <v>-63.354999999999997</v>
      </c>
      <c r="U97" s="4">
        <v>-75.106999999999999</v>
      </c>
      <c r="V97" s="4">
        <v>-88.772000000000006</v>
      </c>
    </row>
    <row r="98" spans="2:22" x14ac:dyDescent="0.25">
      <c r="B98" t="s">
        <v>101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>
        <v>-2.1509999999999998</v>
      </c>
      <c r="Q98" s="4">
        <v>0.90200000000000002</v>
      </c>
      <c r="R98" s="4">
        <v>203.47900000000001</v>
      </c>
      <c r="S98" s="4">
        <v>19.248000000000001</v>
      </c>
      <c r="T98" s="4">
        <v>54.158000000000001</v>
      </c>
      <c r="U98" s="4">
        <v>316.54599999999999</v>
      </c>
      <c r="V98" s="4">
        <v>92.53</v>
      </c>
    </row>
    <row r="99" spans="2:22" x14ac:dyDescent="0.25">
      <c r="B99" t="s">
        <v>102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>
        <f t="shared" ref="P99:U99" si="68">+SUM(P92:P98)</f>
        <v>11.96</v>
      </c>
      <c r="Q99" s="4">
        <f t="shared" si="68"/>
        <v>-111.297</v>
      </c>
      <c r="R99" s="4">
        <f t="shared" si="68"/>
        <v>132.38800000000001</v>
      </c>
      <c r="S99" s="4">
        <f t="shared" si="68"/>
        <v>-44.52600000000001</v>
      </c>
      <c r="T99" s="4">
        <f t="shared" si="68"/>
        <v>-91.682000000000002</v>
      </c>
      <c r="U99" s="4">
        <f t="shared" si="68"/>
        <v>366.52499999999998</v>
      </c>
      <c r="V99" s="4">
        <f>+SUM(V92:V98)</f>
        <v>68.429999999999993</v>
      </c>
    </row>
    <row r="100" spans="2:22" x14ac:dyDescent="0.25">
      <c r="B100" s="1" t="s">
        <v>103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>
        <f t="shared" ref="P100:U100" si="69">+P82+SUM(P83:P91)+P99</f>
        <v>114.16200000000001</v>
      </c>
      <c r="Q100" s="5">
        <f t="shared" si="69"/>
        <v>89.958000000000084</v>
      </c>
      <c r="R100" s="5">
        <f t="shared" si="69"/>
        <v>266.90199999999993</v>
      </c>
      <c r="S100" s="5">
        <f t="shared" si="69"/>
        <v>567.16500000000019</v>
      </c>
      <c r="T100" s="5">
        <f t="shared" si="69"/>
        <v>603.14200000000005</v>
      </c>
      <c r="U100" s="5">
        <f t="shared" si="69"/>
        <v>930.44400000000007</v>
      </c>
      <c r="V100" s="5">
        <f>+V82+SUM(V83:V91)+V99</f>
        <v>992.48600000000022</v>
      </c>
    </row>
    <row r="101" spans="2:22" x14ac:dyDescent="0.25">
      <c r="B101" t="s">
        <v>104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>
        <f>-11.979+1.856</f>
        <v>-10.122999999999999</v>
      </c>
      <c r="Q101" s="4">
        <f>0.616-36.576</f>
        <v>-35.96</v>
      </c>
      <c r="R101" s="4">
        <f>-42.033+0.436</f>
        <v>-41.597000000000001</v>
      </c>
      <c r="S101" s="4">
        <v>-55.915999999999997</v>
      </c>
      <c r="T101" s="4">
        <v>-104.19</v>
      </c>
      <c r="U101" s="4">
        <v>-115.625</v>
      </c>
      <c r="V101" s="4">
        <v>-69.346999999999994</v>
      </c>
    </row>
    <row r="102" spans="2:22" x14ac:dyDescent="0.25">
      <c r="B102" t="s">
        <v>105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>
        <v>0</v>
      </c>
      <c r="Q102" s="4">
        <v>0</v>
      </c>
      <c r="R102" s="4">
        <v>0</v>
      </c>
      <c r="S102" s="4">
        <v>0</v>
      </c>
      <c r="T102" s="4">
        <v>-2046.8810000000001</v>
      </c>
      <c r="U102" s="4">
        <v>0</v>
      </c>
      <c r="V102" s="4">
        <v>0</v>
      </c>
    </row>
    <row r="103" spans="2:22" x14ac:dyDescent="0.25">
      <c r="B103" t="s">
        <v>77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>
        <v>1.2999999999999999E-2</v>
      </c>
      <c r="Q103" s="4">
        <v>-0.27600000000000002</v>
      </c>
      <c r="R103" s="4">
        <v>-0.192</v>
      </c>
      <c r="S103" s="4">
        <v>-8.9999999999999993E-3</v>
      </c>
      <c r="T103" s="4">
        <v>-0.02</v>
      </c>
      <c r="U103" s="4">
        <v>-4.5999999999999999E-2</v>
      </c>
      <c r="V103" s="4">
        <v>0</v>
      </c>
    </row>
    <row r="104" spans="2:22" x14ac:dyDescent="0.25">
      <c r="B104" s="1" t="s">
        <v>106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>
        <f t="shared" ref="P104:U104" si="70">+SUM(P101:P103)</f>
        <v>-10.11</v>
      </c>
      <c r="Q104" s="5">
        <f t="shared" si="70"/>
        <v>-36.236000000000004</v>
      </c>
      <c r="R104" s="5">
        <f t="shared" si="70"/>
        <v>-41.789000000000001</v>
      </c>
      <c r="S104" s="5">
        <f t="shared" si="70"/>
        <v>-55.924999999999997</v>
      </c>
      <c r="T104" s="5">
        <f t="shared" si="70"/>
        <v>-2151.0909999999999</v>
      </c>
      <c r="U104" s="5">
        <f t="shared" si="70"/>
        <v>-115.67100000000001</v>
      </c>
      <c r="V104" s="5">
        <f>+SUM(V101:V103)</f>
        <v>-69.346999999999994</v>
      </c>
    </row>
    <row r="105" spans="2:22" x14ac:dyDescent="0.25">
      <c r="B105" t="s">
        <v>111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>
        <v>120</v>
      </c>
      <c r="Q105" s="4">
        <v>315</v>
      </c>
      <c r="R105" s="4">
        <v>210</v>
      </c>
      <c r="S105" s="4">
        <f>700+390</f>
        <v>1090</v>
      </c>
      <c r="T105" s="4">
        <v>2169.8980000000001</v>
      </c>
      <c r="U105" s="4">
        <v>257.90499999999997</v>
      </c>
      <c r="V105" s="4">
        <v>102.15600000000001</v>
      </c>
    </row>
    <row r="106" spans="2:22" x14ac:dyDescent="0.25">
      <c r="B106" t="s">
        <v>112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>
        <v>-0.66200000000000003</v>
      </c>
      <c r="Q106" s="4">
        <v>-230</v>
      </c>
      <c r="R106" s="4">
        <v>-235</v>
      </c>
      <c r="S106" s="4">
        <v>-485</v>
      </c>
      <c r="T106" s="4">
        <v>-575.28499999999997</v>
      </c>
      <c r="U106" s="4">
        <v>-923.70299999999997</v>
      </c>
      <c r="V106" s="4">
        <v>-425.40499999999997</v>
      </c>
    </row>
    <row r="107" spans="2:22" x14ac:dyDescent="0.25">
      <c r="B107" t="s">
        <v>113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>
        <v>0</v>
      </c>
      <c r="Q107" s="4">
        <v>0</v>
      </c>
      <c r="R107" s="4">
        <v>0</v>
      </c>
      <c r="S107" s="4">
        <v>-14.755000000000001</v>
      </c>
      <c r="T107" s="4">
        <v>-53.595999999999997</v>
      </c>
      <c r="U107" s="4">
        <v>-1.736</v>
      </c>
      <c r="V107" s="4">
        <v>-2.2770000000000001</v>
      </c>
    </row>
    <row r="108" spans="2:22" x14ac:dyDescent="0.25">
      <c r="B108" t="s">
        <v>114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>
        <f>-183.724-21.015-63.131</f>
        <v>-267.87</v>
      </c>
      <c r="Q108" s="4">
        <f>-2.985-147.19</f>
        <v>-150.17500000000001</v>
      </c>
      <c r="R108" s="4">
        <v>-170.83199999999999</v>
      </c>
      <c r="S108" s="4">
        <v>-1000</v>
      </c>
      <c r="T108" s="4">
        <v>0</v>
      </c>
      <c r="U108" s="4">
        <v>-175.01900000000001</v>
      </c>
      <c r="V108" s="4">
        <v>-552.45100000000002</v>
      </c>
    </row>
    <row r="109" spans="2:22" x14ac:dyDescent="0.25">
      <c r="B109" t="s">
        <v>115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>
        <v>0</v>
      </c>
      <c r="Q109" s="4">
        <v>0</v>
      </c>
      <c r="R109" s="4">
        <v>0</v>
      </c>
      <c r="S109" s="4">
        <v>-20.119</v>
      </c>
      <c r="T109" s="4">
        <v>-11.477</v>
      </c>
      <c r="U109" s="4">
        <v>-17.085999999999999</v>
      </c>
      <c r="V109" s="4">
        <v>-8.2390000000000008</v>
      </c>
    </row>
    <row r="110" spans="2:22" x14ac:dyDescent="0.25">
      <c r="B110" t="s">
        <v>77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>
        <v>-0.27</v>
      </c>
      <c r="Q110" s="4">
        <v>-3.4630000000000001</v>
      </c>
      <c r="R110" s="4">
        <v>-2.206</v>
      </c>
      <c r="S110" s="4">
        <v>0.23599999999999999</v>
      </c>
      <c r="T110" s="4">
        <v>0.11899999999999999</v>
      </c>
      <c r="U110" s="4">
        <v>0</v>
      </c>
      <c r="V110" s="4">
        <v>0.16800000000000001</v>
      </c>
    </row>
    <row r="111" spans="2:22" x14ac:dyDescent="0.25">
      <c r="B111" s="1" t="s">
        <v>116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>
        <f t="shared" ref="P111:U111" si="71">+SUM(P105:P110)</f>
        <v>-148.80200000000002</v>
      </c>
      <c r="Q111" s="5">
        <f t="shared" si="71"/>
        <v>-68.638000000000005</v>
      </c>
      <c r="R111" s="5">
        <f t="shared" si="71"/>
        <v>-198.03799999999998</v>
      </c>
      <c r="S111" s="5">
        <f t="shared" si="71"/>
        <v>-429.63800000000003</v>
      </c>
      <c r="T111" s="5">
        <f t="shared" si="71"/>
        <v>1529.6590000000001</v>
      </c>
      <c r="U111" s="5">
        <f t="shared" si="71"/>
        <v>-859.63900000000001</v>
      </c>
      <c r="V111" s="5">
        <f>+SUM(V105:V110)</f>
        <v>-886.048</v>
      </c>
    </row>
    <row r="112" spans="2:22" x14ac:dyDescent="0.25">
      <c r="B112" t="s">
        <v>110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>
        <v>-4.7750000000000004</v>
      </c>
      <c r="Q112" s="4">
        <v>-0.56899999999999995</v>
      </c>
      <c r="R112" s="4">
        <v>0.126</v>
      </c>
      <c r="S112" s="4">
        <v>-3.95</v>
      </c>
      <c r="T112" s="4">
        <v>-3.75</v>
      </c>
      <c r="U112" s="4">
        <v>3.0779999999999998</v>
      </c>
      <c r="V112" s="4">
        <v>-6.51</v>
      </c>
    </row>
    <row r="113" spans="2:22" x14ac:dyDescent="0.25">
      <c r="B113" t="s">
        <v>109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>
        <f t="shared" ref="P113:S113" si="72">+P111+P112+P104+P100</f>
        <v>-49.525000000000006</v>
      </c>
      <c r="Q113" s="4">
        <f t="shared" si="72"/>
        <v>-15.484999999999928</v>
      </c>
      <c r="R113" s="4">
        <f t="shared" si="72"/>
        <v>27.200999999999965</v>
      </c>
      <c r="S113" s="4">
        <f t="shared" si="72"/>
        <v>77.652000000000157</v>
      </c>
      <c r="T113" s="4">
        <f t="shared" ref="T113:U113" si="73">+T111+T112+T104+T100</f>
        <v>-22.039999999999736</v>
      </c>
      <c r="U113" s="4">
        <f t="shared" si="73"/>
        <v>-41.788000000000011</v>
      </c>
      <c r="V113" s="4">
        <f>+V111+V112+V104+V100</f>
        <v>30.581000000000245</v>
      </c>
    </row>
    <row r="114" spans="2:22" x14ac:dyDescent="0.25">
      <c r="B114" t="s">
        <v>108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>
        <f t="shared" ref="P114:U114" si="74">+P115-P113</f>
        <v>177.08199999999957</v>
      </c>
      <c r="Q114" s="4">
        <f t="shared" si="74"/>
        <v>127.55699999999956</v>
      </c>
      <c r="R114" s="4">
        <f t="shared" si="74"/>
        <v>112.07199999999963</v>
      </c>
      <c r="S114" s="4">
        <f t="shared" si="74"/>
        <v>139.2729999999996</v>
      </c>
      <c r="T114" s="4">
        <f t="shared" si="74"/>
        <v>216.92499999999976</v>
      </c>
      <c r="U114" s="4">
        <f t="shared" si="74"/>
        <v>194.88500000000002</v>
      </c>
      <c r="V114" s="4">
        <v>153.09700000000001</v>
      </c>
    </row>
    <row r="115" spans="2:22" x14ac:dyDescent="0.25">
      <c r="B115" t="s">
        <v>107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>
        <f t="shared" ref="P115:U115" si="75">+Q114</f>
        <v>127.55699999999956</v>
      </c>
      <c r="Q115" s="4">
        <f t="shared" si="75"/>
        <v>112.07199999999963</v>
      </c>
      <c r="R115" s="4">
        <f t="shared" si="75"/>
        <v>139.2729999999996</v>
      </c>
      <c r="S115" s="4">
        <f t="shared" si="75"/>
        <v>216.92499999999976</v>
      </c>
      <c r="T115" s="4">
        <f t="shared" si="75"/>
        <v>194.88500000000002</v>
      </c>
      <c r="U115" s="4">
        <f t="shared" si="75"/>
        <v>153.09700000000001</v>
      </c>
      <c r="V115" s="4">
        <f>+V113+V114</f>
        <v>183.67800000000025</v>
      </c>
    </row>
    <row r="116" spans="2:22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2:22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2:22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2:22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2:22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2:22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2:22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2:22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2:22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2:22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2:22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2:22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2:22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3:22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3:22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3:22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3:22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3:22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3:22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3:22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3:22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3:22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3:22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3:22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3:22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3:22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3:22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3:22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3:22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3:22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3:22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3:22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3:22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3:22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3:22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3:22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3:22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3:22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3:22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3:22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3:22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3:22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3:22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3:22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3:22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3:22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3:22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3:22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3:22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3:22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3:22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3:22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3:22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3:22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3:22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3:22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3:22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3:22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3:22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3:22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3:22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3:22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3:22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3:22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3:22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3:22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3:22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3:22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3:22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3:22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3:22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3:22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3:22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3:22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3:22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3:22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3:22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3:22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3:22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3:22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3:22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3:22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3:22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3:22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3:22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3:22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3:22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3:22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3:22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3:22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3:22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3:22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3:22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3:22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3:22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3:22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3:22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3:22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3:22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3:22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3:22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3:22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3:22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3:22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3:22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3:22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3:22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3:22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3:22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3:22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3:22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3:22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3:22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3:22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3:22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3:22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3:22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3:22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3:22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3:22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3:22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3:22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3:22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3:22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3:22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3:22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3:22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3:22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3:22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3:22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3:22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3:22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3:22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3:22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3:22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3:22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3:22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3:22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3:22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3:22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3:22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3:22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3:22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3:22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3:22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3:22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3:22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3:22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3:22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3:22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3:22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3:22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3:22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3:22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3:22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3:22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3:22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3:22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3:22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3:22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3:22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3:22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3:22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3:22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3:22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3:22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3:22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3:22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3:22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3:22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3:22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3:22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3:22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3:22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3:22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3:22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3:22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3:22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3:22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3:22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3:22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</sheetData>
  <hyperlinks>
    <hyperlink ref="A1" location="Main!A1" display="Main" xr:uid="{4713003D-8DEF-4BEB-954D-6C28BB4DBC81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8CE3-456B-4606-A793-366B0530559A}">
  <dimension ref="A1:L6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8" sqref="A18"/>
    </sheetView>
  </sheetViews>
  <sheetFormatPr defaultRowHeight="15" x14ac:dyDescent="0.25"/>
  <cols>
    <col min="1" max="1" width="5.42578125" bestFit="1" customWidth="1"/>
    <col min="2" max="2" width="32.42578125" bestFit="1" customWidth="1"/>
  </cols>
  <sheetData>
    <row r="1" spans="1:12" x14ac:dyDescent="0.25">
      <c r="A1" s="2" t="s">
        <v>8</v>
      </c>
    </row>
    <row r="2" spans="1:12" x14ac:dyDescent="0.25">
      <c r="B2" s="26" t="s">
        <v>128</v>
      </c>
      <c r="C2" s="27">
        <v>18</v>
      </c>
      <c r="D2" s="27">
        <f>+C2+1</f>
        <v>19</v>
      </c>
      <c r="E2" s="27">
        <f t="shared" ref="E2:J2" si="0">+D2+1</f>
        <v>20</v>
      </c>
      <c r="F2" s="27">
        <f t="shared" si="0"/>
        <v>21</v>
      </c>
      <c r="G2" s="27">
        <f t="shared" si="0"/>
        <v>22</v>
      </c>
      <c r="H2" s="27">
        <f t="shared" si="0"/>
        <v>23</v>
      </c>
      <c r="I2" s="27">
        <f t="shared" si="0"/>
        <v>24</v>
      </c>
      <c r="J2" s="27">
        <f t="shared" si="0"/>
        <v>25</v>
      </c>
      <c r="K2" s="28"/>
    </row>
    <row r="3" spans="1:12" x14ac:dyDescent="0.25">
      <c r="B3" t="s">
        <v>2</v>
      </c>
      <c r="C3" s="4">
        <v>27.6</v>
      </c>
      <c r="D3" s="4">
        <v>41.89</v>
      </c>
      <c r="E3" s="4">
        <v>62.66</v>
      </c>
      <c r="F3" s="4">
        <v>128.22</v>
      </c>
      <c r="G3" s="4">
        <v>106.81</v>
      </c>
      <c r="H3" s="4">
        <v>93.77</v>
      </c>
      <c r="I3" s="4">
        <v>110.3</v>
      </c>
      <c r="J3" s="29"/>
      <c r="K3" s="29"/>
    </row>
    <row r="4" spans="1:12" x14ac:dyDescent="0.25">
      <c r="B4" t="s">
        <v>129</v>
      </c>
      <c r="C4" s="4">
        <f>+Model!P32</f>
        <v>68.421000000000006</v>
      </c>
      <c r="D4" s="4">
        <f>+Model!Q32</f>
        <v>70.356999999999999</v>
      </c>
      <c r="E4" s="4">
        <f>+Model!R32</f>
        <v>67.385999999999996</v>
      </c>
      <c r="F4" s="4">
        <f>+Model!S32</f>
        <v>62.463999999999999</v>
      </c>
      <c r="G4" s="4">
        <f>+Model!T32</f>
        <v>61.22</v>
      </c>
      <c r="H4" s="4">
        <f>+Model!U32</f>
        <v>61.386000000000003</v>
      </c>
      <c r="I4" s="4">
        <f>+Model!V32</f>
        <v>59.381</v>
      </c>
      <c r="J4" s="29"/>
      <c r="K4" s="29"/>
    </row>
    <row r="5" spans="1:12" x14ac:dyDescent="0.25">
      <c r="B5" t="s">
        <v>130</v>
      </c>
      <c r="C5" s="29">
        <f t="shared" ref="C5:H5" si="1">+C3*C4</f>
        <v>1888.4196000000002</v>
      </c>
      <c r="D5" s="29">
        <f t="shared" si="1"/>
        <v>2947.2547300000001</v>
      </c>
      <c r="E5" s="29">
        <f t="shared" si="1"/>
        <v>4222.4067599999998</v>
      </c>
      <c r="F5" s="29">
        <f t="shared" si="1"/>
        <v>8009.1340799999998</v>
      </c>
      <c r="G5" s="29">
        <f t="shared" si="1"/>
        <v>6538.9081999999999</v>
      </c>
      <c r="H5" s="29">
        <f t="shared" si="1"/>
        <v>5756.1652199999999</v>
      </c>
      <c r="I5" s="29">
        <f>+I3*I4</f>
        <v>6549.7242999999999</v>
      </c>
      <c r="J5" s="29"/>
      <c r="K5" s="29"/>
    </row>
    <row r="6" spans="1:12" x14ac:dyDescent="0.25">
      <c r="B6" t="s">
        <v>131</v>
      </c>
      <c r="C6" s="29">
        <f>+Model!P69+Model!P74-Model!P48-Model!P49</f>
        <v>-100.994</v>
      </c>
      <c r="D6" s="29">
        <f>+Model!Q69+Model!Q74-Model!Q48-Model!Q49</f>
        <v>95.247</v>
      </c>
      <c r="E6" s="29">
        <f>+Model!R69+Model!R74-Model!R48-Model!R49</f>
        <v>42.656000000000006</v>
      </c>
      <c r="F6" s="29">
        <f>+Model!S69+Model!S74-Model!S48-Model!S49</f>
        <v>558.12799999999993</v>
      </c>
      <c r="G6" s="29">
        <f>+Model!T69+Model!T74-Model!T48-Model!T49</f>
        <v>2130.7580000000003</v>
      </c>
      <c r="H6" s="29">
        <f>+Model!U69+Model!U74-Model!U48-Model!U49</f>
        <v>1515.0340000000001</v>
      </c>
      <c r="I6" s="29">
        <f>+Model!V69+Model!V74-Model!V48-Model!V49</f>
        <v>1168.8539999999998</v>
      </c>
      <c r="J6" s="29"/>
      <c r="K6" s="29"/>
    </row>
    <row r="7" spans="1:12" x14ac:dyDescent="0.25">
      <c r="B7" t="s">
        <v>7</v>
      </c>
      <c r="C7" s="29">
        <f t="shared" ref="C7:H7" si="2">+C5+C6</f>
        <v>1787.4256000000003</v>
      </c>
      <c r="D7" s="29">
        <f t="shared" si="2"/>
        <v>3042.50173</v>
      </c>
      <c r="E7" s="29">
        <f t="shared" si="2"/>
        <v>4265.0627599999998</v>
      </c>
      <c r="F7" s="29">
        <f t="shared" si="2"/>
        <v>8567.2620800000004</v>
      </c>
      <c r="G7" s="29">
        <f t="shared" si="2"/>
        <v>8669.6661999999997</v>
      </c>
      <c r="H7" s="29">
        <f t="shared" si="2"/>
        <v>7271.1992200000004</v>
      </c>
      <c r="I7" s="29">
        <f>+I5+I6</f>
        <v>7718.5782999999992</v>
      </c>
      <c r="J7" s="29"/>
      <c r="K7" s="29"/>
    </row>
    <row r="8" spans="1:12" x14ac:dyDescent="0.25">
      <c r="C8" s="29"/>
      <c r="D8" s="29"/>
      <c r="E8" s="29"/>
      <c r="F8" s="29"/>
      <c r="G8" s="29"/>
      <c r="H8" s="29"/>
      <c r="I8" s="29"/>
      <c r="J8" s="29"/>
      <c r="K8" s="29"/>
    </row>
    <row r="9" spans="1:12" x14ac:dyDescent="0.25">
      <c r="A9" s="30" t="s">
        <v>132</v>
      </c>
      <c r="B9" s="31" t="s">
        <v>133</v>
      </c>
      <c r="C9" s="29"/>
      <c r="D9" s="29"/>
      <c r="E9" s="29"/>
      <c r="F9" s="29"/>
      <c r="G9" s="29"/>
      <c r="H9" s="29"/>
      <c r="I9" s="29"/>
      <c r="J9" s="29"/>
      <c r="K9" s="29"/>
    </row>
    <row r="10" spans="1:12" x14ac:dyDescent="0.25">
      <c r="B10" t="s">
        <v>134</v>
      </c>
      <c r="L10" s="32" t="s">
        <v>135</v>
      </c>
    </row>
    <row r="11" spans="1:12" x14ac:dyDescent="0.25">
      <c r="B11" t="s">
        <v>136</v>
      </c>
      <c r="L11" s="32" t="s">
        <v>137</v>
      </c>
    </row>
    <row r="12" spans="1:12" x14ac:dyDescent="0.25">
      <c r="B12" t="s">
        <v>138</v>
      </c>
      <c r="L12" s="32"/>
    </row>
    <row r="13" spans="1:12" x14ac:dyDescent="0.25">
      <c r="B13" t="s">
        <v>139</v>
      </c>
      <c r="L13" s="32" t="s">
        <v>140</v>
      </c>
    </row>
    <row r="14" spans="1:12" x14ac:dyDescent="0.25">
      <c r="B14" t="s">
        <v>141</v>
      </c>
      <c r="L14" t="s">
        <v>142</v>
      </c>
    </row>
    <row r="15" spans="1:12" x14ac:dyDescent="0.25">
      <c r="B15" t="s">
        <v>143</v>
      </c>
      <c r="L15" s="32" t="s">
        <v>144</v>
      </c>
    </row>
    <row r="16" spans="1:12" x14ac:dyDescent="0.25">
      <c r="B16" t="s">
        <v>145</v>
      </c>
      <c r="L16" s="32" t="s">
        <v>146</v>
      </c>
    </row>
    <row r="17" spans="1:12" x14ac:dyDescent="0.25">
      <c r="B17" t="s">
        <v>147</v>
      </c>
      <c r="L17" s="32" t="s">
        <v>148</v>
      </c>
    </row>
    <row r="18" spans="1:12" x14ac:dyDescent="0.25">
      <c r="B18" t="s">
        <v>149</v>
      </c>
      <c r="L18" s="32" t="s">
        <v>150</v>
      </c>
    </row>
    <row r="20" spans="1:12" x14ac:dyDescent="0.25">
      <c r="A20" s="30" t="s">
        <v>132</v>
      </c>
      <c r="B20" s="31" t="s">
        <v>151</v>
      </c>
    </row>
    <row r="21" spans="1:12" x14ac:dyDescent="0.25">
      <c r="B21" t="s">
        <v>152</v>
      </c>
      <c r="L21" s="32" t="s">
        <v>153</v>
      </c>
    </row>
    <row r="22" spans="1:12" x14ac:dyDescent="0.25">
      <c r="B22" t="s">
        <v>154</v>
      </c>
      <c r="L22" s="32" t="s">
        <v>155</v>
      </c>
    </row>
    <row r="23" spans="1:12" x14ac:dyDescent="0.25">
      <c r="B23" t="s">
        <v>156</v>
      </c>
      <c r="L23" s="32" t="s">
        <v>157</v>
      </c>
    </row>
    <row r="24" spans="1:12" x14ac:dyDescent="0.25">
      <c r="B24" t="s">
        <v>158</v>
      </c>
      <c r="L24" s="32" t="s">
        <v>159</v>
      </c>
    </row>
    <row r="25" spans="1:12" x14ac:dyDescent="0.25">
      <c r="B25" t="s">
        <v>160</v>
      </c>
      <c r="L25" s="32" t="s">
        <v>161</v>
      </c>
    </row>
    <row r="26" spans="1:12" x14ac:dyDescent="0.25">
      <c r="B26" t="s">
        <v>162</v>
      </c>
      <c r="L26" s="32" t="s">
        <v>163</v>
      </c>
    </row>
    <row r="28" spans="1:12" x14ac:dyDescent="0.25">
      <c r="B28" t="s">
        <v>164</v>
      </c>
      <c r="L28" s="32" t="s">
        <v>165</v>
      </c>
    </row>
    <row r="29" spans="1:12" x14ac:dyDescent="0.25">
      <c r="B29" t="s">
        <v>166</v>
      </c>
      <c r="L29" s="32" t="s">
        <v>167</v>
      </c>
    </row>
    <row r="30" spans="1:12" x14ac:dyDescent="0.25">
      <c r="B30" t="s">
        <v>168</v>
      </c>
      <c r="L30" s="32" t="s">
        <v>169</v>
      </c>
    </row>
    <row r="31" spans="1:12" x14ac:dyDescent="0.25">
      <c r="B31" t="s">
        <v>170</v>
      </c>
      <c r="L31" s="32" t="s">
        <v>171</v>
      </c>
    </row>
    <row r="33" spans="1:12" x14ac:dyDescent="0.25">
      <c r="A33" s="30" t="s">
        <v>132</v>
      </c>
      <c r="B33" s="31" t="s">
        <v>172</v>
      </c>
    </row>
    <row r="34" spans="1:12" x14ac:dyDescent="0.25">
      <c r="B34" t="s">
        <v>173</v>
      </c>
      <c r="L34" s="32" t="s">
        <v>174</v>
      </c>
    </row>
    <row r="35" spans="1:12" x14ac:dyDescent="0.25">
      <c r="B35" t="s">
        <v>175</v>
      </c>
      <c r="L35" s="32" t="s">
        <v>176</v>
      </c>
    </row>
    <row r="36" spans="1:12" x14ac:dyDescent="0.25">
      <c r="B36" t="s">
        <v>177</v>
      </c>
      <c r="L36" s="32" t="s">
        <v>178</v>
      </c>
    </row>
    <row r="37" spans="1:12" x14ac:dyDescent="0.25">
      <c r="B37" t="s">
        <v>179</v>
      </c>
      <c r="C37" s="6"/>
      <c r="D37" s="6"/>
      <c r="E37" s="6"/>
      <c r="F37" s="6"/>
      <c r="G37" s="6"/>
      <c r="I37" s="33"/>
      <c r="J37" s="33"/>
      <c r="L37" s="32" t="s">
        <v>180</v>
      </c>
    </row>
    <row r="38" spans="1:12" x14ac:dyDescent="0.25">
      <c r="B38" t="s">
        <v>181</v>
      </c>
      <c r="C38" s="3"/>
      <c r="D38" s="34"/>
      <c r="E38" s="3"/>
      <c r="F38" s="3"/>
      <c r="G38" s="3"/>
      <c r="I38" s="33"/>
      <c r="J38" s="33"/>
      <c r="L38" s="32" t="s">
        <v>182</v>
      </c>
    </row>
    <row r="40" spans="1:12" x14ac:dyDescent="0.25">
      <c r="A40" s="30" t="s">
        <v>132</v>
      </c>
      <c r="B40" s="31" t="s">
        <v>183</v>
      </c>
    </row>
    <row r="41" spans="1:12" x14ac:dyDescent="0.25">
      <c r="B41" t="s">
        <v>184</v>
      </c>
      <c r="C41" s="35"/>
      <c r="D41" s="35"/>
      <c r="E41" s="35"/>
      <c r="F41" s="35"/>
      <c r="G41" s="35"/>
      <c r="I41" s="35"/>
      <c r="J41" s="35"/>
      <c r="L41" s="32" t="s">
        <v>185</v>
      </c>
    </row>
    <row r="42" spans="1:12" x14ac:dyDescent="0.25">
      <c r="B42" t="s">
        <v>186</v>
      </c>
      <c r="C42" s="35"/>
      <c r="D42" s="35"/>
      <c r="E42" s="35"/>
      <c r="F42" s="35"/>
      <c r="G42" s="35"/>
      <c r="I42" s="35"/>
      <c r="J42" s="35"/>
      <c r="L42" s="32" t="s">
        <v>187</v>
      </c>
    </row>
    <row r="43" spans="1:12" x14ac:dyDescent="0.25">
      <c r="B43" t="s">
        <v>188</v>
      </c>
      <c r="L43" s="32" t="s">
        <v>189</v>
      </c>
    </row>
    <row r="44" spans="1:12" x14ac:dyDescent="0.25">
      <c r="B44" t="s">
        <v>190</v>
      </c>
      <c r="L44" s="32" t="s">
        <v>191</v>
      </c>
    </row>
    <row r="45" spans="1:12" x14ac:dyDescent="0.25">
      <c r="B45" t="s">
        <v>192</v>
      </c>
      <c r="L45" s="32" t="s">
        <v>193</v>
      </c>
    </row>
    <row r="46" spans="1:12" x14ac:dyDescent="0.25">
      <c r="B46" t="s">
        <v>194</v>
      </c>
      <c r="L46" s="32" t="s">
        <v>195</v>
      </c>
    </row>
    <row r="48" spans="1:12" x14ac:dyDescent="0.25">
      <c r="A48" s="30" t="s">
        <v>132</v>
      </c>
      <c r="B48" s="31" t="s">
        <v>196</v>
      </c>
    </row>
    <row r="49" spans="2:12" x14ac:dyDescent="0.25">
      <c r="B49" s="31" t="s">
        <v>197</v>
      </c>
      <c r="C49" s="36"/>
      <c r="D49" s="36"/>
      <c r="E49" s="36"/>
      <c r="F49" s="36"/>
      <c r="G49" s="36"/>
    </row>
    <row r="50" spans="2:12" x14ac:dyDescent="0.25">
      <c r="B50" t="s">
        <v>198</v>
      </c>
      <c r="C50" s="35"/>
      <c r="D50" s="35"/>
      <c r="E50" s="35"/>
      <c r="F50" s="35"/>
      <c r="G50" s="35"/>
      <c r="I50" s="35"/>
      <c r="J50" s="35"/>
      <c r="L50" s="32" t="s">
        <v>199</v>
      </c>
    </row>
    <row r="51" spans="2:12" x14ac:dyDescent="0.25">
      <c r="B51" t="s">
        <v>200</v>
      </c>
      <c r="C51" s="35"/>
      <c r="D51" s="35"/>
      <c r="E51" s="35"/>
      <c r="F51" s="35"/>
      <c r="G51" s="35"/>
      <c r="I51" s="35"/>
      <c r="J51" s="35"/>
      <c r="L51" s="32" t="s">
        <v>201</v>
      </c>
    </row>
    <row r="52" spans="2:12" x14ac:dyDescent="0.25">
      <c r="B52" t="s">
        <v>202</v>
      </c>
      <c r="C52" s="35"/>
      <c r="D52" s="35"/>
      <c r="E52" s="35"/>
      <c r="F52" s="35"/>
      <c r="G52" s="35"/>
      <c r="I52" s="35"/>
      <c r="J52" s="35"/>
      <c r="L52" s="32" t="s">
        <v>203</v>
      </c>
    </row>
    <row r="53" spans="2:12" x14ac:dyDescent="0.25">
      <c r="B53" t="s">
        <v>204</v>
      </c>
      <c r="C53" s="35"/>
      <c r="D53" s="35"/>
      <c r="E53" s="35"/>
      <c r="F53" s="35"/>
      <c r="G53" s="35"/>
      <c r="I53" s="35"/>
      <c r="J53" s="35"/>
      <c r="L53" s="32" t="s">
        <v>205</v>
      </c>
    </row>
    <row r="54" spans="2:12" x14ac:dyDescent="0.25">
      <c r="B54" t="s">
        <v>206</v>
      </c>
      <c r="C54" s="35"/>
      <c r="D54" s="35"/>
      <c r="E54" s="35"/>
      <c r="F54" s="35"/>
      <c r="G54" s="35"/>
      <c r="I54" s="35"/>
      <c r="J54" s="35"/>
      <c r="L54" s="32" t="s">
        <v>207</v>
      </c>
    </row>
    <row r="55" spans="2:12" x14ac:dyDescent="0.25">
      <c r="B55" t="s">
        <v>208</v>
      </c>
      <c r="C55" s="35"/>
      <c r="D55" s="35"/>
      <c r="E55" s="35"/>
      <c r="F55" s="35"/>
      <c r="G55" s="35"/>
      <c r="I55" s="35"/>
      <c r="J55" s="35"/>
      <c r="L55" s="32" t="s">
        <v>209</v>
      </c>
    </row>
    <row r="56" spans="2:12" x14ac:dyDescent="0.25">
      <c r="B56" s="31" t="s">
        <v>210</v>
      </c>
      <c r="I56" s="35"/>
      <c r="J56" s="35"/>
    </row>
    <row r="57" spans="2:12" x14ac:dyDescent="0.25">
      <c r="B57" t="s">
        <v>211</v>
      </c>
      <c r="C57" s="35"/>
      <c r="D57" s="35"/>
      <c r="E57" s="35"/>
      <c r="F57" s="35"/>
      <c r="G57" s="35"/>
      <c r="I57" s="35"/>
      <c r="J57" s="35"/>
      <c r="L57" s="32" t="s">
        <v>212</v>
      </c>
    </row>
    <row r="58" spans="2:12" x14ac:dyDescent="0.25">
      <c r="B58" t="s">
        <v>213</v>
      </c>
      <c r="C58" s="35"/>
      <c r="D58" s="35"/>
      <c r="E58" s="35"/>
      <c r="F58" s="35"/>
      <c r="G58" s="35"/>
      <c r="I58" s="35"/>
      <c r="J58" s="35"/>
      <c r="L58" s="32" t="s">
        <v>214</v>
      </c>
    </row>
    <row r="59" spans="2:12" x14ac:dyDescent="0.25">
      <c r="B59" t="s">
        <v>215</v>
      </c>
      <c r="C59" s="35"/>
      <c r="D59" s="35"/>
      <c r="E59" s="35"/>
      <c r="F59" s="35"/>
      <c r="G59" s="35"/>
      <c r="I59" s="35"/>
      <c r="J59" s="35"/>
      <c r="L59" s="32" t="s">
        <v>216</v>
      </c>
    </row>
    <row r="60" spans="2:12" x14ac:dyDescent="0.25">
      <c r="B60" t="s">
        <v>217</v>
      </c>
      <c r="C60" s="35"/>
      <c r="D60" s="35"/>
      <c r="E60" s="35"/>
      <c r="F60" s="35"/>
      <c r="G60" s="35"/>
      <c r="I60" s="35"/>
      <c r="J60" s="35"/>
      <c r="L60" s="32" t="s">
        <v>218</v>
      </c>
    </row>
  </sheetData>
  <hyperlinks>
    <hyperlink ref="A1" location="Main!A1" display="Main" xr:uid="{AD063A50-6E58-4986-BCAA-4FCD23F4C69A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BDD0-C191-4CAB-A346-D01EA05032B2}">
  <dimension ref="A1:I48"/>
  <sheetViews>
    <sheetView showGridLines="0" workbookViewId="0">
      <selection activeCell="E30" sqref="E30"/>
    </sheetView>
  </sheetViews>
  <sheetFormatPr defaultRowHeight="15" x14ac:dyDescent="0.25"/>
  <sheetData>
    <row r="1" spans="1:8" x14ac:dyDescent="0.25">
      <c r="A1" s="2" t="s">
        <v>8</v>
      </c>
    </row>
    <row r="3" spans="1:8" x14ac:dyDescent="0.25">
      <c r="B3" s="37" t="s">
        <v>219</v>
      </c>
      <c r="C3" s="37"/>
      <c r="D3" s="37"/>
      <c r="E3" s="37"/>
      <c r="F3" s="37"/>
    </row>
    <row r="4" spans="1:8" x14ac:dyDescent="0.25">
      <c r="A4" s="30" t="s">
        <v>132</v>
      </c>
      <c r="B4" s="31" t="s">
        <v>220</v>
      </c>
    </row>
    <row r="5" spans="1:8" x14ac:dyDescent="0.25">
      <c r="B5" s="31" t="s">
        <v>221</v>
      </c>
    </row>
    <row r="6" spans="1:8" x14ac:dyDescent="0.25">
      <c r="B6" t="s">
        <v>222</v>
      </c>
      <c r="H6" s="32" t="s">
        <v>223</v>
      </c>
    </row>
    <row r="7" spans="1:8" x14ac:dyDescent="0.25">
      <c r="B7" t="s">
        <v>224</v>
      </c>
      <c r="H7" s="32" t="s">
        <v>225</v>
      </c>
    </row>
    <row r="8" spans="1:8" x14ac:dyDescent="0.25">
      <c r="B8" t="s">
        <v>221</v>
      </c>
      <c r="F8">
        <f>F6+F7</f>
        <v>0</v>
      </c>
      <c r="H8" s="32" t="s">
        <v>226</v>
      </c>
    </row>
    <row r="10" spans="1:8" x14ac:dyDescent="0.25">
      <c r="A10" s="30" t="s">
        <v>132</v>
      </c>
      <c r="B10" s="31" t="s">
        <v>227</v>
      </c>
    </row>
    <row r="11" spans="1:8" x14ac:dyDescent="0.25">
      <c r="B11" t="s">
        <v>228</v>
      </c>
      <c r="H11" s="32" t="s">
        <v>229</v>
      </c>
    </row>
    <row r="12" spans="1:8" x14ac:dyDescent="0.25">
      <c r="B12" t="s">
        <v>230</v>
      </c>
      <c r="H12" s="32" t="s">
        <v>231</v>
      </c>
    </row>
    <row r="13" spans="1:8" x14ac:dyDescent="0.25">
      <c r="B13" t="s">
        <v>232</v>
      </c>
      <c r="H13" s="32" t="s">
        <v>233</v>
      </c>
    </row>
    <row r="14" spans="1:8" x14ac:dyDescent="0.25">
      <c r="B14" t="s">
        <v>234</v>
      </c>
      <c r="H14" s="32" t="s">
        <v>235</v>
      </c>
    </row>
    <row r="15" spans="1:8" x14ac:dyDescent="0.25">
      <c r="B15" t="s">
        <v>236</v>
      </c>
      <c r="H15" s="32" t="s">
        <v>237</v>
      </c>
    </row>
    <row r="17" spans="1:8" x14ac:dyDescent="0.25">
      <c r="A17" s="30" t="s">
        <v>132</v>
      </c>
      <c r="B17" s="31" t="s">
        <v>238</v>
      </c>
    </row>
    <row r="18" spans="1:8" x14ac:dyDescent="0.25">
      <c r="B18" t="s">
        <v>239</v>
      </c>
      <c r="H18" s="32" t="s">
        <v>240</v>
      </c>
    </row>
    <row r="19" spans="1:8" x14ac:dyDescent="0.25">
      <c r="B19" t="s">
        <v>221</v>
      </c>
    </row>
    <row r="20" spans="1:8" x14ac:dyDescent="0.25">
      <c r="B20" t="s">
        <v>238</v>
      </c>
      <c r="F20">
        <f>F18-F19</f>
        <v>0</v>
      </c>
    </row>
    <row r="22" spans="1:8" x14ac:dyDescent="0.25">
      <c r="A22" s="30" t="s">
        <v>132</v>
      </c>
      <c r="B22" s="38" t="s">
        <v>220</v>
      </c>
      <c r="C22" s="39"/>
      <c r="D22" s="39"/>
      <c r="E22" s="39"/>
      <c r="F22" s="40">
        <f>F8+F15*F20</f>
        <v>0</v>
      </c>
      <c r="H22" s="32" t="s">
        <v>241</v>
      </c>
    </row>
    <row r="25" spans="1:8" x14ac:dyDescent="0.25">
      <c r="A25" s="30" t="s">
        <v>132</v>
      </c>
      <c r="B25" s="31" t="s">
        <v>242</v>
      </c>
    </row>
    <row r="26" spans="1:8" x14ac:dyDescent="0.25">
      <c r="B26" t="s">
        <v>243</v>
      </c>
      <c r="H26" s="32" t="s">
        <v>244</v>
      </c>
    </row>
    <row r="27" spans="1:8" x14ac:dyDescent="0.25">
      <c r="B27" t="s">
        <v>245</v>
      </c>
    </row>
    <row r="28" spans="1:8" x14ac:dyDescent="0.25">
      <c r="B28" t="s">
        <v>221</v>
      </c>
    </row>
    <row r="29" spans="1:8" x14ac:dyDescent="0.25">
      <c r="B29" t="s">
        <v>246</v>
      </c>
    </row>
    <row r="30" spans="1:8" x14ac:dyDescent="0.25">
      <c r="B30" t="s">
        <v>247</v>
      </c>
    </row>
    <row r="32" spans="1:8" x14ac:dyDescent="0.25">
      <c r="A32" s="30" t="s">
        <v>132</v>
      </c>
      <c r="B32" s="38" t="s">
        <v>242</v>
      </c>
      <c r="C32" s="39"/>
      <c r="D32" s="39"/>
      <c r="E32" s="39"/>
      <c r="F32" s="40">
        <f>F28+F29+F30</f>
        <v>0</v>
      </c>
    </row>
    <row r="34" spans="1:9" x14ac:dyDescent="0.25">
      <c r="A34" s="30" t="s">
        <v>132</v>
      </c>
      <c r="B34" s="31" t="s">
        <v>248</v>
      </c>
    </row>
    <row r="35" spans="1:9" x14ac:dyDescent="0.25">
      <c r="B35" t="s">
        <v>249</v>
      </c>
    </row>
    <row r="36" spans="1:9" x14ac:dyDescent="0.25">
      <c r="B36" t="s">
        <v>250</v>
      </c>
    </row>
    <row r="37" spans="1:9" x14ac:dyDescent="0.25">
      <c r="B37" t="s">
        <v>251</v>
      </c>
      <c r="F37">
        <f>F35+F36</f>
        <v>0</v>
      </c>
    </row>
    <row r="39" spans="1:9" x14ac:dyDescent="0.25">
      <c r="B39" t="s">
        <v>252</v>
      </c>
    </row>
    <row r="41" spans="1:9" x14ac:dyDescent="0.25">
      <c r="A41" s="30" t="s">
        <v>132</v>
      </c>
      <c r="B41" s="38" t="s">
        <v>253</v>
      </c>
      <c r="C41" s="39"/>
      <c r="D41" s="39"/>
      <c r="E41" s="39"/>
      <c r="F41" s="40" t="e">
        <f>(F32*(F35/F37)*(1-F39))+((F36/F38)*F22)</f>
        <v>#DIV/0!</v>
      </c>
      <c r="H41" s="32" t="s">
        <v>254</v>
      </c>
    </row>
    <row r="47" spans="1:9" x14ac:dyDescent="0.25">
      <c r="I47" t="e">
        <f>SLOPE(H48:H52,K48:K52)</f>
        <v>#DIV/0!</v>
      </c>
    </row>
    <row r="48" spans="1:9" x14ac:dyDescent="0.25">
      <c r="H48" t="s">
        <v>255</v>
      </c>
    </row>
  </sheetData>
  <hyperlinks>
    <hyperlink ref="A1" location="Main!A1" display="Main" xr:uid="{8D2CC52A-5640-4A3E-A67A-04E16C7091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71F-5151-4CBA-A165-5102BFC4890A}">
  <dimension ref="A1:AA76"/>
  <sheetViews>
    <sheetView showGridLines="0" workbookViewId="0">
      <selection activeCell="E11" sqref="E11"/>
    </sheetView>
  </sheetViews>
  <sheetFormatPr defaultRowHeight="15" x14ac:dyDescent="0.25"/>
  <cols>
    <col min="1" max="1" width="5.42578125" bestFit="1" customWidth="1"/>
  </cols>
  <sheetData>
    <row r="1" spans="1:27" ht="19.5" x14ac:dyDescent="0.3">
      <c r="A1" s="41" t="s">
        <v>8</v>
      </c>
      <c r="B1" s="42" t="s">
        <v>304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x14ac:dyDescent="0.25">
      <c r="E2" s="43"/>
    </row>
    <row r="3" spans="1:27" x14ac:dyDescent="0.25">
      <c r="B3" t="s">
        <v>256</v>
      </c>
      <c r="E3" s="44" t="s">
        <v>303</v>
      </c>
      <c r="G3" t="s">
        <v>257</v>
      </c>
      <c r="J3" s="44">
        <f>+Main!H2</f>
        <v>55.783000000000001</v>
      </c>
      <c r="L3" t="s">
        <v>257</v>
      </c>
      <c r="O3" s="44">
        <f>+J3</f>
        <v>55.783000000000001</v>
      </c>
    </row>
    <row r="4" spans="1:27" x14ac:dyDescent="0.25">
      <c r="B4" t="s">
        <v>258</v>
      </c>
      <c r="E4" s="84">
        <f ca="1">+TODAY()</f>
        <v>45876</v>
      </c>
      <c r="G4" t="s">
        <v>259</v>
      </c>
      <c r="J4" s="45">
        <f ca="1">V62</f>
        <v>162.60848012144373</v>
      </c>
      <c r="L4" t="s">
        <v>260</v>
      </c>
      <c r="O4" s="46">
        <f>+J15+O15+T15</f>
        <v>0</v>
      </c>
    </row>
    <row r="5" spans="1:27" x14ac:dyDescent="0.25">
      <c r="B5" t="s">
        <v>261</v>
      </c>
      <c r="E5" s="84">
        <v>46022</v>
      </c>
      <c r="G5" t="s">
        <v>262</v>
      </c>
      <c r="J5" s="48">
        <f ca="1">J4/J3-1</f>
        <v>1.9150185562168356</v>
      </c>
      <c r="L5" t="s">
        <v>262</v>
      </c>
      <c r="O5" s="48">
        <f>O4/O3-1</f>
        <v>-1</v>
      </c>
    </row>
    <row r="7" spans="1:27" x14ac:dyDescent="0.25">
      <c r="A7" s="49" t="s">
        <v>132</v>
      </c>
      <c r="B7" s="37" t="s">
        <v>263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7" x14ac:dyDescent="0.25">
      <c r="A8" s="49"/>
    </row>
    <row r="9" spans="1:27" x14ac:dyDescent="0.25">
      <c r="A9" s="49"/>
      <c r="B9" s="50" t="s">
        <v>264</v>
      </c>
      <c r="C9" s="51"/>
      <c r="D9" s="51"/>
      <c r="E9" s="51"/>
      <c r="G9" s="50" t="s">
        <v>265</v>
      </c>
      <c r="H9" s="50"/>
      <c r="I9" s="51"/>
      <c r="J9" s="51"/>
      <c r="L9" s="50" t="s">
        <v>266</v>
      </c>
      <c r="M9" s="51"/>
      <c r="N9" s="51"/>
      <c r="O9" s="51"/>
      <c r="Q9" s="50" t="s">
        <v>267</v>
      </c>
      <c r="R9" s="51"/>
      <c r="S9" s="51"/>
      <c r="T9" s="51"/>
    </row>
    <row r="10" spans="1:27" x14ac:dyDescent="0.25">
      <c r="A10" s="49"/>
      <c r="B10" s="12" t="s">
        <v>268</v>
      </c>
      <c r="G10" s="12" t="s">
        <v>268</v>
      </c>
      <c r="H10" s="12"/>
      <c r="I10" s="12" t="s">
        <v>269</v>
      </c>
      <c r="J10" s="12" t="s">
        <v>270</v>
      </c>
      <c r="L10" s="12" t="s">
        <v>268</v>
      </c>
      <c r="N10" s="12" t="s">
        <v>269</v>
      </c>
      <c r="O10" s="12" t="s">
        <v>270</v>
      </c>
      <c r="Q10" s="12" t="s">
        <v>268</v>
      </c>
      <c r="S10" s="12" t="s">
        <v>269</v>
      </c>
      <c r="T10" s="12" t="s">
        <v>270</v>
      </c>
    </row>
    <row r="11" spans="1:27" x14ac:dyDescent="0.25">
      <c r="B11" t="s">
        <v>24</v>
      </c>
      <c r="E11" s="47">
        <v>2</v>
      </c>
      <c r="G11" t="s">
        <v>271</v>
      </c>
      <c r="K11" s="1"/>
      <c r="L11" t="s">
        <v>271</v>
      </c>
      <c r="Q11" t="s">
        <v>271</v>
      </c>
    </row>
    <row r="12" spans="1:27" x14ac:dyDescent="0.25">
      <c r="B12" t="s">
        <v>272</v>
      </c>
      <c r="E12" s="47">
        <v>2</v>
      </c>
      <c r="G12" t="s">
        <v>272</v>
      </c>
      <c r="L12" t="s">
        <v>272</v>
      </c>
      <c r="Q12" t="s">
        <v>272</v>
      </c>
    </row>
    <row r="13" spans="1:27" x14ac:dyDescent="0.25">
      <c r="B13" t="s">
        <v>253</v>
      </c>
      <c r="E13" s="47">
        <v>2</v>
      </c>
      <c r="G13" t="s">
        <v>273</v>
      </c>
      <c r="J13" s="52"/>
      <c r="O13" s="52"/>
      <c r="T13" s="52"/>
    </row>
    <row r="14" spans="1:27" x14ac:dyDescent="0.25">
      <c r="B14" t="s">
        <v>274</v>
      </c>
      <c r="E14" s="47">
        <v>2</v>
      </c>
      <c r="G14" t="s">
        <v>275</v>
      </c>
      <c r="J14" s="52"/>
      <c r="L14" t="s">
        <v>275</v>
      </c>
      <c r="O14" s="52"/>
      <c r="Q14" t="s">
        <v>275</v>
      </c>
      <c r="T14" s="52"/>
    </row>
    <row r="15" spans="1:27" x14ac:dyDescent="0.25">
      <c r="B15" t="s">
        <v>276</v>
      </c>
      <c r="E15" s="47">
        <v>2</v>
      </c>
      <c r="G15" t="s">
        <v>277</v>
      </c>
      <c r="J15" s="52"/>
      <c r="L15" t="s">
        <v>277</v>
      </c>
      <c r="O15" s="52"/>
      <c r="Q15" t="s">
        <v>277</v>
      </c>
      <c r="T15" s="52"/>
    </row>
    <row r="17" spans="1:22" x14ac:dyDescent="0.25">
      <c r="B17" s="12" t="s">
        <v>278</v>
      </c>
    </row>
    <row r="18" spans="1:22" x14ac:dyDescent="0.25">
      <c r="B18" t="s">
        <v>253</v>
      </c>
      <c r="E18" s="52">
        <f>CHOOSE(E13,J18,O18,T18)</f>
        <v>0.09</v>
      </c>
      <c r="G18" t="s">
        <v>253</v>
      </c>
      <c r="J18" s="52"/>
      <c r="L18" t="s">
        <v>253</v>
      </c>
      <c r="O18" s="52">
        <v>0.09</v>
      </c>
      <c r="Q18" t="s">
        <v>253</v>
      </c>
      <c r="T18" s="52"/>
    </row>
    <row r="19" spans="1:22" x14ac:dyDescent="0.25">
      <c r="B19" t="s">
        <v>274</v>
      </c>
      <c r="E19" s="52">
        <f>CHOOSE(E14,J19,O19,T19)</f>
        <v>2.5000000000000001E-2</v>
      </c>
      <c r="G19" t="s">
        <v>274</v>
      </c>
      <c r="J19" s="52"/>
      <c r="L19" t="s">
        <v>274</v>
      </c>
      <c r="O19" s="52">
        <v>2.5000000000000001E-2</v>
      </c>
      <c r="Q19" t="s">
        <v>274</v>
      </c>
      <c r="T19" s="52"/>
    </row>
    <row r="20" spans="1:22" x14ac:dyDescent="0.25">
      <c r="B20" t="s">
        <v>279</v>
      </c>
      <c r="E20" s="52">
        <f>CHOOSE(E15,J20,O20,T20)</f>
        <v>0.1</v>
      </c>
      <c r="G20" t="s">
        <v>279</v>
      </c>
      <c r="J20" s="52"/>
      <c r="L20" t="s">
        <v>279</v>
      </c>
      <c r="O20" s="52">
        <v>0.1</v>
      </c>
      <c r="Q20" t="s">
        <v>279</v>
      </c>
      <c r="T20" s="52"/>
    </row>
    <row r="24" spans="1:22" x14ac:dyDescent="0.25">
      <c r="A24" s="49" t="s">
        <v>132</v>
      </c>
      <c r="B24" s="37" t="s">
        <v>280</v>
      </c>
      <c r="C24" s="37"/>
      <c r="D24" s="37"/>
      <c r="E24" s="37"/>
      <c r="F24" s="37"/>
      <c r="G24" s="53">
        <v>19</v>
      </c>
      <c r="H24" s="53">
        <f>G24+1</f>
        <v>20</v>
      </c>
      <c r="I24" s="53">
        <f t="shared" ref="I24:V24" si="0">H24+1</f>
        <v>21</v>
      </c>
      <c r="J24" s="53">
        <f t="shared" si="0"/>
        <v>22</v>
      </c>
      <c r="K24" s="53">
        <f t="shared" si="0"/>
        <v>23</v>
      </c>
      <c r="L24" s="53">
        <f t="shared" si="0"/>
        <v>24</v>
      </c>
      <c r="M24" s="53">
        <f t="shared" si="0"/>
        <v>25</v>
      </c>
      <c r="N24" s="53">
        <f t="shared" si="0"/>
        <v>26</v>
      </c>
      <c r="O24" s="53">
        <f t="shared" si="0"/>
        <v>27</v>
      </c>
      <c r="P24" s="53">
        <f t="shared" si="0"/>
        <v>28</v>
      </c>
      <c r="Q24" s="53">
        <f t="shared" si="0"/>
        <v>29</v>
      </c>
      <c r="R24" s="53">
        <f t="shared" si="0"/>
        <v>30</v>
      </c>
      <c r="S24" s="53">
        <f t="shared" si="0"/>
        <v>31</v>
      </c>
      <c r="T24" s="53">
        <f t="shared" si="0"/>
        <v>32</v>
      </c>
      <c r="U24" s="53">
        <f t="shared" si="0"/>
        <v>33</v>
      </c>
      <c r="V24" s="53">
        <f t="shared" si="0"/>
        <v>34</v>
      </c>
    </row>
    <row r="25" spans="1:22" x14ac:dyDescent="0.25">
      <c r="B25" t="s">
        <v>271</v>
      </c>
      <c r="G25" s="29">
        <f>+Model!Q18</f>
        <v>1230.5930000000001</v>
      </c>
      <c r="H25" s="29">
        <f>+Model!R18</f>
        <v>1385.951</v>
      </c>
      <c r="I25" s="29">
        <f>+Model!S18</f>
        <v>2313.4160000000002</v>
      </c>
      <c r="J25" s="29">
        <f>+Model!T18</f>
        <v>3554.9850000000001</v>
      </c>
      <c r="K25" s="29">
        <f>+Model!U18</f>
        <v>3962.3470000000002</v>
      </c>
      <c r="L25" s="29">
        <f>+Model!V18</f>
        <v>4102.1080000000002</v>
      </c>
      <c r="M25" s="29">
        <f ca="1">L25*(1+M26)</f>
        <v>4143.1290800000006</v>
      </c>
      <c r="N25" s="29">
        <f t="shared" ref="N25:V25" ca="1" si="1">M25*(1+N26)</f>
        <v>4254.9935651599999</v>
      </c>
      <c r="O25" s="29">
        <f t="shared" ca="1" si="1"/>
        <v>4365.2829983689471</v>
      </c>
      <c r="P25" s="29">
        <f t="shared" ca="1" si="1"/>
        <v>4473.9052082739618</v>
      </c>
      <c r="Q25" s="29">
        <f t="shared" ca="1" si="1"/>
        <v>4580.7772832293431</v>
      </c>
      <c r="R25" s="29">
        <f t="shared" ca="1" si="1"/>
        <v>4685.8253037755412</v>
      </c>
      <c r="S25" s="29">
        <f t="shared" ca="1" si="1"/>
        <v>4788.9840422729303</v>
      </c>
      <c r="T25" s="29">
        <f t="shared" ca="1" si="1"/>
        <v>4890.1966354960423</v>
      </c>
      <c r="U25" s="29">
        <f t="shared" ca="1" si="1"/>
        <v>4989.4142355843478</v>
      </c>
      <c r="V25" s="29">
        <f t="shared" ca="1" si="1"/>
        <v>5086.59564432352</v>
      </c>
    </row>
    <row r="26" spans="1:22" x14ac:dyDescent="0.25">
      <c r="B26" s="54" t="s">
        <v>281</v>
      </c>
      <c r="C26" s="55"/>
      <c r="G26" s="56"/>
      <c r="H26" s="57">
        <f t="shared" ref="H26:L26" si="2">H25/G25-1</f>
        <v>0.12624645191383332</v>
      </c>
      <c r="I26" s="57">
        <f t="shared" si="2"/>
        <v>0.6691903249104767</v>
      </c>
      <c r="J26" s="57">
        <f t="shared" si="2"/>
        <v>0.53668211856406289</v>
      </c>
      <c r="K26" s="57">
        <f t="shared" si="2"/>
        <v>0.11458895044564188</v>
      </c>
      <c r="L26" s="57">
        <f t="shared" si="2"/>
        <v>3.5272276759203525E-2</v>
      </c>
      <c r="M26" s="57" cm="1">
        <f t="array" aca="1" ref="M26" ca="1">OFFSET(M26,$E$11,,)</f>
        <v>0.01</v>
      </c>
      <c r="N26" s="57" cm="1">
        <f t="array" aca="1" ref="N26" ca="1">OFFSET(N26,$E$11,,)</f>
        <v>2.7E-2</v>
      </c>
      <c r="O26" s="57" cm="1">
        <f t="array" aca="1" ref="O26" ca="1">OFFSET(O26,$E$11,,)</f>
        <v>2.5919999999999999E-2</v>
      </c>
      <c r="P26" s="57" cm="1">
        <f t="array" aca="1" ref="P26" ca="1">OFFSET(P26,$E$11,,)</f>
        <v>2.4883199999999998E-2</v>
      </c>
      <c r="Q26" s="57" cm="1">
        <f t="array" aca="1" ref="Q26" ca="1">OFFSET(Q26,$E$11,,)</f>
        <v>2.3887871999999997E-2</v>
      </c>
      <c r="R26" s="57" cm="1">
        <f t="array" aca="1" ref="R26" ca="1">OFFSET(R26,$E$11,,)</f>
        <v>2.2932357119999996E-2</v>
      </c>
      <c r="S26" s="57" cm="1">
        <f t="array" aca="1" ref="S26" ca="1">OFFSET(S26,$E$11,,)</f>
        <v>2.2015062835199994E-2</v>
      </c>
      <c r="T26" s="57" cm="1">
        <f t="array" aca="1" ref="T26" ca="1">OFFSET(T26,$E$11,,)</f>
        <v>2.1134460321791993E-2</v>
      </c>
      <c r="U26" s="57" cm="1">
        <f t="array" aca="1" ref="U26" ca="1">OFFSET(U26,$E$11,,)</f>
        <v>2.0289081908920311E-2</v>
      </c>
      <c r="V26" s="57" cm="1">
        <f t="array" aca="1" ref="V26" ca="1">OFFSET(V26,$E$11,,)</f>
        <v>1.9477518632563497E-2</v>
      </c>
    </row>
    <row r="27" spans="1:22" x14ac:dyDescent="0.25">
      <c r="B27" s="54" t="s">
        <v>265</v>
      </c>
      <c r="C27" s="55"/>
      <c r="I27" s="6"/>
      <c r="J27" s="6"/>
      <c r="K27" s="6"/>
      <c r="L27" s="6"/>
      <c r="M27" s="58">
        <f>+M28-2%</f>
        <v>-0.01</v>
      </c>
      <c r="N27" s="58">
        <f t="shared" ref="N27:V27" si="3">+N28-2%</f>
        <v>6.9999999999999993E-3</v>
      </c>
      <c r="O27" s="58">
        <f t="shared" si="3"/>
        <v>5.9199999999999982E-3</v>
      </c>
      <c r="P27" s="58">
        <f t="shared" si="3"/>
        <v>4.8831999999999973E-3</v>
      </c>
      <c r="Q27" s="58">
        <f t="shared" si="3"/>
        <v>3.8878719999999971E-3</v>
      </c>
      <c r="R27" s="58">
        <f t="shared" si="3"/>
        <v>2.9323571199999961E-3</v>
      </c>
      <c r="S27" s="58">
        <f t="shared" si="3"/>
        <v>2.015062835199994E-3</v>
      </c>
      <c r="T27" s="58">
        <f t="shared" si="3"/>
        <v>1.1344603217919927E-3</v>
      </c>
      <c r="U27" s="58">
        <f t="shared" si="3"/>
        <v>2.890819089203106E-4</v>
      </c>
      <c r="V27" s="58">
        <f t="shared" si="3"/>
        <v>-5.2248136743650309E-4</v>
      </c>
    </row>
    <row r="28" spans="1:22" x14ac:dyDescent="0.25">
      <c r="B28" s="54" t="s">
        <v>282</v>
      </c>
      <c r="C28" s="55"/>
      <c r="I28" s="6"/>
      <c r="J28" s="6"/>
      <c r="K28" s="6"/>
      <c r="L28" s="6"/>
      <c r="M28" s="58">
        <v>0.01</v>
      </c>
      <c r="N28" s="58">
        <v>2.7E-2</v>
      </c>
      <c r="O28" s="58">
        <f>+N28*(1-4%)</f>
        <v>2.5919999999999999E-2</v>
      </c>
      <c r="P28" s="58">
        <f t="shared" ref="P28:V28" si="4">+O28*(1-4%)</f>
        <v>2.4883199999999998E-2</v>
      </c>
      <c r="Q28" s="58">
        <f t="shared" si="4"/>
        <v>2.3887871999999997E-2</v>
      </c>
      <c r="R28" s="58">
        <f t="shared" si="4"/>
        <v>2.2932357119999996E-2</v>
      </c>
      <c r="S28" s="58">
        <f t="shared" si="4"/>
        <v>2.2015062835199994E-2</v>
      </c>
      <c r="T28" s="58">
        <f t="shared" si="4"/>
        <v>2.1134460321791993E-2</v>
      </c>
      <c r="U28" s="58">
        <f t="shared" si="4"/>
        <v>2.0289081908920311E-2</v>
      </c>
      <c r="V28" s="58">
        <f t="shared" si="4"/>
        <v>1.9477518632563497E-2</v>
      </c>
    </row>
    <row r="29" spans="1:22" x14ac:dyDescent="0.25">
      <c r="B29" s="54" t="s">
        <v>283</v>
      </c>
      <c r="C29" s="55"/>
      <c r="I29" s="6"/>
      <c r="J29" s="6"/>
      <c r="K29" s="6"/>
      <c r="L29" s="6"/>
      <c r="M29" s="58">
        <f>+M28+1%</f>
        <v>0.02</v>
      </c>
      <c r="N29" s="58">
        <f t="shared" ref="N29:V29" si="5">+N28+1%</f>
        <v>3.6999999999999998E-2</v>
      </c>
      <c r="O29" s="58">
        <f t="shared" si="5"/>
        <v>3.5920000000000001E-2</v>
      </c>
      <c r="P29" s="58">
        <f t="shared" si="5"/>
        <v>3.4883199999999996E-2</v>
      </c>
      <c r="Q29" s="58">
        <f t="shared" si="5"/>
        <v>3.3887871999999999E-2</v>
      </c>
      <c r="R29" s="58">
        <f t="shared" si="5"/>
        <v>3.2932357119999998E-2</v>
      </c>
      <c r="S29" s="58">
        <f t="shared" si="5"/>
        <v>3.2015062835199996E-2</v>
      </c>
      <c r="T29" s="58">
        <f t="shared" si="5"/>
        <v>3.1134460321791992E-2</v>
      </c>
      <c r="U29" s="58">
        <f t="shared" si="5"/>
        <v>3.0289081908920309E-2</v>
      </c>
      <c r="V29" s="58">
        <f t="shared" si="5"/>
        <v>2.9477518632563496E-2</v>
      </c>
    </row>
    <row r="31" spans="1:22" x14ac:dyDescent="0.25">
      <c r="B31" t="s">
        <v>272</v>
      </c>
      <c r="G31" s="29">
        <f>+Model!Q22</f>
        <v>128.64900000000006</v>
      </c>
      <c r="H31" s="29">
        <f>+Model!R22</f>
        <v>214.12399999999991</v>
      </c>
      <c r="I31" s="29">
        <f>+Model!S22</f>
        <v>683.06400000000031</v>
      </c>
      <c r="J31" s="29">
        <f>+Model!T22</f>
        <v>850.7560000000002</v>
      </c>
      <c r="K31" s="29">
        <f>+Model!U22</f>
        <v>1036.7830000000001</v>
      </c>
      <c r="L31" s="29">
        <f>+Model!V22</f>
        <v>1021.9110000000003</v>
      </c>
      <c r="M31" s="29">
        <f ca="1">M32*M25</f>
        <v>952.91968840000015</v>
      </c>
      <c r="N31" s="29">
        <f t="shared" ref="N31:V31" ca="1" si="6">N32*N25</f>
        <v>988.43500518666804</v>
      </c>
      <c r="O31" s="29">
        <f t="shared" ca="1" si="6"/>
        <v>1024.1957929263174</v>
      </c>
      <c r="P31" s="29">
        <f t="shared" ca="1" si="6"/>
        <v>1060.1778722976703</v>
      </c>
      <c r="Q31" s="29">
        <f t="shared" ca="1" si="6"/>
        <v>1096.358298264433</v>
      </c>
      <c r="R31" s="29">
        <f t="shared" ca="1" si="6"/>
        <v>1132.7153820746253</v>
      </c>
      <c r="S31" s="29">
        <f t="shared" ca="1" si="6"/>
        <v>1169.2287042092498</v>
      </c>
      <c r="T31" s="29">
        <f t="shared" ca="1" si="6"/>
        <v>1205.879119084115</v>
      </c>
      <c r="U31" s="29">
        <f t="shared" ca="1" si="6"/>
        <v>1242.648752296504</v>
      </c>
      <c r="V31" s="29">
        <f t="shared" ca="1" si="6"/>
        <v>1279.5209911883219</v>
      </c>
    </row>
    <row r="32" spans="1:22" x14ac:dyDescent="0.25">
      <c r="B32" s="54" t="s">
        <v>284</v>
      </c>
      <c r="G32" s="57">
        <f>G31/G25</f>
        <v>0.10454228164795351</v>
      </c>
      <c r="H32" s="57">
        <f t="shared" ref="H32:L32" si="7">H31/H25</f>
        <v>0.15449608247333413</v>
      </c>
      <c r="I32" s="57">
        <f t="shared" si="7"/>
        <v>0.29526207132655791</v>
      </c>
      <c r="J32" s="57">
        <f t="shared" si="7"/>
        <v>0.23931352734259081</v>
      </c>
      <c r="K32" s="57">
        <f t="shared" si="7"/>
        <v>0.26165880979126765</v>
      </c>
      <c r="L32" s="57">
        <f t="shared" si="7"/>
        <v>0.24911850199945984</v>
      </c>
      <c r="M32" s="57" cm="1">
        <f t="array" aca="1" ref="M32" ca="1">OFFSET(M32,$E$12,,)</f>
        <v>0.23</v>
      </c>
      <c r="N32" s="57" cm="1">
        <f t="array" aca="1" ref="N32" ca="1">OFFSET(N32,$E$12,,)</f>
        <v>0.23230000000000001</v>
      </c>
      <c r="O32" s="57" cm="1">
        <f t="array" aca="1" ref="O32" ca="1">OFFSET(O32,$E$12,,)</f>
        <v>0.234623</v>
      </c>
      <c r="P32" s="57" cm="1">
        <f t="array" aca="1" ref="P32" ca="1">OFFSET(P32,$E$12,,)</f>
        <v>0.23696923</v>
      </c>
      <c r="Q32" s="57" cm="1">
        <f t="array" aca="1" ref="Q32" ca="1">OFFSET(Q32,$E$12,,)</f>
        <v>0.23933892230000001</v>
      </c>
      <c r="R32" s="57" cm="1">
        <f t="array" aca="1" ref="R32" ca="1">OFFSET(R32,$E$12,,)</f>
        <v>0.24173231152300001</v>
      </c>
      <c r="S32" s="57" cm="1">
        <f t="array" aca="1" ref="S32" ca="1">OFFSET(S32,$E$12,,)</f>
        <v>0.24414963463823</v>
      </c>
      <c r="T32" s="57" cm="1">
        <f t="array" aca="1" ref="T32" ca="1">OFFSET(T32,$E$12,,)</f>
        <v>0.2465911309846123</v>
      </c>
      <c r="U32" s="57" cm="1">
        <f t="array" aca="1" ref="U32" ca="1">OFFSET(U32,$E$12,,)</f>
        <v>0.24905704229445844</v>
      </c>
      <c r="V32" s="57" cm="1">
        <f t="array" aca="1" ref="V32" ca="1">OFFSET(V32,$E$12,,)</f>
        <v>0.251547612717403</v>
      </c>
    </row>
    <row r="33" spans="2:22" x14ac:dyDescent="0.25">
      <c r="B33" s="54" t="s">
        <v>265</v>
      </c>
      <c r="M33" s="58">
        <f>+M34-2%</f>
        <v>0.21000000000000002</v>
      </c>
      <c r="N33" s="58">
        <f t="shared" ref="N33:V33" si="8">+N34-2%</f>
        <v>0.21230000000000002</v>
      </c>
      <c r="O33" s="58">
        <f t="shared" si="8"/>
        <v>0.21462300000000001</v>
      </c>
      <c r="P33" s="58">
        <f t="shared" si="8"/>
        <v>0.21696923000000001</v>
      </c>
      <c r="Q33" s="58">
        <f t="shared" si="8"/>
        <v>0.21933892230000002</v>
      </c>
      <c r="R33" s="58">
        <f t="shared" si="8"/>
        <v>0.22173231152300002</v>
      </c>
      <c r="S33" s="58">
        <f t="shared" si="8"/>
        <v>0.22414963463823001</v>
      </c>
      <c r="T33" s="58">
        <f t="shared" si="8"/>
        <v>0.22659113098461231</v>
      </c>
      <c r="U33" s="58">
        <f t="shared" si="8"/>
        <v>0.22905704229445845</v>
      </c>
      <c r="V33" s="58">
        <f t="shared" si="8"/>
        <v>0.23154761271740301</v>
      </c>
    </row>
    <row r="34" spans="2:22" x14ac:dyDescent="0.25">
      <c r="B34" s="54" t="s">
        <v>282</v>
      </c>
      <c r="M34" s="58">
        <v>0.23</v>
      </c>
      <c r="N34" s="58">
        <f>+M34*(1+1%)</f>
        <v>0.23230000000000001</v>
      </c>
      <c r="O34" s="58">
        <f t="shared" ref="O34:V34" si="9">+N34*(1+1%)</f>
        <v>0.234623</v>
      </c>
      <c r="P34" s="58">
        <f t="shared" si="9"/>
        <v>0.23696923</v>
      </c>
      <c r="Q34" s="58">
        <f t="shared" si="9"/>
        <v>0.23933892230000001</v>
      </c>
      <c r="R34" s="58">
        <f t="shared" si="9"/>
        <v>0.24173231152300001</v>
      </c>
      <c r="S34" s="58">
        <f t="shared" si="9"/>
        <v>0.24414963463823</v>
      </c>
      <c r="T34" s="58">
        <f t="shared" si="9"/>
        <v>0.2465911309846123</v>
      </c>
      <c r="U34" s="58">
        <f t="shared" si="9"/>
        <v>0.24905704229445844</v>
      </c>
      <c r="V34" s="58">
        <f t="shared" si="9"/>
        <v>0.251547612717403</v>
      </c>
    </row>
    <row r="35" spans="2:22" x14ac:dyDescent="0.25">
      <c r="B35" s="54" t="s">
        <v>283</v>
      </c>
      <c r="M35" s="58">
        <f>+M34+1%</f>
        <v>0.24000000000000002</v>
      </c>
      <c r="N35" s="58">
        <f t="shared" ref="N35:V35" si="10">+N34+1%</f>
        <v>0.24230000000000002</v>
      </c>
      <c r="O35" s="58">
        <f t="shared" si="10"/>
        <v>0.24462300000000001</v>
      </c>
      <c r="P35" s="58">
        <f t="shared" si="10"/>
        <v>0.24696923000000001</v>
      </c>
      <c r="Q35" s="58">
        <f t="shared" si="10"/>
        <v>0.24933892230000002</v>
      </c>
      <c r="R35" s="58">
        <f t="shared" si="10"/>
        <v>0.25173231152300002</v>
      </c>
      <c r="S35" s="58">
        <f t="shared" si="10"/>
        <v>0.25414963463822998</v>
      </c>
      <c r="T35" s="58">
        <f t="shared" si="10"/>
        <v>0.25659113098461228</v>
      </c>
      <c r="U35" s="58">
        <f t="shared" si="10"/>
        <v>0.25905704229445842</v>
      </c>
      <c r="V35" s="58">
        <f t="shared" si="10"/>
        <v>0.26154761271740301</v>
      </c>
    </row>
    <row r="37" spans="2:22" x14ac:dyDescent="0.25">
      <c r="B37" t="s">
        <v>285</v>
      </c>
      <c r="G37" s="29">
        <f>+Model!Q28</f>
        <v>-0.17499999999999999</v>
      </c>
      <c r="H37" s="29">
        <f>+Model!R28</f>
        <v>-105.88200000000001</v>
      </c>
      <c r="I37" s="29">
        <f>+Model!S28</f>
        <v>-61.844999999999999</v>
      </c>
      <c r="J37" s="29">
        <f>+Model!T28</f>
        <v>178.34899999999999</v>
      </c>
      <c r="K37" s="29">
        <f>+Model!U28</f>
        <v>83.706000000000003</v>
      </c>
      <c r="L37" s="29">
        <f>+Model!V28</f>
        <v>-39.485999999999997</v>
      </c>
      <c r="M37" s="29">
        <f ca="1">M38*M31</f>
        <v>200.11313456400003</v>
      </c>
      <c r="N37" s="29">
        <f t="shared" ref="N37:V37" ca="1" si="11">N38*N31</f>
        <v>207.57135108920028</v>
      </c>
      <c r="O37" s="29">
        <f t="shared" ca="1" si="11"/>
        <v>215.08111651452666</v>
      </c>
      <c r="P37" s="29">
        <f t="shared" ca="1" si="11"/>
        <v>222.63735318251076</v>
      </c>
      <c r="Q37" s="29">
        <f t="shared" ca="1" si="11"/>
        <v>230.23524263553091</v>
      </c>
      <c r="R37" s="29">
        <f t="shared" ca="1" si="11"/>
        <v>237.8702302356713</v>
      </c>
      <c r="S37" s="29">
        <f t="shared" ca="1" si="11"/>
        <v>245.53802788394245</v>
      </c>
      <c r="T37" s="29">
        <f t="shared" ca="1" si="11"/>
        <v>253.23461500766413</v>
      </c>
      <c r="U37" s="29">
        <f t="shared" ca="1" si="11"/>
        <v>260.9562379822658</v>
      </c>
      <c r="V37" s="29">
        <f t="shared" ca="1" si="11"/>
        <v>268.69940814954759</v>
      </c>
    </row>
    <row r="38" spans="2:22" x14ac:dyDescent="0.25">
      <c r="B38" s="55" t="s">
        <v>286</v>
      </c>
      <c r="G38" s="57">
        <f t="shared" ref="G38:L38" si="12">G37/G31</f>
        <v>-1.3602904025682276E-3</v>
      </c>
      <c r="H38" s="57">
        <f t="shared" si="12"/>
        <v>-0.49448917449702062</v>
      </c>
      <c r="I38" s="57">
        <f t="shared" si="12"/>
        <v>-9.0540564280945812E-2</v>
      </c>
      <c r="J38" s="57">
        <f t="shared" si="12"/>
        <v>0.20963590030514032</v>
      </c>
      <c r="K38" s="57">
        <f t="shared" si="12"/>
        <v>8.0736277504550119E-2</v>
      </c>
      <c r="L38" s="57">
        <f t="shared" si="12"/>
        <v>-3.8639372704668003E-2</v>
      </c>
      <c r="M38" s="57">
        <v>0.21</v>
      </c>
      <c r="N38" s="57">
        <v>0.21</v>
      </c>
      <c r="O38" s="57">
        <v>0.21</v>
      </c>
      <c r="P38" s="57">
        <v>0.21</v>
      </c>
      <c r="Q38" s="57">
        <v>0.21</v>
      </c>
      <c r="R38" s="57">
        <v>0.21</v>
      </c>
      <c r="S38" s="57">
        <v>0.21</v>
      </c>
      <c r="T38" s="57">
        <v>0.21</v>
      </c>
      <c r="U38" s="57">
        <v>0.21</v>
      </c>
      <c r="V38" s="57">
        <v>0.21</v>
      </c>
    </row>
    <row r="39" spans="2:22" x14ac:dyDescent="0.25">
      <c r="B39" s="55"/>
    </row>
    <row r="40" spans="2:22" x14ac:dyDescent="0.25">
      <c r="B40" s="59" t="s">
        <v>287</v>
      </c>
      <c r="C40" s="60"/>
      <c r="D40" s="60"/>
      <c r="E40" s="60"/>
      <c r="F40" s="60"/>
      <c r="G40" s="61">
        <f t="shared" ref="G40:V40" si="13">G31-G37</f>
        <v>128.82400000000007</v>
      </c>
      <c r="H40" s="61">
        <f t="shared" si="13"/>
        <v>320.00599999999991</v>
      </c>
      <c r="I40" s="61">
        <f t="shared" si="13"/>
        <v>744.90900000000033</v>
      </c>
      <c r="J40" s="61">
        <f t="shared" si="13"/>
        <v>672.40700000000015</v>
      </c>
      <c r="K40" s="61">
        <f t="shared" si="13"/>
        <v>953.07700000000011</v>
      </c>
      <c r="L40" s="61">
        <f t="shared" si="13"/>
        <v>1061.3970000000004</v>
      </c>
      <c r="M40" s="61">
        <f t="shared" ca="1" si="13"/>
        <v>752.80655383600015</v>
      </c>
      <c r="N40" s="61">
        <f t="shared" ca="1" si="13"/>
        <v>780.86365409746782</v>
      </c>
      <c r="O40" s="61">
        <f t="shared" ca="1" si="13"/>
        <v>809.1146764117907</v>
      </c>
      <c r="P40" s="61">
        <f t="shared" ca="1" si="13"/>
        <v>837.54051911515955</v>
      </c>
      <c r="Q40" s="61">
        <f t="shared" ca="1" si="13"/>
        <v>866.12305562890208</v>
      </c>
      <c r="R40" s="61">
        <f t="shared" ca="1" si="13"/>
        <v>894.84515183895394</v>
      </c>
      <c r="S40" s="61">
        <f t="shared" ca="1" si="13"/>
        <v>923.69067632530732</v>
      </c>
      <c r="T40" s="61">
        <f t="shared" ca="1" si="13"/>
        <v>952.64450407645086</v>
      </c>
      <c r="U40" s="61">
        <f t="shared" ca="1" si="13"/>
        <v>981.69251431423822</v>
      </c>
      <c r="V40" s="62">
        <f t="shared" ca="1" si="13"/>
        <v>1010.8215830387743</v>
      </c>
    </row>
    <row r="42" spans="2:22" x14ac:dyDescent="0.25">
      <c r="B42" t="s">
        <v>288</v>
      </c>
      <c r="G42" s="29">
        <f>+Model!Q83+Model!Q88</f>
        <v>38.625</v>
      </c>
      <c r="H42" s="29">
        <f>+Model!R83+Model!R88</f>
        <v>43.980000000000004</v>
      </c>
      <c r="I42" s="29">
        <f>+Model!S83+Model!S88</f>
        <v>70.097999999999999</v>
      </c>
      <c r="J42" s="29">
        <f>+Model!T83+Model!T88</f>
        <v>70.531999999999996</v>
      </c>
      <c r="K42" s="29">
        <f>+Model!U83+Model!U88</f>
        <v>83.376000000000005</v>
      </c>
      <c r="L42" s="29">
        <f>+Model!V83+Model!V88</f>
        <v>102.893</v>
      </c>
      <c r="M42" s="29">
        <f ca="1">M43*M25</f>
        <v>107.72135608000001</v>
      </c>
      <c r="N42" s="29">
        <f t="shared" ref="N42:V42" ca="1" si="14">N43*N25</f>
        <v>110.62983269415999</v>
      </c>
      <c r="O42" s="29">
        <f t="shared" ca="1" si="14"/>
        <v>113.49735795759263</v>
      </c>
      <c r="P42" s="29">
        <f t="shared" ca="1" si="14"/>
        <v>116.32153541512299</v>
      </c>
      <c r="Q42" s="29">
        <f t="shared" ca="1" si="14"/>
        <v>119.10020936396292</v>
      </c>
      <c r="R42" s="29">
        <f t="shared" ca="1" si="14"/>
        <v>121.83145789816406</v>
      </c>
      <c r="S42" s="29">
        <f t="shared" ca="1" si="14"/>
        <v>124.51358509909618</v>
      </c>
      <c r="T42" s="29">
        <f t="shared" ca="1" si="14"/>
        <v>127.14511252289709</v>
      </c>
      <c r="U42" s="29">
        <f t="shared" ca="1" si="14"/>
        <v>129.72477012519303</v>
      </c>
      <c r="V42" s="29">
        <f t="shared" ca="1" si="14"/>
        <v>132.25148675241152</v>
      </c>
    </row>
    <row r="43" spans="2:22" x14ac:dyDescent="0.25">
      <c r="B43" s="54" t="s">
        <v>284</v>
      </c>
      <c r="C43" s="56"/>
      <c r="D43" s="56"/>
      <c r="E43" s="56"/>
      <c r="F43" s="56"/>
      <c r="G43" s="63">
        <f t="shared" ref="G43:L43" si="15">G42/G25</f>
        <v>3.1387306769988126E-2</v>
      </c>
      <c r="H43" s="63">
        <f t="shared" si="15"/>
        <v>3.1732723595567232E-2</v>
      </c>
      <c r="I43" s="63">
        <f t="shared" si="15"/>
        <v>3.0300646316961583E-2</v>
      </c>
      <c r="J43" s="63">
        <f t="shared" si="15"/>
        <v>1.9840308749544653E-2</v>
      </c>
      <c r="K43" s="63">
        <f t="shared" si="15"/>
        <v>2.1042074305960584E-2</v>
      </c>
      <c r="L43" s="63">
        <f t="shared" si="15"/>
        <v>2.5082957347783139E-2</v>
      </c>
      <c r="M43" s="64">
        <v>2.5999999999999999E-2</v>
      </c>
      <c r="N43" s="64">
        <v>2.5999999999999999E-2</v>
      </c>
      <c r="O43" s="64">
        <v>2.5999999999999999E-2</v>
      </c>
      <c r="P43" s="64">
        <v>2.5999999999999999E-2</v>
      </c>
      <c r="Q43" s="64">
        <v>2.5999999999999999E-2</v>
      </c>
      <c r="R43" s="64">
        <v>2.5999999999999999E-2</v>
      </c>
      <c r="S43" s="64">
        <v>2.5999999999999999E-2</v>
      </c>
      <c r="T43" s="64">
        <v>2.5999999999999999E-2</v>
      </c>
      <c r="U43" s="64">
        <v>2.5999999999999999E-2</v>
      </c>
      <c r="V43" s="64">
        <v>2.5999999999999999E-2</v>
      </c>
    </row>
    <row r="45" spans="2:22" x14ac:dyDescent="0.25">
      <c r="B45" t="s">
        <v>104</v>
      </c>
      <c r="G45" s="29">
        <f>+Model!Q101</f>
        <v>-35.96</v>
      </c>
      <c r="H45" s="29">
        <f>+Model!R101</f>
        <v>-41.597000000000001</v>
      </c>
      <c r="I45" s="29">
        <f>+Model!S101</f>
        <v>-55.915999999999997</v>
      </c>
      <c r="J45" s="29">
        <f>+Model!T101</f>
        <v>-104.19</v>
      </c>
      <c r="K45" s="29">
        <f>+Model!U101</f>
        <v>-115.625</v>
      </c>
      <c r="L45" s="29">
        <f>+Model!V101</f>
        <v>-69.346999999999994</v>
      </c>
      <c r="M45" s="29">
        <f ca="1">M46*M25</f>
        <v>-116.00761424000002</v>
      </c>
      <c r="N45" s="29">
        <f t="shared" ref="N45:V45" ca="1" si="16">N46*N25</f>
        <v>-119.13981982448</v>
      </c>
      <c r="O45" s="29">
        <f t="shared" ca="1" si="16"/>
        <v>-122.22792395433052</v>
      </c>
      <c r="P45" s="29">
        <f t="shared" ca="1" si="16"/>
        <v>-125.26934583167093</v>
      </c>
      <c r="Q45" s="29">
        <f t="shared" ca="1" si="16"/>
        <v>-128.26176393042161</v>
      </c>
      <c r="R45" s="29">
        <f t="shared" ca="1" si="16"/>
        <v>-131.20310850571516</v>
      </c>
      <c r="S45" s="29">
        <f t="shared" ca="1" si="16"/>
        <v>-134.09155318364205</v>
      </c>
      <c r="T45" s="29">
        <f t="shared" ca="1" si="16"/>
        <v>-136.92550579388919</v>
      </c>
      <c r="U45" s="29">
        <f t="shared" ca="1" si="16"/>
        <v>-139.70359859636173</v>
      </c>
      <c r="V45" s="29">
        <f t="shared" ca="1" si="16"/>
        <v>-142.42467804105857</v>
      </c>
    </row>
    <row r="46" spans="2:22" x14ac:dyDescent="0.25">
      <c r="B46" s="54" t="s">
        <v>284</v>
      </c>
      <c r="G46" s="63">
        <f t="shared" ref="G46:L46" si="17">G45/G25</f>
        <v>-2.922168417990351E-2</v>
      </c>
      <c r="H46" s="63">
        <f t="shared" si="17"/>
        <v>-3.0013326589468172E-2</v>
      </c>
      <c r="I46" s="63">
        <f t="shared" si="17"/>
        <v>-2.4170317833022679E-2</v>
      </c>
      <c r="J46" s="63">
        <f t="shared" si="17"/>
        <v>-2.9308140540677385E-2</v>
      </c>
      <c r="K46" s="63">
        <f t="shared" si="17"/>
        <v>-2.9180937459541024E-2</v>
      </c>
      <c r="L46" s="63">
        <f t="shared" si="17"/>
        <v>-1.6905210686798101E-2</v>
      </c>
      <c r="M46" s="64">
        <v>-2.8000000000000001E-2</v>
      </c>
      <c r="N46" s="64">
        <v>-2.8000000000000001E-2</v>
      </c>
      <c r="O46" s="64">
        <v>-2.8000000000000001E-2</v>
      </c>
      <c r="P46" s="64">
        <v>-2.8000000000000001E-2</v>
      </c>
      <c r="Q46" s="64">
        <v>-2.8000000000000001E-2</v>
      </c>
      <c r="R46" s="64">
        <v>-2.8000000000000001E-2</v>
      </c>
      <c r="S46" s="64">
        <v>-2.8000000000000001E-2</v>
      </c>
      <c r="T46" s="64">
        <v>-2.8000000000000001E-2</v>
      </c>
      <c r="U46" s="64">
        <v>-2.8000000000000001E-2</v>
      </c>
      <c r="V46" s="64">
        <v>-2.8000000000000001E-2</v>
      </c>
    </row>
    <row r="48" spans="2:22" x14ac:dyDescent="0.25">
      <c r="B48" t="s">
        <v>102</v>
      </c>
      <c r="G48" s="29">
        <f>+Model!Q99</f>
        <v>-111.297</v>
      </c>
      <c r="H48" s="29">
        <f>+Model!R99</f>
        <v>132.38800000000001</v>
      </c>
      <c r="I48" s="29">
        <f>+Model!S99</f>
        <v>-44.52600000000001</v>
      </c>
      <c r="J48" s="29">
        <f>+Model!T99</f>
        <v>-91.682000000000002</v>
      </c>
      <c r="K48" s="29">
        <f>+Model!U99</f>
        <v>366.52499999999998</v>
      </c>
      <c r="L48" s="29">
        <f>+Model!V99</f>
        <v>68.429999999999993</v>
      </c>
      <c r="M48" s="29">
        <f ca="1">M49*M25</f>
        <v>-49.717548960000009</v>
      </c>
      <c r="N48" s="29">
        <f t="shared" ref="N48:V48" ca="1" si="18">N49*N25</f>
        <v>-51.059922781920001</v>
      </c>
      <c r="O48" s="29">
        <f t="shared" ca="1" si="18"/>
        <v>-52.383395980427366</v>
      </c>
      <c r="P48" s="29">
        <f t="shared" ca="1" si="18"/>
        <v>-53.686862499287543</v>
      </c>
      <c r="Q48" s="29">
        <f t="shared" ca="1" si="18"/>
        <v>-54.969327398752121</v>
      </c>
      <c r="R48" s="29">
        <f t="shared" ca="1" si="18"/>
        <v>-56.229903645306493</v>
      </c>
      <c r="S48" s="29">
        <f t="shared" ca="1" si="18"/>
        <v>-57.467808507275166</v>
      </c>
      <c r="T48" s="29">
        <f t="shared" ca="1" si="18"/>
        <v>-58.682359625952508</v>
      </c>
      <c r="U48" s="29">
        <f t="shared" ca="1" si="18"/>
        <v>-59.872970827012175</v>
      </c>
      <c r="V48" s="29">
        <f t="shared" ca="1" si="18"/>
        <v>-61.039147731882238</v>
      </c>
    </row>
    <row r="49" spans="2:24" x14ac:dyDescent="0.25">
      <c r="B49" s="54" t="s">
        <v>284</v>
      </c>
      <c r="G49" s="63">
        <f t="shared" ref="G49:L49" si="19">G48/G25</f>
        <v>-9.0441762629886555E-2</v>
      </c>
      <c r="H49" s="63">
        <f t="shared" si="19"/>
        <v>9.5521414537743404E-2</v>
      </c>
      <c r="I49" s="63">
        <f t="shared" si="19"/>
        <v>-1.924686264813592E-2</v>
      </c>
      <c r="J49" s="63">
        <f t="shared" si="19"/>
        <v>-2.5789700941072888E-2</v>
      </c>
      <c r="K49" s="63">
        <f t="shared" si="19"/>
        <v>9.2501994398774254E-2</v>
      </c>
      <c r="L49" s="63">
        <f t="shared" si="19"/>
        <v>1.66816670843381E-2</v>
      </c>
      <c r="M49" s="64">
        <v>-1.2E-2</v>
      </c>
      <c r="N49" s="64">
        <v>-1.2E-2</v>
      </c>
      <c r="O49" s="64">
        <v>-1.2E-2</v>
      </c>
      <c r="P49" s="64">
        <v>-1.2E-2</v>
      </c>
      <c r="Q49" s="64">
        <v>-1.2E-2</v>
      </c>
      <c r="R49" s="64">
        <v>-1.2E-2</v>
      </c>
      <c r="S49" s="64">
        <v>-1.2E-2</v>
      </c>
      <c r="T49" s="64">
        <v>-1.2E-2</v>
      </c>
      <c r="U49" s="64">
        <v>-1.2E-2</v>
      </c>
      <c r="V49" s="64">
        <v>-1.2E-2</v>
      </c>
    </row>
    <row r="51" spans="2:24" x14ac:dyDescent="0.25">
      <c r="B51" s="65" t="s">
        <v>289</v>
      </c>
      <c r="C51" s="66"/>
      <c r="D51" s="66"/>
      <c r="E51" s="66"/>
      <c r="F51" s="66"/>
      <c r="G51" s="67">
        <f>G40+G42+G45+G48</f>
        <v>20.192000000000064</v>
      </c>
      <c r="H51" s="67">
        <f t="shared" ref="H51:U51" si="20">H40+H42+H45+H48</f>
        <v>454.77699999999993</v>
      </c>
      <c r="I51" s="67">
        <f t="shared" si="20"/>
        <v>714.56500000000028</v>
      </c>
      <c r="J51" s="67">
        <f t="shared" si="20"/>
        <v>547.06700000000023</v>
      </c>
      <c r="K51" s="67">
        <f t="shared" si="20"/>
        <v>1287.3530000000001</v>
      </c>
      <c r="L51" s="67">
        <f t="shared" si="20"/>
        <v>1163.3730000000005</v>
      </c>
      <c r="M51" s="67">
        <f ca="1">M40+M42+M45+M48</f>
        <v>694.802746716</v>
      </c>
      <c r="N51" s="67">
        <f t="shared" ca="1" si="20"/>
        <v>721.29374418522775</v>
      </c>
      <c r="O51" s="67">
        <f t="shared" ca="1" si="20"/>
        <v>748.00071443462537</v>
      </c>
      <c r="P51" s="67">
        <f t="shared" ca="1" si="20"/>
        <v>774.90584619932406</v>
      </c>
      <c r="Q51" s="67">
        <f t="shared" ca="1" si="20"/>
        <v>801.99217366369123</v>
      </c>
      <c r="R51" s="67">
        <f t="shared" ca="1" si="20"/>
        <v>829.24359758609637</v>
      </c>
      <c r="S51" s="67">
        <f t="shared" ca="1" si="20"/>
        <v>856.64489973348623</v>
      </c>
      <c r="T51" s="67">
        <f t="shared" ca="1" si="20"/>
        <v>884.18175117950625</v>
      </c>
      <c r="U51" s="67">
        <f t="shared" ca="1" si="20"/>
        <v>911.8407150160574</v>
      </c>
      <c r="V51" s="68">
        <f ca="1">V40+V42+V45+V48</f>
        <v>939.60924401824502</v>
      </c>
    </row>
    <row r="52" spans="2:24" x14ac:dyDescent="0.25">
      <c r="B52" s="69" t="s">
        <v>290</v>
      </c>
      <c r="C52" s="70"/>
      <c r="D52" s="70"/>
      <c r="E52" s="70"/>
      <c r="F52" s="70"/>
      <c r="G52" s="71"/>
      <c r="H52" s="71"/>
      <c r="I52" s="71"/>
      <c r="J52" s="71"/>
      <c r="K52" s="71"/>
      <c r="L52" s="71"/>
      <c r="M52" s="71">
        <f ca="1">(M51/(1+$E$18)^M53)*M53</f>
        <v>268.50409822373302</v>
      </c>
      <c r="N52" s="71">
        <f ca="1">N51/(1+$E$18)^N53</f>
        <v>639.31525643069688</v>
      </c>
      <c r="O52" s="71">
        <f t="shared" ref="O52:U52" ca="1" si="21">O51/(1+$E$18)^O53</f>
        <v>608.24481801087632</v>
      </c>
      <c r="P52" s="71">
        <f t="shared" ca="1" si="21"/>
        <v>578.09450916863534</v>
      </c>
      <c r="Q52" s="71">
        <f t="shared" ca="1" si="21"/>
        <v>548.90038987192463</v>
      </c>
      <c r="R52" s="71">
        <f t="shared" ca="1" si="21"/>
        <v>520.68976167995152</v>
      </c>
      <c r="S52" s="71">
        <f t="shared" ca="1" si="21"/>
        <v>493.48192106261996</v>
      </c>
      <c r="T52" s="71">
        <f t="shared" ca="1" si="21"/>
        <v>467.2888973158208</v>
      </c>
      <c r="U52" s="71">
        <f t="shared" ca="1" si="21"/>
        <v>442.1161683240224</v>
      </c>
      <c r="V52" s="72">
        <f ca="1">V51/(1+$E$18)^V53</f>
        <v>417.96334877288797</v>
      </c>
    </row>
    <row r="53" spans="2:24" x14ac:dyDescent="0.25">
      <c r="B53" t="s">
        <v>291</v>
      </c>
      <c r="M53" s="85">
        <f ca="1">YEARFRAC(E4,E5)</f>
        <v>0.4</v>
      </c>
      <c r="N53" s="85">
        <f ca="1">M53+1</f>
        <v>1.4</v>
      </c>
      <c r="O53" s="85">
        <f ca="1">N53+1</f>
        <v>2.4</v>
      </c>
      <c r="P53" s="85">
        <f t="shared" ref="P53:V53" ca="1" si="22">O53+1</f>
        <v>3.4</v>
      </c>
      <c r="Q53" s="85">
        <f t="shared" ca="1" si="22"/>
        <v>4.4000000000000004</v>
      </c>
      <c r="R53" s="85">
        <f t="shared" ca="1" si="22"/>
        <v>5.4</v>
      </c>
      <c r="S53" s="85">
        <f t="shared" ca="1" si="22"/>
        <v>6.4</v>
      </c>
      <c r="T53" s="85">
        <f t="shared" ca="1" si="22"/>
        <v>7.4</v>
      </c>
      <c r="U53" s="85">
        <f t="shared" ca="1" si="22"/>
        <v>8.4</v>
      </c>
      <c r="V53" s="85">
        <f t="shared" ca="1" si="22"/>
        <v>9.4</v>
      </c>
    </row>
    <row r="54" spans="2:24" x14ac:dyDescent="0.25">
      <c r="B54" t="s">
        <v>292</v>
      </c>
      <c r="N54" s="36"/>
      <c r="O54" s="36"/>
      <c r="P54" s="36"/>
      <c r="Q54" s="36"/>
      <c r="V54" s="29">
        <f ca="1">SUM(M52:V52)</f>
        <v>4984.5991688611693</v>
      </c>
    </row>
    <row r="55" spans="2:24" x14ac:dyDescent="0.25">
      <c r="B55" t="s">
        <v>293</v>
      </c>
      <c r="N55" s="36"/>
      <c r="O55" s="36"/>
      <c r="P55" s="36"/>
      <c r="Q55" s="36"/>
      <c r="V55" s="29">
        <f ca="1">+(V40*(1+E19))*(1-(E19/E20))/(E18-E19)</f>
        <v>11954.909107093194</v>
      </c>
      <c r="X55" s="32" t="s">
        <v>294</v>
      </c>
    </row>
    <row r="56" spans="2:24" x14ac:dyDescent="0.25">
      <c r="B56" s="22" t="s">
        <v>295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73"/>
      <c r="O56" s="73"/>
      <c r="P56" s="73"/>
      <c r="Q56" s="73"/>
      <c r="R56" s="73"/>
      <c r="S56" s="73"/>
      <c r="T56" s="73"/>
      <c r="U56" s="73"/>
      <c r="V56" s="74">
        <f ca="1">V55/(1+E18)^V53</f>
        <v>5317.8636507530382</v>
      </c>
    </row>
    <row r="57" spans="2:24" x14ac:dyDescent="0.25">
      <c r="B57" s="39" t="s">
        <v>296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75"/>
      <c r="O57" s="75"/>
      <c r="P57" s="75"/>
      <c r="Q57" s="75"/>
      <c r="R57" s="75"/>
      <c r="S57" s="75"/>
      <c r="T57" s="75"/>
      <c r="U57" s="75"/>
      <c r="V57" s="76">
        <f ca="1">V54+V56</f>
        <v>10302.462819614208</v>
      </c>
    </row>
    <row r="58" spans="2:24" x14ac:dyDescent="0.25">
      <c r="B58" t="s">
        <v>297</v>
      </c>
      <c r="N58" s="36"/>
      <c r="O58" s="36"/>
      <c r="P58" s="36"/>
      <c r="Q58" s="36"/>
      <c r="V58" s="77">
        <f>+Main!H5</f>
        <v>200.61099999999999</v>
      </c>
    </row>
    <row r="59" spans="2:24" x14ac:dyDescent="0.25">
      <c r="B59" s="22" t="s">
        <v>298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73"/>
      <c r="O59" s="73"/>
      <c r="P59" s="73"/>
      <c r="Q59" s="73"/>
      <c r="R59" s="73"/>
      <c r="S59" s="73"/>
      <c r="T59" s="73"/>
      <c r="U59" s="73"/>
      <c r="V59" s="74">
        <f>+Main!H6</f>
        <v>1379.1120000000001</v>
      </c>
    </row>
    <row r="60" spans="2:24" x14ac:dyDescent="0.25">
      <c r="B60" t="s">
        <v>299</v>
      </c>
      <c r="N60" s="36"/>
      <c r="O60" s="36"/>
      <c r="P60" s="36"/>
      <c r="Q60" s="36"/>
      <c r="V60" s="77">
        <f ca="1">V57+V58-V59</f>
        <v>9123.9618196142073</v>
      </c>
    </row>
    <row r="61" spans="2:24" x14ac:dyDescent="0.25">
      <c r="B61" s="22" t="s">
        <v>300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73"/>
      <c r="O61" s="73"/>
      <c r="P61" s="73"/>
      <c r="Q61" s="73"/>
      <c r="R61" s="73"/>
      <c r="S61" s="73"/>
      <c r="T61" s="73"/>
      <c r="U61" s="73"/>
      <c r="V61" s="74">
        <f>+Main!H3</f>
        <v>56.11</v>
      </c>
    </row>
    <row r="62" spans="2:24" x14ac:dyDescent="0.25">
      <c r="B62" t="s">
        <v>257</v>
      </c>
      <c r="V62" s="77">
        <f ca="1">V60/V61</f>
        <v>162.60848012144373</v>
      </c>
    </row>
    <row r="66" spans="1:22" x14ac:dyDescent="0.25">
      <c r="A66" s="49" t="s">
        <v>132</v>
      </c>
      <c r="B66" s="37" t="s">
        <v>301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</row>
    <row r="68" spans="1:22" x14ac:dyDescent="0.25">
      <c r="B68" s="78"/>
      <c r="C68" s="86" t="s">
        <v>274</v>
      </c>
      <c r="D68" s="86"/>
      <c r="E68" s="86"/>
      <c r="F68" s="86"/>
      <c r="G68" s="86"/>
      <c r="H68" s="86"/>
      <c r="I68" s="86"/>
      <c r="J68" s="87"/>
      <c r="M68" s="78"/>
      <c r="N68" s="88" t="s">
        <v>302</v>
      </c>
      <c r="O68" s="88"/>
      <c r="P68" s="88"/>
      <c r="Q68" s="88"/>
      <c r="R68" s="88"/>
      <c r="S68" s="88"/>
      <c r="T68" s="88"/>
      <c r="U68" s="89"/>
    </row>
    <row r="69" spans="1:22" x14ac:dyDescent="0.25">
      <c r="B69" s="90" t="s">
        <v>253</v>
      </c>
      <c r="C69" s="79">
        <f ca="1">+J4</f>
        <v>162.60848012144373</v>
      </c>
      <c r="D69" s="80">
        <v>0.01</v>
      </c>
      <c r="E69" s="80">
        <v>1.4999999999999999E-2</v>
      </c>
      <c r="F69" s="80">
        <v>0.02</v>
      </c>
      <c r="G69" s="80">
        <v>2.5000000000000001E-2</v>
      </c>
      <c r="H69" s="80">
        <v>0.03</v>
      </c>
      <c r="I69" s="80">
        <v>3.5000000000000003E-2</v>
      </c>
      <c r="J69" s="80">
        <v>0.04</v>
      </c>
      <c r="M69" s="90" t="s">
        <v>253</v>
      </c>
      <c r="N69" s="79">
        <f ca="1">+J4</f>
        <v>162.60848012144373</v>
      </c>
      <c r="O69" s="80">
        <v>7.0000000000000007E-2</v>
      </c>
      <c r="P69" s="80">
        <v>0.08</v>
      </c>
      <c r="Q69" s="80">
        <v>0.09</v>
      </c>
      <c r="R69" s="80">
        <v>0.1</v>
      </c>
      <c r="S69" s="80">
        <v>0.11</v>
      </c>
      <c r="T69" s="80">
        <v>0.12</v>
      </c>
      <c r="U69" s="80">
        <v>0.13</v>
      </c>
    </row>
    <row r="70" spans="1:22" x14ac:dyDescent="0.25">
      <c r="B70" s="90"/>
      <c r="C70" s="81">
        <v>0.05</v>
      </c>
      <c r="D70" s="82">
        <f t="dataTable" ref="D70:J76" dt2D="1" dtr="1" r1="E19" r2="E18" ca="1"/>
        <v>344.62945933209699</v>
      </c>
      <c r="E70" s="82">
        <v>366.55173124789758</v>
      </c>
      <c r="F70" s="82">
        <v>395.59162391558175</v>
      </c>
      <c r="G70" s="83">
        <v>436.01970978627907</v>
      </c>
      <c r="H70" s="82">
        <v>496.37713376224985</v>
      </c>
      <c r="I70" s="82">
        <v>596.59323394876719</v>
      </c>
      <c r="J70" s="82">
        <v>796.45602466165155</v>
      </c>
      <c r="M70" s="90"/>
      <c r="N70" s="81">
        <v>0.05</v>
      </c>
      <c r="O70" s="82">
        <f t="dataTable" ref="O70:U76" dt2D="1" dtr="1" r1="E20" r2="E18" ca="1"/>
        <v>385.99300393018473</v>
      </c>
      <c r="P70" s="82">
        <v>406.83746470355743</v>
      </c>
      <c r="Q70" s="82">
        <v>423.04982308284724</v>
      </c>
      <c r="R70" s="83">
        <v>436.01970978627907</v>
      </c>
      <c r="S70" s="82">
        <v>446.63143527090517</v>
      </c>
      <c r="T70" s="82">
        <v>455.4745398414268</v>
      </c>
      <c r="U70" s="82">
        <v>462.95716678571449</v>
      </c>
    </row>
    <row r="71" spans="1:22" x14ac:dyDescent="0.25">
      <c r="B71" s="90"/>
      <c r="C71" s="81">
        <v>0.06</v>
      </c>
      <c r="D71" s="82">
        <v>270.23939253136399</v>
      </c>
      <c r="E71" s="82">
        <v>280.5757626918811</v>
      </c>
      <c r="F71" s="82">
        <v>293.36600796329378</v>
      </c>
      <c r="G71" s="83">
        <v>309.66178910741411</v>
      </c>
      <c r="H71" s="82">
        <v>331.21587406059621</v>
      </c>
      <c r="I71" s="82">
        <v>361.18324510827682</v>
      </c>
      <c r="J71" s="82">
        <v>405.87386682133041</v>
      </c>
      <c r="M71" s="90"/>
      <c r="N71" s="81">
        <v>0.06</v>
      </c>
      <c r="O71" s="82">
        <v>276.97455687116479</v>
      </c>
      <c r="P71" s="82">
        <v>290.59423696960209</v>
      </c>
      <c r="Q71" s="82">
        <v>301.18732149060872</v>
      </c>
      <c r="R71" s="83">
        <v>309.66178910741411</v>
      </c>
      <c r="S71" s="82">
        <v>316.59544443025487</v>
      </c>
      <c r="T71" s="82">
        <v>322.37349053262216</v>
      </c>
      <c r="U71" s="82">
        <v>327.26260646539453</v>
      </c>
    </row>
    <row r="72" spans="1:22" x14ac:dyDescent="0.25">
      <c r="B72" s="90"/>
      <c r="C72" s="81">
        <v>7.0000000000000007E-2</v>
      </c>
      <c r="D72" s="83">
        <v>220.69940227446259</v>
      </c>
      <c r="E72" s="83">
        <v>225.81487830368624</v>
      </c>
      <c r="F72" s="83">
        <v>231.85807625685388</v>
      </c>
      <c r="G72" s="83">
        <v>239.13823677528001</v>
      </c>
      <c r="H72" s="83">
        <v>248.11922082093679</v>
      </c>
      <c r="I72" s="83">
        <v>259.52995276263721</v>
      </c>
      <c r="J72" s="83">
        <v>274.5853065484032</v>
      </c>
      <c r="M72" s="90"/>
      <c r="N72" s="81">
        <v>7.0000000000000007E-2</v>
      </c>
      <c r="O72" s="83">
        <v>215.86261440663733</v>
      </c>
      <c r="P72" s="83">
        <v>225.56079039357181</v>
      </c>
      <c r="Q72" s="83">
        <v>233.1038161611875</v>
      </c>
      <c r="R72" s="83">
        <v>239.13823677528001</v>
      </c>
      <c r="S72" s="83">
        <v>244.0754900049921</v>
      </c>
      <c r="T72" s="83">
        <v>248.18986769641884</v>
      </c>
      <c r="U72" s="83">
        <v>251.67126420454915</v>
      </c>
    </row>
    <row r="73" spans="1:22" x14ac:dyDescent="0.25">
      <c r="B73" s="90"/>
      <c r="C73" s="81">
        <v>0.09</v>
      </c>
      <c r="D73" s="82">
        <v>158.88680080785136</v>
      </c>
      <c r="E73" s="82">
        <v>160.01537630156596</v>
      </c>
      <c r="F73" s="82">
        <v>161.2479371958004</v>
      </c>
      <c r="G73" s="83">
        <v>162.60848012144373</v>
      </c>
      <c r="H73" s="82">
        <v>164.12900058634833</v>
      </c>
      <c r="I73" s="82">
        <v>165.85312882849433</v>
      </c>
      <c r="J73" s="82">
        <v>167.84194718105445</v>
      </c>
      <c r="M73" s="90"/>
      <c r="N73" s="81">
        <v>0.09</v>
      </c>
      <c r="O73" s="82">
        <v>149.06909663809975</v>
      </c>
      <c r="P73" s="82">
        <v>154.7105064228264</v>
      </c>
      <c r="Q73" s="82">
        <v>159.09826958872492</v>
      </c>
      <c r="R73" s="83">
        <v>162.60848012144373</v>
      </c>
      <c r="S73" s="82">
        <v>165.48047055730461</v>
      </c>
      <c r="T73" s="82">
        <v>167.87379592052201</v>
      </c>
      <c r="U73" s="82">
        <v>169.89891738170596</v>
      </c>
    </row>
    <row r="74" spans="1:22" x14ac:dyDescent="0.25">
      <c r="B74" s="90"/>
      <c r="C74" s="81">
        <v>0.1</v>
      </c>
      <c r="D74" s="82">
        <v>138.32930627488849</v>
      </c>
      <c r="E74" s="82">
        <v>138.69702267648188</v>
      </c>
      <c r="F74" s="82">
        <v>139.06473907807529</v>
      </c>
      <c r="G74" s="83">
        <v>139.43245547966865</v>
      </c>
      <c r="H74" s="82">
        <v>139.80017188126209</v>
      </c>
      <c r="I74" s="82">
        <v>140.16788828285544</v>
      </c>
      <c r="J74" s="82">
        <v>140.53560468444886</v>
      </c>
      <c r="M74" s="90"/>
      <c r="N74" s="81">
        <v>0.1</v>
      </c>
      <c r="O74" s="82">
        <v>128.66361800443354</v>
      </c>
      <c r="P74" s="82">
        <v>133.15063361911487</v>
      </c>
      <c r="Q74" s="82">
        <v>136.64053465275589</v>
      </c>
      <c r="R74" s="83">
        <v>139.43245547966865</v>
      </c>
      <c r="S74" s="82">
        <v>141.71675433805186</v>
      </c>
      <c r="T74" s="82">
        <v>143.6203367200379</v>
      </c>
      <c r="U74" s="82">
        <v>145.23106027402602</v>
      </c>
    </row>
    <row r="75" spans="1:22" x14ac:dyDescent="0.25">
      <c r="B75" s="90"/>
      <c r="C75" s="81">
        <v>0.11</v>
      </c>
      <c r="D75" s="82">
        <v>121.90950285849041</v>
      </c>
      <c r="E75" s="82">
        <v>121.85262219956134</v>
      </c>
      <c r="F75" s="82">
        <v>121.75189603270782</v>
      </c>
      <c r="G75" s="83">
        <v>121.59958691535492</v>
      </c>
      <c r="H75" s="82">
        <v>121.38602304428396</v>
      </c>
      <c r="I75" s="82">
        <v>121.0989534687514</v>
      </c>
      <c r="J75" s="82">
        <v>120.72262696637259</v>
      </c>
      <c r="M75" s="90"/>
      <c r="N75" s="81">
        <v>0.11</v>
      </c>
      <c r="O75" s="82">
        <v>112.87255829684167</v>
      </c>
      <c r="P75" s="82">
        <v>116.50882022122218</v>
      </c>
      <c r="Q75" s="82">
        <v>119.33702394018481</v>
      </c>
      <c r="R75" s="83">
        <v>121.59958691535492</v>
      </c>
      <c r="S75" s="82">
        <v>123.45077480413043</v>
      </c>
      <c r="T75" s="82">
        <v>124.99343137811003</v>
      </c>
      <c r="U75" s="82">
        <v>126.29875617147742</v>
      </c>
    </row>
    <row r="76" spans="1:22" x14ac:dyDescent="0.25">
      <c r="B76" s="91"/>
      <c r="C76" s="81">
        <v>0.12</v>
      </c>
      <c r="D76" s="82">
        <v>108.49775679795189</v>
      </c>
      <c r="E76" s="82">
        <v>108.20614668381063</v>
      </c>
      <c r="F76" s="82">
        <v>107.85433319126604</v>
      </c>
      <c r="G76" s="83">
        <v>107.43281052372808</v>
      </c>
      <c r="H76" s="82">
        <v>106.92996048536456</v>
      </c>
      <c r="I76" s="82">
        <v>106.33143118720619</v>
      </c>
      <c r="J76" s="82">
        <v>105.61928276804154</v>
      </c>
      <c r="M76" s="91"/>
      <c r="N76" s="81">
        <v>0.12</v>
      </c>
      <c r="O76" s="82">
        <v>100.25572191531606</v>
      </c>
      <c r="P76" s="82">
        <v>103.2461755021544</v>
      </c>
      <c r="Q76" s="82">
        <v>105.57208384747312</v>
      </c>
      <c r="R76" s="83">
        <v>107.43281052372808</v>
      </c>
      <c r="S76" s="82">
        <v>108.95522325884578</v>
      </c>
      <c r="T76" s="82">
        <v>110.22390053811051</v>
      </c>
      <c r="U76" s="82">
        <v>111.2973966974884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B63E9430-7EE4-4014-A15D-2AEAD7BDEC58}">
      <formula1>"1,2,3"</formula1>
    </dataValidation>
  </dataValidations>
  <hyperlinks>
    <hyperlink ref="A1" location="Main!A1" display="Main" xr:uid="{217437F4-8A61-4582-B446-211F30A4B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Ratios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2024-07-09T10:34:10Z</dcterms:created>
  <dcterms:modified xsi:type="dcterms:W3CDTF">2025-08-07T12:27:35Z</dcterms:modified>
</cp:coreProperties>
</file>