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30558D6A-B151-4465-9A9D-CAB2EF8CCE44}" xr6:coauthVersionLast="47" xr6:coauthVersionMax="47" xr10:uidLastSave="{00000000-0000-0000-0000-000000000000}"/>
  <bookViews>
    <workbookView xWindow="19095" yWindow="0" windowWidth="19410" windowHeight="20925" activeTab="3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" i="2" l="1"/>
  <c r="O27" i="2"/>
  <c r="N27" i="2"/>
  <c r="O26" i="2"/>
  <c r="N26" i="2"/>
  <c r="O24" i="2"/>
  <c r="N159" i="2"/>
  <c r="O159" i="2"/>
  <c r="N156" i="2"/>
  <c r="M156" i="2"/>
  <c r="O156" i="2"/>
  <c r="M146" i="2"/>
  <c r="N146" i="2"/>
  <c r="O146" i="2"/>
  <c r="N144" i="2"/>
  <c r="O144" i="2"/>
  <c r="N143" i="2"/>
  <c r="O143" i="2"/>
  <c r="N142" i="2"/>
  <c r="O142" i="2"/>
  <c r="M141" i="2"/>
  <c r="N141" i="2"/>
  <c r="O141" i="2"/>
  <c r="N105" i="2"/>
  <c r="M107" i="2"/>
  <c r="L107" i="2"/>
  <c r="N110" i="2"/>
  <c r="M110" i="2"/>
  <c r="L110" i="2"/>
  <c r="N118" i="2"/>
  <c r="M118" i="2"/>
  <c r="L118" i="2"/>
  <c r="N127" i="2"/>
  <c r="M127" i="2"/>
  <c r="O129" i="2"/>
  <c r="O127" i="2"/>
  <c r="O118" i="2"/>
  <c r="O110" i="2"/>
  <c r="O105" i="2"/>
  <c r="O107" i="2" s="1"/>
  <c r="N98" i="2"/>
  <c r="N107" i="2" s="1"/>
  <c r="M98" i="2"/>
  <c r="O98" i="2"/>
  <c r="P85" i="2"/>
  <c r="P84" i="2"/>
  <c r="P83" i="2"/>
  <c r="O83" i="2"/>
  <c r="N83" i="2"/>
  <c r="P82" i="2"/>
  <c r="O82" i="2"/>
  <c r="N82" i="2"/>
  <c r="P81" i="2"/>
  <c r="O81" i="2"/>
  <c r="N81" i="2"/>
  <c r="P80" i="2"/>
  <c r="O80" i="2"/>
  <c r="N80" i="2"/>
  <c r="O79" i="2"/>
  <c r="N79" i="2"/>
  <c r="P78" i="2"/>
  <c r="O78" i="2"/>
  <c r="N78" i="2"/>
  <c r="P76" i="2"/>
  <c r="O76" i="2"/>
  <c r="N76" i="2"/>
  <c r="P75" i="2"/>
  <c r="O75" i="2"/>
  <c r="N75" i="2"/>
  <c r="P74" i="2"/>
  <c r="O74" i="2"/>
  <c r="N74" i="2"/>
  <c r="P73" i="2"/>
  <c r="O73" i="2"/>
  <c r="N73" i="2"/>
  <c r="N49" i="2"/>
  <c r="O49" i="2"/>
  <c r="O46" i="2"/>
  <c r="O56" i="2" s="1"/>
  <c r="N46" i="2"/>
  <c r="N56" i="2" s="1"/>
  <c r="M46" i="2"/>
  <c r="L46" i="2"/>
  <c r="K46" i="2"/>
  <c r="N42" i="2"/>
  <c r="N77" i="2" s="1"/>
  <c r="O42" i="2"/>
  <c r="O77" i="2" s="1"/>
  <c r="O36" i="2"/>
  <c r="P36" i="2"/>
  <c r="O34" i="2"/>
  <c r="O32" i="2"/>
  <c r="O30" i="2"/>
  <c r="N17" i="2"/>
  <c r="N72" i="2" s="1"/>
  <c r="O17" i="2"/>
  <c r="O18" i="2" s="1"/>
  <c r="O18" i="10"/>
  <c r="O17" i="10"/>
  <c r="O16" i="10"/>
  <c r="O15" i="10"/>
  <c r="O14" i="10"/>
  <c r="O13" i="10"/>
  <c r="O12" i="10"/>
  <c r="O10" i="10"/>
  <c r="C8" i="1"/>
  <c r="J53" i="7"/>
  <c r="J45" i="7"/>
  <c r="J46" i="7" s="1"/>
  <c r="J35" i="7"/>
  <c r="J12" i="7"/>
  <c r="J11" i="7"/>
  <c r="J13" i="7" s="1"/>
  <c r="W36" i="2"/>
  <c r="W34" i="2"/>
  <c r="W32" i="2"/>
  <c r="H6" i="1"/>
  <c r="W148" i="2"/>
  <c r="W156" i="2" s="1"/>
  <c r="W144" i="2"/>
  <c r="W142" i="2"/>
  <c r="W141" i="2"/>
  <c r="J55" i="7" s="1"/>
  <c r="U129" i="2"/>
  <c r="T129" i="2"/>
  <c r="S129" i="2"/>
  <c r="R129" i="2"/>
  <c r="Q129" i="2"/>
  <c r="P129" i="2"/>
  <c r="W127" i="2"/>
  <c r="W118" i="2"/>
  <c r="W110" i="2"/>
  <c r="J54" i="7" s="1"/>
  <c r="U107" i="2"/>
  <c r="T107" i="2"/>
  <c r="S107" i="2"/>
  <c r="R107" i="2"/>
  <c r="Q107" i="2"/>
  <c r="P107" i="2"/>
  <c r="C105" i="2"/>
  <c r="W105" i="2"/>
  <c r="W98" i="2"/>
  <c r="J10" i="7" s="1"/>
  <c r="W49" i="2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8" i="10"/>
  <c r="J7" i="10"/>
  <c r="N15" i="10" s="1"/>
  <c r="J6" i="10"/>
  <c r="N14" i="10" s="1"/>
  <c r="J5" i="10"/>
  <c r="N13" i="10" s="1"/>
  <c r="J4" i="10"/>
  <c r="N12" i="10" s="1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W30" i="2"/>
  <c r="AB17" i="2"/>
  <c r="AA17" i="2"/>
  <c r="Z17" i="2"/>
  <c r="Y17" i="2"/>
  <c r="X17" i="2"/>
  <c r="W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W77" i="2"/>
  <c r="W82" i="2"/>
  <c r="W73" i="2"/>
  <c r="AB86" i="2"/>
  <c r="AA86" i="2"/>
  <c r="Z86" i="2"/>
  <c r="Y86" i="2"/>
  <c r="X86" i="2"/>
  <c r="W81" i="2"/>
  <c r="W74" i="2"/>
  <c r="AB8" i="2"/>
  <c r="AB9" i="2" s="1"/>
  <c r="AB44" i="2" s="1"/>
  <c r="AB38" i="2" s="1"/>
  <c r="AA8" i="2"/>
  <c r="AA9" i="2" s="1"/>
  <c r="AA44" i="2" s="1"/>
  <c r="Z8" i="2"/>
  <c r="Z9" i="2" s="1"/>
  <c r="Z44" i="2" s="1"/>
  <c r="Z23" i="2" s="1"/>
  <c r="Y8" i="2"/>
  <c r="Y9" i="2" s="1"/>
  <c r="Y44" i="2" s="1"/>
  <c r="Y79" i="2" s="1"/>
  <c r="X8" i="2"/>
  <c r="X9" i="2" s="1"/>
  <c r="X44" i="2" s="1"/>
  <c r="X22" i="2" s="1"/>
  <c r="W8" i="2"/>
  <c r="Q8" i="2"/>
  <c r="R8" i="2"/>
  <c r="V8" i="2"/>
  <c r="U8" i="2"/>
  <c r="T8" i="2"/>
  <c r="U71" i="2" s="1"/>
  <c r="S8" i="2"/>
  <c r="N129" i="2" l="1"/>
  <c r="M129" i="2"/>
  <c r="O85" i="2"/>
  <c r="O58" i="2"/>
  <c r="O60" i="2" s="1"/>
  <c r="N58" i="2"/>
  <c r="N60" i="2" s="1"/>
  <c r="N85" i="2"/>
  <c r="N18" i="2"/>
  <c r="O72" i="2"/>
  <c r="N84" i="2"/>
  <c r="O84" i="2"/>
  <c r="P77" i="2"/>
  <c r="W107" i="2"/>
  <c r="J44" i="7" s="1"/>
  <c r="W129" i="2"/>
  <c r="F10" i="10"/>
  <c r="T71" i="2"/>
  <c r="J16" i="10"/>
  <c r="J17" i="10"/>
  <c r="W146" i="2"/>
  <c r="W159" i="2" s="1"/>
  <c r="N17" i="10"/>
  <c r="V71" i="2"/>
  <c r="S71" i="2"/>
  <c r="J12" i="10"/>
  <c r="N16" i="10"/>
  <c r="W71" i="2"/>
  <c r="J10" i="10"/>
  <c r="N18" i="10" s="1"/>
  <c r="J13" i="10"/>
  <c r="J14" i="10"/>
  <c r="Z79" i="2"/>
  <c r="X38" i="2"/>
  <c r="X80" i="2" s="1"/>
  <c r="X39" i="2"/>
  <c r="X32" i="2" s="1"/>
  <c r="Y39" i="2"/>
  <c r="Y81" i="2" s="1"/>
  <c r="AB79" i="2"/>
  <c r="AB42" i="2"/>
  <c r="AB84" i="2" s="1"/>
  <c r="X85" i="2"/>
  <c r="X40" i="2"/>
  <c r="X82" i="2" s="1"/>
  <c r="AB20" i="2"/>
  <c r="Y85" i="2"/>
  <c r="X20" i="2"/>
  <c r="Z41" i="2"/>
  <c r="AA41" i="2"/>
  <c r="AA38" i="2"/>
  <c r="AA80" i="2" s="1"/>
  <c r="AB41" i="2"/>
  <c r="AA24" i="2"/>
  <c r="Z42" i="2"/>
  <c r="Z40" i="2"/>
  <c r="Z82" i="2" s="1"/>
  <c r="Z26" i="2"/>
  <c r="Z18" i="2" s="1"/>
  <c r="AB24" i="2"/>
  <c r="AA40" i="2"/>
  <c r="AA26" i="2"/>
  <c r="AA27" i="2" s="1"/>
  <c r="AA21" i="2"/>
  <c r="AB78" i="2"/>
  <c r="AB43" i="2"/>
  <c r="Z39" i="2"/>
  <c r="Z32" i="2" s="1"/>
  <c r="AB39" i="2"/>
  <c r="AB32" i="2" s="1"/>
  <c r="AB26" i="2"/>
  <c r="AB27" i="2" s="1"/>
  <c r="AA23" i="2"/>
  <c r="Z85" i="2"/>
  <c r="X41" i="2"/>
  <c r="X76" i="2" s="1"/>
  <c r="AA39" i="2"/>
  <c r="Z22" i="2"/>
  <c r="AB23" i="2"/>
  <c r="AB85" i="2"/>
  <c r="Z78" i="2"/>
  <c r="Y41" i="2"/>
  <c r="AA42" i="2"/>
  <c r="AA22" i="2"/>
  <c r="Y20" i="2"/>
  <c r="AB30" i="2"/>
  <c r="Y40" i="2"/>
  <c r="X23" i="2"/>
  <c r="X21" i="2"/>
  <c r="Y21" i="2"/>
  <c r="Z20" i="2"/>
  <c r="Y23" i="2"/>
  <c r="Y43" i="2"/>
  <c r="X24" i="2"/>
  <c r="AA20" i="2"/>
  <c r="AB21" i="2"/>
  <c r="X43" i="2"/>
  <c r="Z43" i="2"/>
  <c r="X42" i="2"/>
  <c r="X84" i="2" s="1"/>
  <c r="Y38" i="2"/>
  <c r="Y80" i="2" s="1"/>
  <c r="AB40" i="2"/>
  <c r="X26" i="2"/>
  <c r="X18" i="2" s="1"/>
  <c r="Y24" i="2"/>
  <c r="Z21" i="2"/>
  <c r="AB22" i="2"/>
  <c r="AA43" i="2"/>
  <c r="Y42" i="2"/>
  <c r="Y84" i="2" s="1"/>
  <c r="Z38" i="2"/>
  <c r="Y26" i="2"/>
  <c r="Y27" i="2" s="1"/>
  <c r="Y22" i="2"/>
  <c r="Z24" i="2"/>
  <c r="AB72" i="2"/>
  <c r="AA72" i="2"/>
  <c r="Z72" i="2"/>
  <c r="Y72" i="2"/>
  <c r="X72" i="2"/>
  <c r="O5" i="5"/>
  <c r="AB80" i="2"/>
  <c r="AA79" i="2"/>
  <c r="AA85" i="2"/>
  <c r="AA78" i="2"/>
  <c r="Y78" i="2"/>
  <c r="W84" i="2"/>
  <c r="W76" i="2"/>
  <c r="W83" i="2"/>
  <c r="W75" i="2"/>
  <c r="W80" i="2"/>
  <c r="X79" i="2"/>
  <c r="AB71" i="2"/>
  <c r="X71" i="2"/>
  <c r="R71" i="2"/>
  <c r="AA71" i="2"/>
  <c r="Z71" i="2"/>
  <c r="Y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J15" i="7" s="1"/>
  <c r="I11" i="7"/>
  <c r="H11" i="7"/>
  <c r="G11" i="7"/>
  <c r="F11" i="7"/>
  <c r="E11" i="7"/>
  <c r="D11" i="7"/>
  <c r="D13" i="7" s="1"/>
  <c r="H10" i="7"/>
  <c r="G10" i="7"/>
  <c r="F10" i="7"/>
  <c r="E10" i="7"/>
  <c r="D10" i="7"/>
  <c r="N86" i="2" l="1"/>
  <c r="N64" i="2"/>
  <c r="N66" i="2" s="1"/>
  <c r="O86" i="2"/>
  <c r="O64" i="2"/>
  <c r="O66" i="2" s="1"/>
  <c r="X77" i="2"/>
  <c r="J18" i="10"/>
  <c r="G13" i="7"/>
  <c r="H13" i="7"/>
  <c r="I13" i="7"/>
  <c r="E13" i="7"/>
  <c r="F13" i="7"/>
  <c r="X74" i="2"/>
  <c r="X81" i="2"/>
  <c r="Z74" i="2"/>
  <c r="X73" i="2"/>
  <c r="AB77" i="2"/>
  <c r="Y32" i="2"/>
  <c r="Y74" i="2"/>
  <c r="Z77" i="2"/>
  <c r="AA18" i="2"/>
  <c r="Z27" i="2"/>
  <c r="AA73" i="2"/>
  <c r="AB18" i="2"/>
  <c r="AB74" i="2"/>
  <c r="X30" i="2"/>
  <c r="X34" i="2"/>
  <c r="X75" i="2"/>
  <c r="AB73" i="2"/>
  <c r="Y18" i="2"/>
  <c r="AA77" i="2"/>
  <c r="X27" i="2"/>
  <c r="AA34" i="2"/>
  <c r="AA82" i="2"/>
  <c r="AB76" i="2"/>
  <c r="AB83" i="2"/>
  <c r="AB36" i="2"/>
  <c r="AA84" i="2"/>
  <c r="AA76" i="2"/>
  <c r="AA83" i="2"/>
  <c r="AA36" i="2"/>
  <c r="AB81" i="2"/>
  <c r="AA74" i="2"/>
  <c r="Z81" i="2"/>
  <c r="Y77" i="2"/>
  <c r="AA30" i="2"/>
  <c r="Z84" i="2"/>
  <c r="X36" i="2"/>
  <c r="X83" i="2"/>
  <c r="AA75" i="2"/>
  <c r="Z34" i="2"/>
  <c r="Z76" i="2"/>
  <c r="Y83" i="2"/>
  <c r="Y76" i="2"/>
  <c r="Y36" i="2"/>
  <c r="AA32" i="2"/>
  <c r="AA81" i="2"/>
  <c r="Z83" i="2"/>
  <c r="Z36" i="2"/>
  <c r="Y75" i="2"/>
  <c r="Y82" i="2"/>
  <c r="Z75" i="2"/>
  <c r="Y34" i="2"/>
  <c r="AB82" i="2"/>
  <c r="AB34" i="2"/>
  <c r="Z73" i="2"/>
  <c r="Z30" i="2"/>
  <c r="Z80" i="2"/>
  <c r="Y73" i="2"/>
  <c r="Y30" i="2"/>
  <c r="AB75" i="2"/>
  <c r="G23" i="7"/>
  <c r="D2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U36" i="2"/>
  <c r="U34" i="2"/>
  <c r="U32" i="2"/>
  <c r="S36" i="2"/>
  <c r="S34" i="2"/>
  <c r="S32" i="2"/>
  <c r="S30" i="2"/>
  <c r="P58" i="2"/>
  <c r="C37" i="7" s="1"/>
  <c r="P24" i="2"/>
  <c r="P32" i="2"/>
  <c r="P34" i="2"/>
  <c r="P30" i="2"/>
  <c r="P27" i="2"/>
  <c r="P26" i="2"/>
  <c r="Q36" i="2"/>
  <c r="Q34" i="2"/>
  <c r="Q32" i="2"/>
  <c r="Q24" i="2"/>
  <c r="R24" i="2"/>
  <c r="P66" i="2"/>
  <c r="P68" i="2" s="1"/>
  <c r="Q66" i="2"/>
  <c r="Q68" i="2" s="1"/>
  <c r="R66" i="2"/>
  <c r="R36" i="2"/>
  <c r="R34" i="2"/>
  <c r="R32" i="2"/>
  <c r="Q30" i="2"/>
  <c r="R30" i="2"/>
  <c r="S66" i="2"/>
  <c r="S68" i="2" s="1"/>
  <c r="T66" i="2"/>
  <c r="T36" i="2"/>
  <c r="T34" i="2"/>
  <c r="T32" i="2"/>
  <c r="T30" i="2"/>
  <c r="U30" i="2"/>
  <c r="S17" i="2"/>
  <c r="S18" i="2" s="1"/>
  <c r="T17" i="2"/>
  <c r="V36" i="2"/>
  <c r="V34" i="2"/>
  <c r="V32" i="2"/>
  <c r="V30" i="2"/>
  <c r="H72" i="2"/>
  <c r="G72" i="2"/>
  <c r="U17" i="2"/>
  <c r="R17" i="2"/>
  <c r="Q17" i="2"/>
  <c r="P17" i="2"/>
  <c r="P72" i="2" s="1"/>
  <c r="V17" i="2"/>
  <c r="W72" i="2" s="1"/>
  <c r="E36" i="2"/>
  <c r="E34" i="2"/>
  <c r="E32" i="2"/>
  <c r="E30" i="2"/>
  <c r="V58" i="5"/>
  <c r="O13" i="7" l="1"/>
  <c r="N13" i="7"/>
  <c r="J6" i="7"/>
  <c r="F36" i="8"/>
  <c r="V59" i="5"/>
  <c r="O46" i="7"/>
  <c r="N46" i="7"/>
  <c r="Q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R68" i="2"/>
  <c r="E28" i="7"/>
  <c r="E22" i="7"/>
  <c r="F51" i="7"/>
  <c r="F52" i="7" s="1"/>
  <c r="F53" i="7"/>
  <c r="F54" i="7"/>
  <c r="F55" i="7"/>
  <c r="G36" i="7"/>
  <c r="G38" i="7"/>
  <c r="T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P60" i="2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P18" i="2"/>
  <c r="V72" i="2"/>
  <c r="T72" i="2"/>
  <c r="U72" i="2"/>
  <c r="V18" i="2"/>
  <c r="U18" i="2"/>
  <c r="T18" i="2"/>
  <c r="S72" i="2"/>
  <c r="R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48" i="2"/>
  <c r="E156" i="2" s="1"/>
  <c r="H146" i="2"/>
  <c r="G146" i="2"/>
  <c r="F146" i="2"/>
  <c r="D146" i="2"/>
  <c r="C146" i="2"/>
  <c r="E144" i="2"/>
  <c r="E146" i="2" s="1"/>
  <c r="E141" i="2"/>
  <c r="V141" i="2"/>
  <c r="I55" i="7" s="1"/>
  <c r="H127" i="2"/>
  <c r="G127" i="2"/>
  <c r="F127" i="2"/>
  <c r="D127" i="2"/>
  <c r="C127" i="2"/>
  <c r="E127" i="2"/>
  <c r="H118" i="2"/>
  <c r="G118" i="2"/>
  <c r="F118" i="2"/>
  <c r="D118" i="2"/>
  <c r="C118" i="2"/>
  <c r="E118" i="2"/>
  <c r="H110" i="2"/>
  <c r="G110" i="2"/>
  <c r="F110" i="2"/>
  <c r="D110" i="2"/>
  <c r="C110" i="2"/>
  <c r="E110" i="2"/>
  <c r="H105" i="2"/>
  <c r="G105" i="2"/>
  <c r="F105" i="2"/>
  <c r="D105" i="2"/>
  <c r="E105" i="2"/>
  <c r="H98" i="2"/>
  <c r="G98" i="2"/>
  <c r="F98" i="2"/>
  <c r="D98" i="2"/>
  <c r="C98" i="2"/>
  <c r="C107" i="2" s="1"/>
  <c r="E98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P86" i="2" l="1"/>
  <c r="C14" i="7" s="1"/>
  <c r="C17" i="7" s="1"/>
  <c r="E129" i="2"/>
  <c r="D129" i="2"/>
  <c r="H129" i="2"/>
  <c r="C129" i="2"/>
  <c r="F129" i="2"/>
  <c r="G129" i="2"/>
  <c r="E107" i="2"/>
  <c r="D107" i="2"/>
  <c r="F107" i="2"/>
  <c r="G107" i="2"/>
  <c r="H107" i="2"/>
  <c r="J7" i="7"/>
  <c r="N7" i="7" s="1"/>
  <c r="J36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F75" i="2"/>
  <c r="D34" i="2"/>
  <c r="J38" i="5"/>
  <c r="K38" i="5"/>
  <c r="D49" i="2"/>
  <c r="E27" i="2"/>
  <c r="E26" i="2"/>
  <c r="E18" i="2" s="1"/>
  <c r="K40" i="5"/>
  <c r="K51" i="5" s="1"/>
  <c r="E159" i="2"/>
  <c r="E161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0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V160" i="2"/>
  <c r="V148" i="2"/>
  <c r="V144" i="2"/>
  <c r="V142" i="2"/>
  <c r="V127" i="2"/>
  <c r="V118" i="2"/>
  <c r="V110" i="2"/>
  <c r="V105" i="2"/>
  <c r="V98" i="2"/>
  <c r="I10" i="7" s="1"/>
  <c r="U66" i="2"/>
  <c r="V49" i="2"/>
  <c r="V44" i="2"/>
  <c r="T86" i="2"/>
  <c r="G14" i="7" s="1"/>
  <c r="S86" i="2"/>
  <c r="F14" i="7" s="1"/>
  <c r="R86" i="2"/>
  <c r="E14" i="7" s="1"/>
  <c r="Q86" i="2"/>
  <c r="D14" i="7" s="1"/>
  <c r="U86" i="2"/>
  <c r="H14" i="7" s="1"/>
  <c r="V84" i="2"/>
  <c r="V83" i="2"/>
  <c r="V82" i="2"/>
  <c r="V81" i="2"/>
  <c r="V80" i="2"/>
  <c r="T84" i="2"/>
  <c r="S84" i="2"/>
  <c r="R84" i="2"/>
  <c r="Q84" i="2"/>
  <c r="T83" i="2"/>
  <c r="S83" i="2"/>
  <c r="R83" i="2"/>
  <c r="Q83" i="2"/>
  <c r="T82" i="2"/>
  <c r="S82" i="2"/>
  <c r="R82" i="2"/>
  <c r="Q82" i="2"/>
  <c r="T81" i="2"/>
  <c r="S81" i="2"/>
  <c r="R81" i="2"/>
  <c r="Q81" i="2"/>
  <c r="T80" i="2"/>
  <c r="S80" i="2"/>
  <c r="R80" i="2"/>
  <c r="Q80" i="2"/>
  <c r="U84" i="2"/>
  <c r="U83" i="2"/>
  <c r="U82" i="2"/>
  <c r="U81" i="2"/>
  <c r="U80" i="2"/>
  <c r="V77" i="2"/>
  <c r="V76" i="2"/>
  <c r="V75" i="2"/>
  <c r="V74" i="2"/>
  <c r="V73" i="2"/>
  <c r="U77" i="2"/>
  <c r="T77" i="2"/>
  <c r="S77" i="2"/>
  <c r="R77" i="2"/>
  <c r="Q77" i="2"/>
  <c r="U76" i="2"/>
  <c r="T76" i="2"/>
  <c r="S76" i="2"/>
  <c r="R76" i="2"/>
  <c r="Q76" i="2"/>
  <c r="U75" i="2"/>
  <c r="T75" i="2"/>
  <c r="S75" i="2"/>
  <c r="R75" i="2"/>
  <c r="Q75" i="2"/>
  <c r="U74" i="2"/>
  <c r="T74" i="2"/>
  <c r="S74" i="2"/>
  <c r="R74" i="2"/>
  <c r="Q74" i="2"/>
  <c r="T73" i="2"/>
  <c r="S73" i="2"/>
  <c r="R73" i="2"/>
  <c r="Q73" i="2"/>
  <c r="U73" i="2"/>
  <c r="T49" i="2"/>
  <c r="S49" i="2"/>
  <c r="R49" i="2"/>
  <c r="Q49" i="2"/>
  <c r="P49" i="2"/>
  <c r="U49" i="2"/>
  <c r="U44" i="2"/>
  <c r="U9" i="2" s="1"/>
  <c r="U10" i="2" s="1"/>
  <c r="T44" i="2"/>
  <c r="T9" i="2" s="1"/>
  <c r="T10" i="2" s="1"/>
  <c r="S44" i="2"/>
  <c r="S9" i="2" s="1"/>
  <c r="S10" i="2" s="1"/>
  <c r="R44" i="2"/>
  <c r="R9" i="2" s="1"/>
  <c r="R10" i="2" s="1"/>
  <c r="Q44" i="2"/>
  <c r="Q9" i="2" s="1"/>
  <c r="Q10" i="2" s="1"/>
  <c r="P46" i="2"/>
  <c r="P79" i="2" s="1"/>
  <c r="V129" i="2" l="1"/>
  <c r="V107" i="2"/>
  <c r="V9" i="2"/>
  <c r="V10" i="2" s="1"/>
  <c r="E42" i="7"/>
  <c r="E21" i="7"/>
  <c r="E43" i="7"/>
  <c r="R26" i="2"/>
  <c r="R18" i="2" s="1"/>
  <c r="R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18" i="7" s="1"/>
  <c r="H25" i="7"/>
  <c r="H29" i="7"/>
  <c r="H17" i="7"/>
  <c r="H16" i="7"/>
  <c r="O10" i="7"/>
  <c r="N10" i="7"/>
  <c r="E29" i="7"/>
  <c r="E24" i="7"/>
  <c r="E18" i="7" s="1"/>
  <c r="E25" i="7"/>
  <c r="E16" i="7"/>
  <c r="E17" i="7"/>
  <c r="F29" i="7"/>
  <c r="F25" i="7"/>
  <c r="F16" i="7"/>
  <c r="F24" i="7"/>
  <c r="F18" i="7" s="1"/>
  <c r="F17" i="7"/>
  <c r="G24" i="7"/>
  <c r="G18" i="7" s="1"/>
  <c r="G29" i="7"/>
  <c r="G25" i="7"/>
  <c r="G16" i="7"/>
  <c r="G17" i="7"/>
  <c r="K25" i="5"/>
  <c r="K49" i="5" s="1"/>
  <c r="H43" i="7"/>
  <c r="H21" i="7"/>
  <c r="H42" i="7"/>
  <c r="H56" i="7"/>
  <c r="H61" i="7"/>
  <c r="L45" i="5"/>
  <c r="U68" i="2"/>
  <c r="D68" i="2" s="1"/>
  <c r="H28" i="7"/>
  <c r="H22" i="7"/>
  <c r="H51" i="7"/>
  <c r="H52" i="7" s="1"/>
  <c r="V156" i="2"/>
  <c r="D42" i="7"/>
  <c r="D21" i="7"/>
  <c r="D43" i="7"/>
  <c r="Q27" i="2"/>
  <c r="Q26" i="2"/>
  <c r="Q18" i="2" s="1"/>
  <c r="D56" i="7"/>
  <c r="D61" i="7"/>
  <c r="D25" i="7"/>
  <c r="D24" i="7"/>
  <c r="D29" i="7"/>
  <c r="D16" i="7"/>
  <c r="D17" i="7"/>
  <c r="J25" i="5"/>
  <c r="Q46" i="2"/>
  <c r="Q79" i="2" s="1"/>
  <c r="G25" i="5"/>
  <c r="I25" i="5"/>
  <c r="V46" i="2"/>
  <c r="V79" i="2" s="1"/>
  <c r="L25" i="5"/>
  <c r="H25" i="5"/>
  <c r="V146" i="2"/>
  <c r="I21" i="7"/>
  <c r="I44" i="7"/>
  <c r="R46" i="2"/>
  <c r="R79" i="2" s="1"/>
  <c r="H7" i="1"/>
  <c r="U78" i="2"/>
  <c r="V78" i="2"/>
  <c r="U85" i="2"/>
  <c r="S46" i="2"/>
  <c r="S79" i="2" s="1"/>
  <c r="T46" i="2"/>
  <c r="T79" i="2" s="1"/>
  <c r="Q85" i="2"/>
  <c r="R85" i="2"/>
  <c r="Q78" i="2"/>
  <c r="S85" i="2"/>
  <c r="R78" i="2"/>
  <c r="T85" i="2"/>
  <c r="U46" i="2"/>
  <c r="U79" i="2" s="1"/>
  <c r="S78" i="2"/>
  <c r="T78" i="2"/>
  <c r="K26" i="5" l="1"/>
  <c r="K43" i="5"/>
  <c r="V159" i="2"/>
  <c r="V161" i="2" s="1"/>
  <c r="W160" i="2" s="1"/>
  <c r="W161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V56" i="2"/>
  <c r="V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V58" i="2" l="1"/>
  <c r="V60" i="2" s="1"/>
  <c r="V64" i="2" s="1"/>
  <c r="V66" i="2" s="1"/>
  <c r="V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V68" i="2"/>
  <c r="I22" i="7"/>
  <c r="I51" i="7"/>
  <c r="I52" i="7" s="1"/>
  <c r="I28" i="7"/>
  <c r="V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38" i="7" l="1"/>
  <c r="N23" i="7"/>
  <c r="N37" i="7"/>
  <c r="I25" i="7"/>
  <c r="I24" i="7"/>
  <c r="I18" i="7" s="1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O18" i="7" l="1"/>
  <c r="N18" i="7"/>
  <c r="I32" i="7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W44" i="2"/>
  <c r="W46" i="2" l="1"/>
  <c r="W56" i="2" s="1"/>
  <c r="W85" i="2" s="1"/>
  <c r="W22" i="2"/>
  <c r="W20" i="2"/>
  <c r="J43" i="7"/>
  <c r="J42" i="7"/>
  <c r="J47" i="7" s="1"/>
  <c r="J21" i="7"/>
  <c r="J56" i="7"/>
  <c r="W26" i="2"/>
  <c r="W24" i="2"/>
  <c r="W23" i="2"/>
  <c r="J61" i="7"/>
  <c r="W78" i="2"/>
  <c r="W9" i="2"/>
  <c r="W10" i="2" s="1"/>
  <c r="W21" i="2"/>
  <c r="W18" i="2"/>
  <c r="X78" i="2"/>
  <c r="W79" i="2" l="1"/>
  <c r="W58" i="2"/>
  <c r="W27" i="2"/>
  <c r="W60" i="2" l="1"/>
  <c r="J37" i="7"/>
  <c r="J23" i="7"/>
  <c r="J38" i="7"/>
  <c r="J59" i="7"/>
  <c r="J58" i="7"/>
  <c r="W86" i="2" l="1"/>
  <c r="J14" i="7" s="1"/>
  <c r="W64" i="2"/>
  <c r="W66" i="2" s="1"/>
  <c r="J28" i="7" l="1"/>
  <c r="W68" i="2"/>
  <c r="J22" i="7"/>
  <c r="J51" i="7"/>
  <c r="J52" i="7" s="1"/>
  <c r="J25" i="7"/>
  <c r="J24" i="7"/>
  <c r="J18" i="7" s="1"/>
  <c r="J29" i="7"/>
  <c r="J16" i="7"/>
  <c r="J17" i="7"/>
  <c r="J30" i="7" l="1"/>
  <c r="J32" i="7"/>
  <c r="J3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tc={78FF4F1F-E06E-4976-91F9-4EAD7FDAAE3C}</author>
    <author>Oscar Settje</author>
  </authors>
  <commentList>
    <comment ref="O42" authorId="0" shapeId="0" xr:uid="{78FF4F1F-E06E-4976-91F9-4EAD7FDAAE3C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Sports and Lifestyle activities (Puma etc)</t>
      </text>
    </comment>
    <comment ref="P44" authorId="1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<sst xmlns="http://schemas.openxmlformats.org/spreadsheetml/2006/main" count="688" uniqueCount="535">
  <si>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</si>
  <si>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</si>
  <si>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</si>
  <si>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</si>
  <si>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</si>
  <si>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</si>
  <si>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</si>
  <si>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</si>
  <si>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</si>
  <si>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</si>
  <si>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</si>
  <si>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</si>
  <si>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</si>
  <si>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</si>
  <si>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</si>
  <si>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</si>
  <si>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</si>
  <si>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</si>
  <si>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</si>
  <si>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</si>
  <si>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</si>
  <si>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</si>
  <si>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</si>
  <si>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</si>
  <si>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</si>
  <si>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</si>
  <si>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</si>
  <si>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</si>
  <si>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</si>
  <si>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</si>
  <si>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</si>
  <si>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</si>
  <si>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</si>
  <si>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</si>
  <si>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</si>
  <si>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</si>
  <si>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</si>
  <si>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</si>
  <si>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</si>
  <si>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</si>
  <si>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</si>
  <si>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</si>
  <si>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</si>
  <si>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</si>
  <si>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</si>
  <si>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</si>
  <si>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</si>
  <si>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</si>
  <si>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</si>
  <si>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</si>
  <si>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</si>
  <si>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</si>
  <si>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</si>
  <si>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</si>
  <si>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</si>
  <si>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</si>
  <si>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</si>
  <si>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</si>
  <si>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</si>
  <si>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</si>
  <si>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</si>
  <si>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</si>
  <si>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</si>
  <si>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</si>
  <si>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</si>
  <si>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</si>
  <si>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</si>
  <si>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</si>
  <si>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</si>
  <si>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</si>
  <si>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</si>
  <si>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</si>
  <si>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</si>
  <si>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</si>
  <si>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</si>
  <si>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</si>
  <si>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</si>
  <si>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</si>
  <si>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</si>
  <si>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</si>
  <si>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</si>
  <si>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</si>
  <si>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</si>
  <si>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</si>
  <si>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</si>
  <si>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</si>
  <si>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</si>
  <si>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</si>
  <si>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</si>
  <si>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</si>
  <si>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</si>
  <si>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</si>
  <si>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</si>
  <si>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</si>
  <si>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</si>
  <si>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</si>
  <si>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</si>
  <si>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</si>
  <si>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</si>
  <si>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</si>
  <si>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</si>
  <si>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</si>
  <si>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</si>
  <si>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</si>
  <si>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</si>
  <si>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</si>
  <si>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</si>
  <si>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</si>
  <si>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</si>
  <si>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</si>
  <si>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</si>
  <si>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</si>
  <si>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</si>
  <si>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</si>
  <si>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</si>
  <si>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</si>
  <si>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</si>
  <si>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</si>
  <si>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</si>
  <si>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</si>
  <si>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</si>
  <si>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</si>
  <si>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</si>
  <si>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</si>
  <si>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</si>
  <si>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</si>
  <si>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</si>
  <si>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</si>
  <si>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</si>
  <si>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</si>
  <si>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</si>
  <si>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</si>
  <si>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</si>
  <si>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</si>
  <si>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</si>
  <si>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</si>
  <si>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</si>
  <si>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</si>
  <si>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</si>
  <si>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</si>
  <si>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</si>
  <si>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</si>
  <si>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</si>
  <si>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</si>
  <si>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</si>
  <si>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</si>
  <si>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</si>
  <si>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</si>
  <si>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</si>
  <si>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</si>
  <si>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</si>
  <si>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</si>
  <si>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</si>
  <si>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</si>
  <si>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</si>
  <si>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</si>
  <si>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</si>
  <si>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</si>
  <si>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</si>
  <si>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</si>
  <si>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</si>
  <si>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</si>
  <si>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</si>
  <si>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</si>
  <si>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</si>
  <si>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</si>
  <si>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</si>
  <si>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</si>
  <si>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</si>
  <si>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</si>
  <si>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</si>
  <si>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</si>
  <si>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</si>
  <si>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</si>
  <si>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</si>
  <si>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</si>
  <si>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</si>
  <si>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</si>
  <si>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</si>
  <si>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</si>
  <si>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</si>
  <si>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</si>
  <si>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</si>
  <si>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</si>
  <si>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</si>
  <si>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</si>
  <si>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</si>
  <si>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</si>
  <si>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</si>
  <si>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</si>
  <si>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</si>
  <si>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</si>
  <si>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</si>
  <si>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</si>
  <si>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</si>
  <si>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</si>
  <si>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</si>
  <si>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</si>
  <si>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</si>
  <si>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</si>
  <si>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</si>
  <si>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</si>
  <si>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</si>
  <si>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</si>
  <si>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</si>
  <si>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</si>
  <si>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</si>
  <si>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</si>
  <si>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</si>
  <si>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</si>
  <si>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</si>
  <si>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</si>
  <si>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</si>
  <si>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</si>
  <si>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</si>
  <si>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</si>
  <si>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</si>
  <si>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</si>
  <si>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</si>
  <si>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</si>
  <si>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</si>
  <si>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</si>
  <si>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</si>
  <si>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</si>
  <si>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</si>
  <si>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</si>
  <si>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</si>
  <si>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</si>
  <si>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</si>
  <si>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</si>
  <si>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</si>
  <si>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</si>
  <si>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</si>
  <si>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</si>
  <si>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</si>
  <si>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</si>
  <si>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</si>
  <si>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</si>
  <si>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</si>
  <si>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</si>
  <si>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</si>
  <si>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</si>
  <si>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</si>
  <si>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</si>
  <si>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</si>
  <si>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</si>
  <si>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</si>
  <si>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</si>
  <si>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</si>
  <si>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</si>
  <si>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</si>
  <si>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</si>
  <si>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</si>
  <si>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</si>
  <si>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</si>
  <si>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</si>
  <si>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</si>
  <si>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</si>
  <si>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</si>
  <si>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</si>
  <si>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</si>
  <si>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</si>
  <si>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</si>
  <si>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</si>
  <si>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</si>
  <si>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</si>
  <si>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</si>
  <si>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</si>
  <si>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</si>
  <si>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</si>
  <si>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</si>
  <si>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</si>
  <si>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</si>
  <si>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</si>
  <si>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</si>
  <si>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</si>
  <si>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</si>
  <si>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</si>
  <si>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</si>
  <si>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</si>
  <si>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</si>
  <si>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</si>
  <si>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</si>
  <si>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</si>
  <si>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</si>
  <si>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</si>
  <si>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</si>
  <si>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</si>
  <si>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</si>
  <si>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</si>
  <si>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</si>
  <si>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</si>
  <si>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</si>
  <si>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</si>
  <si>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</si>
  <si>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</si>
  <si>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</si>
  <si>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</si>
  <si>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</si>
  <si>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</si>
  <si>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</si>
  <si>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</si>
  <si>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</si>
  <si>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</si>
  <si>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</si>
  <si>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</si>
  <si>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</si>
  <si>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</si>
  <si>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</si>
  <si>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</si>
  <si>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</si>
  <si>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</si>
  <si>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</si>
  <si>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</si>
  <si>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</si>
  <si>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</si>
  <si>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</si>
  <si>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</si>
  <si>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</si>
  <si>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</si>
  <si>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</si>
  <si>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</si>
  <si>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</si>
  <si>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</si>
  <si>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</si>
  <si>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</si>
  <si>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</si>
  <si>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</si>
  <si>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</si>
  <si>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</si>
  <si>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</si>
  <si>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</si>
  <si>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</si>
  <si>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</si>
  <si>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</si>
  <si>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</si>
  <si>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</si>
  <si>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</si>
  <si>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</si>
  <si>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</si>
  <si>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</si>
  <si>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</si>
  <si>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</si>
  <si>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</si>
  <si>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</si>
  <si>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</si>
  <si>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</si>
  <si>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</si>
  <si>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</si>
  <si>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</si>
  <si>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</si>
  <si>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</si>
  <si>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</si>
  <si>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</si>
  <si>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</si>
  <si>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</si>
  <si>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</si>
  <si>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</si>
  <si>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</si>
  <si>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</si>
  <si>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</si>
  <si>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</si>
  <si>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</si>
  <si>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</si>
  <si>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</si>
  <si>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</si>
  <si>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</si>
  <si>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</si>
  <si>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</si>
  <si>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</si>
  <si>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</si>
  <si>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</si>
  <si>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</si>
  <si>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</si>
  <si>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</si>
  <si>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</si>
  <si>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</si>
  <si>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</si>
  <si>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</si>
  <si>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</si>
  <si>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</si>
  <si>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</si>
  <si>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</si>
  <si>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</si>
  <si>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</si>
  <si>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</si>
  <si>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</si>
  <si>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</si>
  <si>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</si>
  <si>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</si>
  <si>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</si>
  <si>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</si>
  <si>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</si>
  <si>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</si>
  <si>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</si>
  <si>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</si>
  <si>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</si>
  <si>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</si>
  <si>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</si>
  <si>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</si>
  <si>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</si>
  <si>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</si>
  <si>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</si>
  <si>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</si>
  <si>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</si>
  <si>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</si>
  <si>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</si>
  <si>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</si>
  <si>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</si>
  <si>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</si>
  <si>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</si>
  <si>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</si>
  <si>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</si>
  <si>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</si>
  <si>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</si>
  <si>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</si>
  <si>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</si>
  <si>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</si>
  <si>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</si>
  <si>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</si>
  <si>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</si>
  <si>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</si>
  <si>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</si>
  <si>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</si>
  <si>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</si>
  <si>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</si>
  <si>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</si>
  <si>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</si>
  <si>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</si>
  <si>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</si>
  <si>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</si>
  <si>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</si>
  <si>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</si>
  <si>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</si>
  <si>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</si>
  <si>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</si>
  <si>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</si>
  <si>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</si>
  <si>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</si>
  <si>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</si>
  <si>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</si>
  <si>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</si>
  <si>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</si>
  <si>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</si>
  <si>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</si>
  <si>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</si>
  <si>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</si>
  <si>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</si>
  <si>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</si>
  <si>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</si>
  <si>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</si>
  <si>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</si>
  <si>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</si>
  <si>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</si>
  <si>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</si>
  <si>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</si>
  <si>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</si>
  <si>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</si>
  <si>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</si>
  <si>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</si>
  <si>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</si>
  <si>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</si>
  <si>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</si>
  <si>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</si>
  <si>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</si>
  <si>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</si>
  <si>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</si>
  <si>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</si>
  <si>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</si>
  <si>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</si>
  <si>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</si>
  <si>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</si>
  <si>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</si>
  <si>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</si>
  <si>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</si>
  <si>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</si>
  <si>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</si>
  <si>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</si>
  <si>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</si>
  <si>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</si>
  <si>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</si>
  <si>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</si>
  <si>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</si>
  <si>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</si>
  <si>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</si>
  <si>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</si>
  <si>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</si>
  <si>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</si>
  <si>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</si>
  <si>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</si>
  <si>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</si>
  <si>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</si>
  <si>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</si>
  <si>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</si>
  <si>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</si>
  <si>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</si>
  <si>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</si>
  <si>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</si>
  <si>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</si>
  <si>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</si>
  <si>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</si>
  <si>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</si>
  <si>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</si>
  <si>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</si>
  <si>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</si>
  <si>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</si>
  <si>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</si>
  <si>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</si>
  <si>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</si>
  <si>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</si>
  <si>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</si>
  <si>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</si>
  <si>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</si>
  <si>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</si>
  <si>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</si>
  <si>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</si>
  <si>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</si>
  <si>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</si>
  <si>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</si>
  <si>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</si>
  <si>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</si>
  <si>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</si>
  <si>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</si>
  <si>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</si>
  <si>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</si>
  <si>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</si>
  <si>
    <t>16-06-25: Kering appoints new CEO Luca de Meo -&gt; biggest rise in stock since 2008, Francouis-Henri Pinault remains chairman of the board</t>
  </si>
  <si>
    <t>CEO: Luca de Meo</t>
  </si>
  <si>
    <t>was former CEO of Renault -&gt; a lot of experience in the automotive industry (Fiat, Volkswagen etc.)</t>
  </si>
  <si>
    <t>FY16</t>
  </si>
  <si>
    <t>FY15</t>
  </si>
  <si>
    <t>FY14</t>
  </si>
  <si>
    <t>FY13</t>
  </si>
  <si>
    <t>FY12</t>
  </si>
  <si>
    <t>FY11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</si>
</sst>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5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  <xf numFmtId="0" fontId="0" fillId="0" borderId="0" xfId="0" applyAlignment="1"/>
    <xf numFmtId="0" fontId="0" fillId="0" borderId="0" xfId="0" applyFont="1" applyAlignment="1">
      <alignment horizontal="left"/>
    </xf>
    <xf numFmtId="9" fontId="1" fillId="0" borderId="0" xfId="1" applyFont="1"/>
    <xf numFmtId="165" fontId="0" fillId="0" borderId="0" xfId="0" applyNumberFormat="1" applyFont="1"/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223837</xdr:colOff>
      <xdr:row>5</xdr:row>
      <xdr:rowOff>166688</xdr:rowOff>
    </xdr:from>
    <xdr:to>
      <xdr:col>17</xdr:col>
      <xdr:colOff>503313</xdr:colOff>
      <xdr:row>15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162" y="11191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7937</xdr:colOff>
      <xdr:row>0</xdr:row>
      <xdr:rowOff>0</xdr:rowOff>
    </xdr:from>
    <xdr:to>
      <xdr:col>23</xdr:col>
      <xdr:colOff>14287</xdr:colOff>
      <xdr:row>162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162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scar Settje" id="{ABA52468-0383-464D-BC04-700532FCBC75}" userId="7ff36870b973954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42" dT="2025-07-25T12:53:42.48" personId="{ABA52468-0383-464D-BC04-700532FCBC75}" id="{78FF4F1F-E06E-4976-91F9-4EAD7FDAAE3C}">
    <text>Sports and Lifestyle activities (Puma etc)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6"/>
  <sheetViews>
    <sheetView topLeftCell="B1" zoomScale="200" zoomScaleNormal="200" workbookViewId="0">
      <selection activeCell="G15" sqref="G15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174</v>
      </c>
    </row>
    <row r="3" spans="1:14" x14ac:dyDescent="0.25">
      <c r="G3" t="s">
        <v>4</v>
      </c>
      <c r="H3" s="13">
        <v>122.617597</v>
      </c>
      <c r="I3" s="16" t="s">
        <v>518</v>
      </c>
      <c r="M3" s="2"/>
    </row>
    <row r="4" spans="1:14" x14ac:dyDescent="0.25">
      <c r="B4" t="s">
        <v>112</v>
      </c>
      <c r="G4" t="s">
        <v>5</v>
      </c>
      <c r="H4" s="23">
        <f>H3*H2</f>
        <v>21335.461878000002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518</v>
      </c>
      <c r="N5" s="23"/>
    </row>
    <row r="6" spans="1:14" x14ac:dyDescent="0.25">
      <c r="G6" t="s">
        <v>7</v>
      </c>
      <c r="H6" s="23">
        <f>3479+10556</f>
        <v>14035</v>
      </c>
      <c r="I6" s="16" t="s">
        <v>518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31852.461878000002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497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511</v>
      </c>
    </row>
    <row r="14" spans="1:14" x14ac:dyDescent="0.25">
      <c r="B14" s="3" t="s">
        <v>18</v>
      </c>
      <c r="D14" t="s">
        <v>26</v>
      </c>
      <c r="E14" s="4"/>
      <c r="G14" t="s">
        <v>527</v>
      </c>
    </row>
    <row r="15" spans="1:14" x14ac:dyDescent="0.25">
      <c r="B15" s="3" t="s">
        <v>19</v>
      </c>
      <c r="D15" t="s">
        <v>26</v>
      </c>
      <c r="E15" s="4"/>
      <c r="G15" t="s">
        <v>392</v>
      </c>
    </row>
    <row r="16" spans="1:14" x14ac:dyDescent="0.25">
      <c r="B16" s="3" t="s">
        <v>20</v>
      </c>
      <c r="D16" t="s">
        <v>27</v>
      </c>
      <c r="E16" s="4"/>
      <c r="G16" t="s">
        <v>496</v>
      </c>
    </row>
    <row r="17" spans="2:12" x14ac:dyDescent="0.25">
      <c r="B17" s="3" t="s">
        <v>21</v>
      </c>
      <c r="D17" t="s">
        <v>28</v>
      </c>
      <c r="E17" s="4"/>
      <c r="G17" t="s">
        <v>495</v>
      </c>
      <c r="L17" s="2" t="s">
        <v>517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469</v>
      </c>
      <c r="H19">
        <v>1.07</v>
      </c>
    </row>
    <row r="31" spans="2:12" x14ac:dyDescent="0.25">
      <c r="J31" s="2" t="s">
        <v>499</v>
      </c>
    </row>
    <row r="32" spans="2:12" x14ac:dyDescent="0.25">
      <c r="J32" t="s">
        <v>500</v>
      </c>
    </row>
    <row r="33" spans="2:11" x14ac:dyDescent="0.25">
      <c r="J33" t="s">
        <v>503</v>
      </c>
    </row>
    <row r="34" spans="2:11" x14ac:dyDescent="0.25">
      <c r="J34" t="s">
        <v>504</v>
      </c>
    </row>
    <row r="35" spans="2:11" x14ac:dyDescent="0.25">
      <c r="J35" t="s">
        <v>501</v>
      </c>
    </row>
    <row r="36" spans="2:11" x14ac:dyDescent="0.25">
      <c r="B36" t="s">
        <v>115</v>
      </c>
      <c r="C36" s="22">
        <v>0.78</v>
      </c>
      <c r="J36" t="s">
        <v>502</v>
      </c>
    </row>
    <row r="37" spans="2:11" x14ac:dyDescent="0.25">
      <c r="B37" t="s">
        <v>116</v>
      </c>
      <c r="C37" s="22">
        <v>0.22</v>
      </c>
      <c r="J37" t="s">
        <v>505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498</v>
      </c>
    </row>
    <row r="43" spans="2:11" x14ac:dyDescent="0.25">
      <c r="B43" t="s">
        <v>388</v>
      </c>
    </row>
    <row r="44" spans="2:11" x14ac:dyDescent="0.25">
      <c r="B44" t="s">
        <v>507</v>
      </c>
    </row>
    <row r="45" spans="2:11" x14ac:dyDescent="0.25">
      <c r="B45" t="s">
        <v>481</v>
      </c>
    </row>
    <row r="46" spans="2:11" x14ac:dyDescent="0.25">
      <c r="B46" t="s">
        <v>482</v>
      </c>
    </row>
    <row r="47" spans="2:11" x14ac:dyDescent="0.25">
      <c r="B47" t="s">
        <v>512</v>
      </c>
    </row>
    <row r="48" spans="2:11" x14ac:dyDescent="0.25">
      <c r="B48" t="s">
        <v>490</v>
      </c>
    </row>
    <row r="49" spans="2:2" x14ac:dyDescent="0.25">
      <c r="B49" t="s">
        <v>491</v>
      </c>
    </row>
    <row r="50" spans="2:2" x14ac:dyDescent="0.25">
      <c r="B50" t="s">
        <v>492</v>
      </c>
    </row>
    <row r="51" spans="2:2" x14ac:dyDescent="0.25">
      <c r="B51" t="s">
        <v>506</v>
      </c>
    </row>
    <row r="52" spans="2:2" x14ac:dyDescent="0.25">
      <c r="B52" t="s">
        <v>513</v>
      </c>
    </row>
    <row r="53" spans="2:2" x14ac:dyDescent="0.25">
      <c r="B53" t="s">
        <v>516</v>
      </c>
    </row>
    <row r="54" spans="2:2" x14ac:dyDescent="0.25">
      <c r="B54" t="s">
        <v>524</v>
      </c>
    </row>
    <row r="55" spans="2:2" x14ac:dyDescent="0.25">
      <c r="B55" t="s">
        <v>525</v>
      </c>
    </row>
    <row r="56" spans="2:2" x14ac:dyDescent="0.25">
      <c r="B56" t="s">
        <v>526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5"/>
  <sheetViews>
    <sheetView showGridLines="0" zoomScale="200" zoomScaleNormal="200" workbookViewId="0">
      <selection activeCell="A4" sqref="A4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2" spans="1:10" x14ac:dyDescent="0.25">
      <c r="A2" s="11"/>
      <c r="B2" s="1" t="s">
        <v>0</v>
      </c>
    </row>
    <row r="3" spans="1:10" x14ac:dyDescent="0.25">
      <c r="A3" s="11"/>
      <c r="B3" t="s">
        <v>527</v>
      </c>
      <c r="D3" t="s">
        <v>528</v>
      </c>
    </row>
    <row r="4" spans="1:10" x14ac:dyDescent="0.25">
      <c r="A4" s="11"/>
    </row>
    <row r="5" spans="1:10" x14ac:dyDescent="0.25">
      <c r="A5" s="11"/>
    </row>
    <row r="7" spans="1:10" x14ac:dyDescent="0.25">
      <c r="B7" s="1" t="s">
        <v>318</v>
      </c>
    </row>
    <row r="8" spans="1:10" x14ac:dyDescent="0.25">
      <c r="B8" t="s">
        <v>398</v>
      </c>
      <c r="I8" s="2" t="s">
        <v>372</v>
      </c>
      <c r="J8" t="s">
        <v>408</v>
      </c>
    </row>
    <row r="9" spans="1:10" x14ac:dyDescent="0.25">
      <c r="B9" t="s">
        <v>437</v>
      </c>
      <c r="J9" t="s">
        <v>409</v>
      </c>
    </row>
    <row r="10" spans="1:10" x14ac:dyDescent="0.25">
      <c r="B10" t="s">
        <v>514</v>
      </c>
      <c r="J10" t="s">
        <v>410</v>
      </c>
    </row>
    <row r="11" spans="1:10" x14ac:dyDescent="0.25">
      <c r="B11" t="s">
        <v>368</v>
      </c>
      <c r="J11" t="s">
        <v>411</v>
      </c>
    </row>
    <row r="12" spans="1:10" x14ac:dyDescent="0.25">
      <c r="B12" t="s">
        <v>369</v>
      </c>
      <c r="J12" t="s">
        <v>412</v>
      </c>
    </row>
    <row r="14" spans="1:10" x14ac:dyDescent="0.25">
      <c r="B14" s="2" t="s">
        <v>403</v>
      </c>
    </row>
    <row r="15" spans="1:10" x14ac:dyDescent="0.25">
      <c r="B15" t="s">
        <v>515</v>
      </c>
    </row>
    <row r="16" spans="1:10" x14ac:dyDescent="0.25">
      <c r="B16" s="84"/>
    </row>
    <row r="17" spans="2:10" x14ac:dyDescent="0.25">
      <c r="B17" t="s">
        <v>400</v>
      </c>
    </row>
    <row r="18" spans="2:10" x14ac:dyDescent="0.25">
      <c r="B18" t="s">
        <v>401</v>
      </c>
    </row>
    <row r="20" spans="2:10" x14ac:dyDescent="0.25">
      <c r="B20" t="s">
        <v>399</v>
      </c>
    </row>
    <row r="21" spans="2:10" x14ac:dyDescent="0.25">
      <c r="B21" t="s">
        <v>402</v>
      </c>
    </row>
    <row r="22" spans="2:10" x14ac:dyDescent="0.25">
      <c r="B22" t="s">
        <v>404</v>
      </c>
    </row>
    <row r="24" spans="2:10" x14ac:dyDescent="0.25">
      <c r="B24" t="s">
        <v>405</v>
      </c>
      <c r="D24" t="s">
        <v>406</v>
      </c>
    </row>
    <row r="25" spans="2:10" x14ac:dyDescent="0.25">
      <c r="B25" t="s">
        <v>407</v>
      </c>
    </row>
    <row r="27" spans="2:10" x14ac:dyDescent="0.25">
      <c r="B27" s="1" t="s">
        <v>326</v>
      </c>
    </row>
    <row r="28" spans="2:10" x14ac:dyDescent="0.25">
      <c r="B28" t="s">
        <v>508</v>
      </c>
      <c r="I28" s="2" t="s">
        <v>372</v>
      </c>
      <c r="J28" t="s">
        <v>413</v>
      </c>
    </row>
    <row r="29" spans="2:10" x14ac:dyDescent="0.25">
      <c r="B29" t="s">
        <v>396</v>
      </c>
      <c r="J29" t="s">
        <v>414</v>
      </c>
    </row>
    <row r="30" spans="2:10" x14ac:dyDescent="0.25">
      <c r="B30" t="s">
        <v>373</v>
      </c>
      <c r="J30" t="s">
        <v>415</v>
      </c>
    </row>
    <row r="31" spans="2:10" x14ac:dyDescent="0.25">
      <c r="B31" t="s">
        <v>374</v>
      </c>
      <c r="J31" t="s">
        <v>416</v>
      </c>
    </row>
    <row r="34" spans="2:10" x14ac:dyDescent="0.25">
      <c r="B34" s="1" t="s">
        <v>378</v>
      </c>
      <c r="I34" s="2" t="s">
        <v>372</v>
      </c>
      <c r="J34" t="s">
        <v>417</v>
      </c>
    </row>
    <row r="35" spans="2:10" x14ac:dyDescent="0.25">
      <c r="B35" t="s">
        <v>397</v>
      </c>
      <c r="J35" t="s">
        <v>418</v>
      </c>
    </row>
    <row r="36" spans="2:10" x14ac:dyDescent="0.25">
      <c r="B36" t="s">
        <v>510</v>
      </c>
      <c r="J36" t="s">
        <v>419</v>
      </c>
    </row>
    <row r="37" spans="2:10" x14ac:dyDescent="0.25">
      <c r="B37" t="s">
        <v>379</v>
      </c>
      <c r="J37" t="s">
        <v>420</v>
      </c>
    </row>
    <row r="38" spans="2:10" x14ac:dyDescent="0.25">
      <c r="B38" t="s">
        <v>380</v>
      </c>
    </row>
    <row r="41" spans="2:10" x14ac:dyDescent="0.25">
      <c r="B41" s="1" t="s">
        <v>381</v>
      </c>
      <c r="I41" s="2" t="s">
        <v>372</v>
      </c>
      <c r="J41" t="s">
        <v>421</v>
      </c>
    </row>
    <row r="42" spans="2:10" x14ac:dyDescent="0.25">
      <c r="B42" t="s">
        <v>382</v>
      </c>
      <c r="J42" t="s">
        <v>422</v>
      </c>
    </row>
    <row r="43" spans="2:10" x14ac:dyDescent="0.25">
      <c r="B43" t="s">
        <v>383</v>
      </c>
      <c r="J43" t="s">
        <v>423</v>
      </c>
    </row>
    <row r="44" spans="2:10" x14ac:dyDescent="0.25">
      <c r="J44" t="s">
        <v>424</v>
      </c>
    </row>
    <row r="45" spans="2:10" x14ac:dyDescent="0.25">
      <c r="B45" s="2" t="s">
        <v>429</v>
      </c>
      <c r="E45" s="2"/>
      <c r="J45" t="s">
        <v>425</v>
      </c>
    </row>
    <row r="46" spans="2:10" x14ac:dyDescent="0.25">
      <c r="B46" t="s">
        <v>509</v>
      </c>
      <c r="I46" s="2" t="s">
        <v>372</v>
      </c>
    </row>
    <row r="47" spans="2:10" x14ac:dyDescent="0.25">
      <c r="B47" t="s">
        <v>522</v>
      </c>
      <c r="D47" s="11" t="s">
        <v>523</v>
      </c>
      <c r="I47" t="s">
        <v>435</v>
      </c>
    </row>
    <row r="49" spans="2:7" x14ac:dyDescent="0.25">
      <c r="B49" s="2" t="s">
        <v>430</v>
      </c>
      <c r="E49" s="2"/>
      <c r="G49" s="2" t="s">
        <v>372</v>
      </c>
    </row>
    <row r="50" spans="2:7" x14ac:dyDescent="0.25">
      <c r="B50" t="s">
        <v>439</v>
      </c>
      <c r="G50" t="s">
        <v>435</v>
      </c>
    </row>
    <row r="51" spans="2:7" x14ac:dyDescent="0.25">
      <c r="B51" t="s">
        <v>438</v>
      </c>
    </row>
    <row r="53" spans="2:7" x14ac:dyDescent="0.25">
      <c r="B53" s="2" t="s">
        <v>19</v>
      </c>
      <c r="E53" s="2"/>
      <c r="G53" s="2" t="s">
        <v>372</v>
      </c>
    </row>
    <row r="54" spans="2:7" x14ac:dyDescent="0.25">
      <c r="B54" t="s">
        <v>440</v>
      </c>
      <c r="G54" t="s">
        <v>436</v>
      </c>
    </row>
    <row r="55" spans="2:7" x14ac:dyDescent="0.25">
      <c r="B55" t="s">
        <v>441</v>
      </c>
    </row>
    <row r="57" spans="2:7" x14ac:dyDescent="0.25">
      <c r="B57" s="2" t="s">
        <v>431</v>
      </c>
      <c r="E57" s="2"/>
      <c r="G57" s="2" t="s">
        <v>372</v>
      </c>
    </row>
    <row r="58" spans="2:7" x14ac:dyDescent="0.25">
      <c r="B58" t="s">
        <v>442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21</v>
      </c>
      <c r="E61" s="2"/>
      <c r="G61" s="2" t="s">
        <v>372</v>
      </c>
    </row>
    <row r="62" spans="2:7" x14ac:dyDescent="0.25">
      <c r="B62" t="s">
        <v>443</v>
      </c>
      <c r="G62" t="s">
        <v>28</v>
      </c>
    </row>
    <row r="63" spans="2:7" x14ac:dyDescent="0.25">
      <c r="B63" t="s">
        <v>446</v>
      </c>
    </row>
    <row r="65" spans="2:10" x14ac:dyDescent="0.25">
      <c r="B65" s="2" t="s">
        <v>432</v>
      </c>
      <c r="E65" s="2"/>
      <c r="G65" s="2" t="s">
        <v>372</v>
      </c>
    </row>
    <row r="66" spans="2:10" x14ac:dyDescent="0.25">
      <c r="B66" t="s">
        <v>443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433</v>
      </c>
      <c r="E69" s="2"/>
      <c r="G69" s="2" t="s">
        <v>372</v>
      </c>
    </row>
    <row r="70" spans="2:10" x14ac:dyDescent="0.25">
      <c r="B70" t="s">
        <v>444</v>
      </c>
      <c r="G70" t="s">
        <v>28</v>
      </c>
    </row>
    <row r="71" spans="2:10" x14ac:dyDescent="0.25">
      <c r="B71" t="s">
        <v>445</v>
      </c>
    </row>
    <row r="73" spans="2:10" x14ac:dyDescent="0.25">
      <c r="B73" s="2" t="s">
        <v>448</v>
      </c>
      <c r="E73" s="2"/>
      <c r="G73" s="2" t="s">
        <v>372</v>
      </c>
    </row>
    <row r="74" spans="2:10" x14ac:dyDescent="0.25">
      <c r="B74" t="s">
        <v>449</v>
      </c>
      <c r="G74" t="s">
        <v>450</v>
      </c>
    </row>
    <row r="76" spans="2:10" x14ac:dyDescent="0.25">
      <c r="B76" s="2" t="s">
        <v>434</v>
      </c>
      <c r="E76" s="2"/>
      <c r="G76" s="2" t="s">
        <v>372</v>
      </c>
    </row>
    <row r="77" spans="2:10" x14ac:dyDescent="0.25">
      <c r="B77" t="s">
        <v>451</v>
      </c>
      <c r="G77" t="s">
        <v>452</v>
      </c>
    </row>
    <row r="79" spans="2:10" x14ac:dyDescent="0.25">
      <c r="B79" s="1" t="s">
        <v>387</v>
      </c>
      <c r="J79" t="s">
        <v>426</v>
      </c>
    </row>
    <row r="80" spans="2:10" x14ac:dyDescent="0.25">
      <c r="B80" t="s">
        <v>428</v>
      </c>
      <c r="J80" t="s">
        <v>427</v>
      </c>
    </row>
    <row r="81" spans="2:2" x14ac:dyDescent="0.25">
      <c r="B81" t="s">
        <v>382</v>
      </c>
    </row>
    <row r="82" spans="2:2" x14ac:dyDescent="0.25">
      <c r="B82" t="s">
        <v>383</v>
      </c>
    </row>
    <row r="85" spans="2:2" x14ac:dyDescent="0.25">
      <c r="B85" t="s">
        <v>489</v>
      </c>
    </row>
  </sheetData>
  <hyperlinks>
    <hyperlink ref="A1" location="Main!A1" display="Main" xr:uid="{2E095623-426A-4877-A454-314422E3B28F}"/>
    <hyperlink ref="D47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43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453</v>
      </c>
    </row>
    <row r="51" spans="2:2" x14ac:dyDescent="0.25">
      <c r="B51" t="s">
        <v>466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N181"/>
  <sheetViews>
    <sheetView tabSelected="1" zoomScale="200" zoomScaleNormal="200" workbookViewId="0">
      <pane xSplit="2" ySplit="2" topLeftCell="N4" activePane="bottomRight" state="frozen"/>
      <selection pane="topRight" activeCell="C1" sqref="C1"/>
      <selection pane="bottomLeft" activeCell="A3" sqref="A3"/>
      <selection pane="bottomRight" activeCell="N25" sqref="N25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30" x14ac:dyDescent="0.25">
      <c r="A1" s="11" t="s">
        <v>29</v>
      </c>
    </row>
    <row r="2" spans="1:30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534</v>
      </c>
      <c r="K2" s="16" t="s">
        <v>533</v>
      </c>
      <c r="L2" s="16" t="s">
        <v>532</v>
      </c>
      <c r="M2" s="16" t="s">
        <v>531</v>
      </c>
      <c r="N2" s="16" t="s">
        <v>530</v>
      </c>
      <c r="O2" s="16" t="s">
        <v>529</v>
      </c>
      <c r="P2" s="16" t="s">
        <v>35</v>
      </c>
      <c r="Q2" s="16" t="s">
        <v>36</v>
      </c>
      <c r="R2" s="16" t="s">
        <v>37</v>
      </c>
      <c r="S2" s="16" t="s">
        <v>38</v>
      </c>
      <c r="T2" s="16" t="s">
        <v>39</v>
      </c>
      <c r="U2" s="16" t="s">
        <v>40</v>
      </c>
      <c r="V2" s="16" t="s">
        <v>41</v>
      </c>
      <c r="W2" s="16" t="s">
        <v>42</v>
      </c>
      <c r="X2" s="16" t="s">
        <v>454</v>
      </c>
      <c r="Y2" s="16" t="s">
        <v>455</v>
      </c>
      <c r="Z2" s="16" t="s">
        <v>456</v>
      </c>
      <c r="AA2" s="16" t="s">
        <v>457</v>
      </c>
      <c r="AB2" s="16" t="s">
        <v>458</v>
      </c>
      <c r="AC2" s="16" t="s">
        <v>459</v>
      </c>
    </row>
    <row r="3" spans="1:30" x14ac:dyDescent="0.25">
      <c r="B3" t="s">
        <v>460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>
        <v>26740</v>
      </c>
      <c r="R3" s="23">
        <v>27550</v>
      </c>
      <c r="S3" s="23">
        <v>21940</v>
      </c>
      <c r="T3" s="23">
        <v>24870</v>
      </c>
      <c r="U3" s="23">
        <v>26470</v>
      </c>
      <c r="V3" s="23">
        <v>29180</v>
      </c>
      <c r="W3" s="23">
        <v>29830</v>
      </c>
      <c r="X3" s="23">
        <v>30520</v>
      </c>
      <c r="Y3" s="23">
        <v>31190</v>
      </c>
      <c r="Z3" s="23">
        <v>31870</v>
      </c>
      <c r="AA3" s="23">
        <v>32530</v>
      </c>
      <c r="AB3" s="23">
        <v>33190</v>
      </c>
      <c r="AC3" s="23"/>
      <c r="AD3" s="23"/>
    </row>
    <row r="4" spans="1:30" x14ac:dyDescent="0.25">
      <c r="B4" t="s">
        <v>461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>
        <v>117900</v>
      </c>
      <c r="R4" s="23">
        <v>124700</v>
      </c>
      <c r="S4" s="23">
        <v>110900</v>
      </c>
      <c r="T4" s="23">
        <v>120000</v>
      </c>
      <c r="U4" s="23">
        <v>125500</v>
      </c>
      <c r="V4" s="23">
        <v>142100</v>
      </c>
      <c r="W4" s="23">
        <v>145400</v>
      </c>
      <c r="X4" s="23">
        <v>150400</v>
      </c>
      <c r="Y4" s="23">
        <v>155300</v>
      </c>
      <c r="Z4" s="23">
        <v>160200</v>
      </c>
      <c r="AA4" s="23">
        <v>165000</v>
      </c>
      <c r="AB4" s="23">
        <v>169800</v>
      </c>
      <c r="AC4" s="23"/>
      <c r="AD4" s="23"/>
    </row>
    <row r="5" spans="1:30" x14ac:dyDescent="0.25">
      <c r="B5" t="s">
        <v>462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>
        <v>50860</v>
      </c>
      <c r="R5" s="23">
        <v>55900</v>
      </c>
      <c r="S5" s="23">
        <v>46490</v>
      </c>
      <c r="T5" s="23">
        <v>55990</v>
      </c>
      <c r="U5" s="23">
        <v>59620</v>
      </c>
      <c r="V5" s="23">
        <v>69130</v>
      </c>
      <c r="W5" s="23">
        <v>72350</v>
      </c>
      <c r="X5" s="23">
        <v>76130</v>
      </c>
      <c r="Y5" s="23">
        <v>79840</v>
      </c>
      <c r="Z5" s="23">
        <v>83520</v>
      </c>
      <c r="AA5" s="23">
        <v>87170</v>
      </c>
      <c r="AB5" s="23">
        <v>90780</v>
      </c>
      <c r="AC5" s="23"/>
      <c r="AD5" s="23"/>
    </row>
    <row r="6" spans="1:30" x14ac:dyDescent="0.25">
      <c r="B6" t="s">
        <v>463</v>
      </c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>
        <v>122000</v>
      </c>
      <c r="R6" s="23">
        <v>129300</v>
      </c>
      <c r="S6" s="23">
        <v>106800</v>
      </c>
      <c r="T6" s="23">
        <v>122300</v>
      </c>
      <c r="U6" s="23">
        <v>129900</v>
      </c>
      <c r="V6" s="23">
        <v>150600</v>
      </c>
      <c r="W6" s="23">
        <v>157600</v>
      </c>
      <c r="X6" s="23">
        <v>166400</v>
      </c>
      <c r="Y6" s="23">
        <v>175200</v>
      </c>
      <c r="Z6" s="23">
        <v>183900</v>
      </c>
      <c r="AA6" s="23">
        <v>192400</v>
      </c>
      <c r="AB6" s="23">
        <v>200900</v>
      </c>
      <c r="AC6" s="23"/>
      <c r="AD6" s="23"/>
    </row>
    <row r="7" spans="1:30" x14ac:dyDescent="0.25">
      <c r="B7" t="s">
        <v>464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>
        <v>58240</v>
      </c>
      <c r="R7" s="23">
        <v>62100</v>
      </c>
      <c r="S7" s="23">
        <v>52010</v>
      </c>
      <c r="T7" s="23">
        <v>59010</v>
      </c>
      <c r="U7" s="23">
        <v>64430</v>
      </c>
      <c r="V7" s="23">
        <v>63300</v>
      </c>
      <c r="W7" s="23">
        <v>68750</v>
      </c>
      <c r="X7" s="23">
        <v>71700</v>
      </c>
      <c r="Y7" s="23">
        <v>74590</v>
      </c>
      <c r="Z7" s="23">
        <v>77450</v>
      </c>
      <c r="AA7" s="23">
        <v>80280</v>
      </c>
      <c r="AB7" s="23">
        <v>83080</v>
      </c>
      <c r="AC7" s="23"/>
      <c r="AD7" s="23"/>
    </row>
    <row r="8" spans="1:30" x14ac:dyDescent="0.25">
      <c r="B8" t="s">
        <v>465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249000</v>
      </c>
      <c r="P8" s="23"/>
      <c r="Q8" s="23">
        <f>+SUM(Q3:Q7)</f>
        <v>375740</v>
      </c>
      <c r="R8" s="23">
        <f t="shared" ref="R8" si="0">+SUM(R3:R7)</f>
        <v>399550</v>
      </c>
      <c r="S8" s="23">
        <f t="shared" ref="S8:V8" si="1">+SUM(S3:S7)</f>
        <v>338140</v>
      </c>
      <c r="T8" s="23">
        <f t="shared" si="1"/>
        <v>382170</v>
      </c>
      <c r="U8" s="23">
        <f t="shared" si="1"/>
        <v>405920</v>
      </c>
      <c r="V8" s="23">
        <f t="shared" si="1"/>
        <v>454310</v>
      </c>
      <c r="W8" s="23">
        <f t="shared" ref="W8" si="2">+SUM(W3:W7)</f>
        <v>473930</v>
      </c>
      <c r="X8" s="23">
        <f t="shared" ref="X8" si="3">+SUM(X3:X7)</f>
        <v>495150</v>
      </c>
      <c r="Y8" s="23">
        <f t="shared" ref="Y8" si="4">+SUM(Y3:Y7)</f>
        <v>516120</v>
      </c>
      <c r="Z8" s="23">
        <f t="shared" ref="Z8" si="5">+SUM(Z3:Z7)</f>
        <v>536940</v>
      </c>
      <c r="AA8" s="23">
        <f t="shared" ref="AA8" si="6">+SUM(AA3:AA7)</f>
        <v>557380</v>
      </c>
      <c r="AB8" s="23">
        <f t="shared" ref="AB8" si="7">+SUM(AB3:AB7)</f>
        <v>577750</v>
      </c>
      <c r="AC8" s="23"/>
      <c r="AD8" s="23"/>
    </row>
    <row r="9" spans="1:30" x14ac:dyDescent="0.25">
      <c r="B9" t="s">
        <v>467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>
        <f>+Q44*Main!$H$19</f>
        <v>14621.764000000001</v>
      </c>
      <c r="R9" s="23">
        <f>+R44*Main!$H$19</f>
        <v>16995.345000000001</v>
      </c>
      <c r="S9" s="23">
        <f>+S44*Main!$H$19</f>
        <v>14017.214</v>
      </c>
      <c r="T9" s="23">
        <f>+T44*Main!$H$19</f>
        <v>18880.150000000001</v>
      </c>
      <c r="U9" s="23">
        <f>+U44*Main!$H$19</f>
        <v>21775.57</v>
      </c>
      <c r="V9" s="23">
        <f>+V44*Main!$H$19</f>
        <v>20935.620000000003</v>
      </c>
      <c r="W9" s="23">
        <f>+W44*Main!$H$19</f>
        <v>18397.580000000002</v>
      </c>
      <c r="X9" s="23">
        <f>+X8*X10</f>
        <v>22281.75</v>
      </c>
      <c r="Y9" s="23">
        <f t="shared" ref="Y9:AB9" si="8">+Y8*Y10</f>
        <v>24257.64</v>
      </c>
      <c r="Z9" s="23">
        <f t="shared" si="8"/>
        <v>26847</v>
      </c>
      <c r="AA9" s="23">
        <f t="shared" si="8"/>
        <v>28983.759999999998</v>
      </c>
      <c r="AB9" s="23">
        <f t="shared" si="8"/>
        <v>31776.25</v>
      </c>
      <c r="AC9" s="23"/>
      <c r="AD9" s="23"/>
    </row>
    <row r="10" spans="1:30" x14ac:dyDescent="0.25">
      <c r="B10" t="s">
        <v>468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111">
        <f>+Q9/Q8</f>
        <v>3.8914579230318838E-2</v>
      </c>
      <c r="R10" s="111">
        <f t="shared" ref="R10:W10" si="9">+R9/R8</f>
        <v>4.2536215742710555E-2</v>
      </c>
      <c r="S10" s="111">
        <f t="shared" si="9"/>
        <v>4.1453877092328624E-2</v>
      </c>
      <c r="T10" s="111">
        <f t="shared" si="9"/>
        <v>4.9402491038019733E-2</v>
      </c>
      <c r="U10" s="111">
        <f t="shared" si="9"/>
        <v>5.3644979306267243E-2</v>
      </c>
      <c r="V10" s="111">
        <f t="shared" si="9"/>
        <v>4.6082234597521525E-2</v>
      </c>
      <c r="W10" s="111">
        <f t="shared" si="9"/>
        <v>3.8819192707783855E-2</v>
      </c>
      <c r="X10" s="111">
        <v>4.4999999999999998E-2</v>
      </c>
      <c r="Y10" s="111">
        <v>4.7E-2</v>
      </c>
      <c r="Z10" s="111">
        <v>0.05</v>
      </c>
      <c r="AA10" s="111">
        <v>5.1999999999999998E-2</v>
      </c>
      <c r="AB10" s="111">
        <v>5.5E-2</v>
      </c>
      <c r="AC10" s="23"/>
      <c r="AD10" s="23"/>
    </row>
    <row r="11" spans="1:30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13"/>
      <c r="R11" s="113"/>
      <c r="S11" s="113"/>
      <c r="T11" s="113"/>
      <c r="U11" s="113"/>
      <c r="V11" s="113"/>
      <c r="W11" s="16"/>
    </row>
    <row r="12" spans="1:30" x14ac:dyDescent="0.25">
      <c r="B12" t="s">
        <v>354</v>
      </c>
      <c r="C12" s="16">
        <v>349</v>
      </c>
      <c r="D12" s="16">
        <f>V12</f>
        <v>367</v>
      </c>
      <c r="E12" s="16">
        <v>378</v>
      </c>
      <c r="F12" s="16"/>
      <c r="G12" s="16"/>
      <c r="H12" s="16"/>
      <c r="I12" s="16"/>
      <c r="J12" s="16"/>
      <c r="K12" s="16"/>
      <c r="L12" s="16"/>
      <c r="M12" s="16"/>
      <c r="N12" s="16">
        <v>326</v>
      </c>
      <c r="O12" s="16">
        <v>338</v>
      </c>
      <c r="P12" s="16">
        <v>367</v>
      </c>
      <c r="Q12" s="16">
        <v>305</v>
      </c>
      <c r="R12" s="16">
        <v>324</v>
      </c>
      <c r="S12" s="16">
        <v>313</v>
      </c>
      <c r="T12" s="16">
        <v>330</v>
      </c>
      <c r="U12" s="16">
        <v>347</v>
      </c>
      <c r="V12" s="16">
        <v>367</v>
      </c>
      <c r="W12" s="16">
        <v>379</v>
      </c>
      <c r="X12" s="16">
        <v>408</v>
      </c>
      <c r="Y12" s="16">
        <v>428</v>
      </c>
      <c r="Z12" s="16">
        <v>448</v>
      </c>
      <c r="AA12" s="16">
        <v>468</v>
      </c>
      <c r="AB12" s="16">
        <v>488</v>
      </c>
    </row>
    <row r="13" spans="1:30" x14ac:dyDescent="0.25">
      <c r="B13" t="s">
        <v>390</v>
      </c>
      <c r="C13" s="16">
        <v>293</v>
      </c>
      <c r="D13" s="16">
        <f t="shared" ref="D13:D16" si="10">V13</f>
        <v>316</v>
      </c>
      <c r="E13" s="16">
        <v>326</v>
      </c>
      <c r="F13" s="16"/>
      <c r="G13" s="16"/>
      <c r="H13" s="16"/>
      <c r="I13" s="16"/>
      <c r="J13" s="16"/>
      <c r="K13" s="16"/>
      <c r="L13" s="16"/>
      <c r="M13" s="16"/>
      <c r="N13" s="16">
        <v>210</v>
      </c>
      <c r="O13" s="16">
        <v>213</v>
      </c>
      <c r="P13" s="16">
        <v>219</v>
      </c>
      <c r="Q13" s="16">
        <v>212</v>
      </c>
      <c r="R13" s="16">
        <v>228</v>
      </c>
      <c r="S13" s="16">
        <v>229</v>
      </c>
      <c r="T13" s="16">
        <v>251</v>
      </c>
      <c r="U13" s="16">
        <v>278</v>
      </c>
      <c r="V13" s="16">
        <v>316</v>
      </c>
      <c r="W13" s="16">
        <v>329</v>
      </c>
      <c r="X13" s="16">
        <v>345</v>
      </c>
      <c r="Y13" s="16">
        <v>363</v>
      </c>
      <c r="Z13" s="16">
        <v>376</v>
      </c>
      <c r="AA13" s="16">
        <v>393</v>
      </c>
      <c r="AB13" s="16">
        <v>408</v>
      </c>
    </row>
    <row r="14" spans="1:30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/>
      <c r="K14" s="23"/>
      <c r="L14" s="23"/>
      <c r="M14" s="23"/>
      <c r="N14" s="23">
        <v>237</v>
      </c>
      <c r="O14" s="23">
        <v>248</v>
      </c>
      <c r="P14" s="23">
        <v>260</v>
      </c>
      <c r="Q14" s="23">
        <v>213</v>
      </c>
      <c r="R14" s="23">
        <v>220</v>
      </c>
      <c r="S14" s="23">
        <v>228</v>
      </c>
      <c r="T14" s="23">
        <v>233</v>
      </c>
      <c r="U14" s="23">
        <v>239</v>
      </c>
      <c r="V14" s="23">
        <v>238</v>
      </c>
      <c r="W14" s="23">
        <v>241</v>
      </c>
      <c r="X14" s="23">
        <v>224</v>
      </c>
      <c r="Y14" s="23">
        <v>218</v>
      </c>
      <c r="Z14" s="23">
        <v>214</v>
      </c>
      <c r="AA14" s="23">
        <v>213</v>
      </c>
      <c r="AB14" s="23">
        <v>212</v>
      </c>
    </row>
    <row r="15" spans="1:30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/>
      <c r="K15" s="23"/>
      <c r="L15" s="23"/>
      <c r="M15" s="23"/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625</v>
      </c>
      <c r="U15" s="23">
        <v>662</v>
      </c>
      <c r="V15" s="23">
        <v>698</v>
      </c>
      <c r="W15" s="23">
        <v>708</v>
      </c>
      <c r="X15" s="23">
        <v>731</v>
      </c>
      <c r="Y15" s="23">
        <v>751</v>
      </c>
      <c r="Z15" s="23">
        <v>779</v>
      </c>
      <c r="AA15" s="23">
        <v>799</v>
      </c>
      <c r="AB15" s="23">
        <v>819</v>
      </c>
    </row>
    <row r="16" spans="1:30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/>
      <c r="K16" s="23"/>
      <c r="L16" s="23"/>
      <c r="M16" s="23"/>
      <c r="N16" s="23">
        <v>491</v>
      </c>
      <c r="O16" s="23">
        <v>506</v>
      </c>
      <c r="P16" s="23">
        <v>542</v>
      </c>
      <c r="Q16" s="23">
        <v>548</v>
      </c>
      <c r="R16" s="23">
        <v>609</v>
      </c>
      <c r="S16" s="23">
        <v>663</v>
      </c>
      <c r="T16" s="23">
        <v>120</v>
      </c>
      <c r="U16" s="23">
        <v>137</v>
      </c>
      <c r="V16" s="23">
        <v>152</v>
      </c>
      <c r="W16" s="23">
        <v>156</v>
      </c>
      <c r="X16" s="23">
        <v>179</v>
      </c>
      <c r="Y16" s="23">
        <v>194</v>
      </c>
      <c r="Z16" s="23">
        <v>209</v>
      </c>
      <c r="AA16" s="23">
        <v>221</v>
      </c>
      <c r="AB16" s="23">
        <v>236</v>
      </c>
    </row>
    <row r="17" spans="2:66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/>
      <c r="K17" s="23"/>
      <c r="L17" s="23"/>
      <c r="M17" s="23"/>
      <c r="N17" s="23">
        <f t="shared" ref="N17:U17" si="11">+SUM(N12:N16)</f>
        <v>1264</v>
      </c>
      <c r="O17" s="23">
        <f t="shared" si="11"/>
        <v>1305</v>
      </c>
      <c r="P17" s="23">
        <f t="shared" si="11"/>
        <v>1388</v>
      </c>
      <c r="Q17" s="23">
        <f t="shared" si="11"/>
        <v>1278</v>
      </c>
      <c r="R17" s="23">
        <f t="shared" si="11"/>
        <v>1381</v>
      </c>
      <c r="S17" s="23">
        <f t="shared" si="11"/>
        <v>1433</v>
      </c>
      <c r="T17" s="23">
        <f t="shared" si="11"/>
        <v>1559</v>
      </c>
      <c r="U17" s="23">
        <f t="shared" si="11"/>
        <v>1663</v>
      </c>
      <c r="V17" s="23">
        <f>+SUM(V12:V16)</f>
        <v>1771</v>
      </c>
      <c r="W17" s="23">
        <f t="shared" ref="W17:AB17" si="12">+SUM(W12:W16)</f>
        <v>1813</v>
      </c>
      <c r="X17" s="23">
        <f t="shared" si="12"/>
        <v>1887</v>
      </c>
      <c r="Y17" s="23">
        <f t="shared" si="12"/>
        <v>1954</v>
      </c>
      <c r="Z17" s="23">
        <f t="shared" si="12"/>
        <v>2026</v>
      </c>
      <c r="AA17" s="23">
        <f t="shared" si="12"/>
        <v>2094</v>
      </c>
      <c r="AB17" s="23">
        <f t="shared" si="12"/>
        <v>2163</v>
      </c>
    </row>
    <row r="18" spans="2:66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3"/>
      <c r="K18" s="23"/>
      <c r="L18" s="23"/>
      <c r="M18" s="23"/>
      <c r="N18" s="24">
        <f t="shared" ref="N18:AB18" si="13">N26/N17</f>
        <v>6.8735363924050645</v>
      </c>
      <c r="O18" s="24">
        <f t="shared" si="13"/>
        <v>7.1177586206896546</v>
      </c>
      <c r="P18" s="24">
        <f t="shared" si="13"/>
        <v>8.3633105187319892</v>
      </c>
      <c r="Q18" s="24">
        <f t="shared" si="13"/>
        <v>8.2333364632237878</v>
      </c>
      <c r="R18" s="24">
        <f t="shared" si="13"/>
        <v>8.9711296162201304</v>
      </c>
      <c r="S18" s="24">
        <f t="shared" si="13"/>
        <v>6.9272854152128396</v>
      </c>
      <c r="T18" s="24">
        <f t="shared" si="13"/>
        <v>8.8402180885182808</v>
      </c>
      <c r="U18" s="24">
        <f t="shared" si="13"/>
        <v>9.6253758268190026</v>
      </c>
      <c r="V18" s="24">
        <f t="shared" si="13"/>
        <v>8.7216261998870692</v>
      </c>
      <c r="W18" s="24">
        <f>W26/W17</f>
        <v>7.2076337562051851</v>
      </c>
      <c r="X18" s="24">
        <f t="shared" si="13"/>
        <v>8.7180772030964455</v>
      </c>
      <c r="Y18" s="24">
        <f t="shared" si="13"/>
        <v>9.281757047609025</v>
      </c>
      <c r="Z18" s="24">
        <f t="shared" si="13"/>
        <v>9.9074646418983132</v>
      </c>
      <c r="AA18" s="24">
        <f t="shared" si="13"/>
        <v>10.348663292540323</v>
      </c>
      <c r="AB18" s="24">
        <f t="shared" si="13"/>
        <v>10.983792845692856</v>
      </c>
    </row>
    <row r="19" spans="2:66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</row>
    <row r="20" spans="2:66" x14ac:dyDescent="0.25">
      <c r="B20" t="s">
        <v>360</v>
      </c>
      <c r="C20" s="23">
        <v>3710</v>
      </c>
      <c r="D20" s="23">
        <f>V20-C20</f>
        <v>3138</v>
      </c>
      <c r="E20" s="23">
        <v>2897</v>
      </c>
      <c r="F20" s="23"/>
      <c r="G20" s="23"/>
      <c r="H20" s="23"/>
      <c r="I20" s="23"/>
      <c r="J20" s="23"/>
      <c r="K20" s="23"/>
      <c r="L20" s="23"/>
      <c r="M20" s="23"/>
      <c r="N20" s="23">
        <v>2956.2</v>
      </c>
      <c r="O20" s="23">
        <v>3203.6</v>
      </c>
      <c r="P20" s="23">
        <v>4184.8</v>
      </c>
      <c r="Q20" s="23">
        <v>4420.3</v>
      </c>
      <c r="R20" s="23">
        <v>5421.6</v>
      </c>
      <c r="S20" s="23">
        <v>4975.7</v>
      </c>
      <c r="T20" s="23">
        <v>6695.4</v>
      </c>
      <c r="U20" s="23">
        <v>6568</v>
      </c>
      <c r="V20" s="23">
        <v>6848</v>
      </c>
      <c r="W20" s="23">
        <f>30%*W44</f>
        <v>5158.2</v>
      </c>
      <c r="X20" s="23">
        <f>36%*X44</f>
        <v>7496.6635514018681</v>
      </c>
      <c r="Y20" s="23">
        <f>38%*Y44</f>
        <v>8614.8628037383169</v>
      </c>
      <c r="Z20" s="23">
        <f>38%*Z44</f>
        <v>9534.4485981308408</v>
      </c>
      <c r="AA20" s="23">
        <f>39%*AA44</f>
        <v>10564.174205607475</v>
      </c>
      <c r="AB20" s="23">
        <f t="shared" ref="AB20" si="14">40%*AB44</f>
        <v>11878.971962616823</v>
      </c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</row>
    <row r="21" spans="2:66" x14ac:dyDescent="0.25">
      <c r="B21" t="s">
        <v>361</v>
      </c>
      <c r="C21" s="23">
        <v>2739</v>
      </c>
      <c r="D21" s="23">
        <f t="shared" ref="D21:D27" si="15">V21-C21</f>
        <v>2666</v>
      </c>
      <c r="E21" s="23">
        <v>2555</v>
      </c>
      <c r="F21" s="23"/>
      <c r="G21" s="23"/>
      <c r="H21" s="23"/>
      <c r="I21" s="23"/>
      <c r="J21" s="23"/>
      <c r="K21" s="23"/>
      <c r="L21" s="23"/>
      <c r="M21" s="23"/>
      <c r="N21" s="23">
        <v>3562.4</v>
      </c>
      <c r="O21" s="23">
        <v>3885.9</v>
      </c>
      <c r="P21" s="23">
        <v>5077.1000000000004</v>
      </c>
      <c r="Q21" s="23">
        <v>4471.5</v>
      </c>
      <c r="R21" s="23">
        <v>5120.2</v>
      </c>
      <c r="S21" s="23">
        <v>3657.1</v>
      </c>
      <c r="T21" s="23">
        <v>4945</v>
      </c>
      <c r="U21" s="23">
        <v>5566</v>
      </c>
      <c r="V21" s="23">
        <v>5405</v>
      </c>
      <c r="W21" s="23">
        <f>29%*W44</f>
        <v>4986.2599999999993</v>
      </c>
      <c r="X21" s="23">
        <f>27%*X44</f>
        <v>5622.4976635514022</v>
      </c>
      <c r="Y21" s="23">
        <f>26%*Y44</f>
        <v>5894.3798130841114</v>
      </c>
      <c r="Z21" s="23">
        <f>26%*Z44</f>
        <v>6523.5700934579436</v>
      </c>
      <c r="AA21" s="23">
        <f t="shared" ref="AA21" si="16">26%*AA44</f>
        <v>7042.7828037383169</v>
      </c>
      <c r="AB21" s="23">
        <f>26%*AB44</f>
        <v>7721.3317757009336</v>
      </c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</row>
    <row r="22" spans="2:66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/>
      <c r="K22" s="23"/>
      <c r="L22" s="23"/>
      <c r="M22" s="23"/>
      <c r="N22" s="23">
        <v>2652</v>
      </c>
      <c r="O22" s="23">
        <v>2740.5</v>
      </c>
      <c r="P22" s="23">
        <v>3306</v>
      </c>
      <c r="Q22" s="23">
        <v>2704.7</v>
      </c>
      <c r="R22" s="23">
        <v>3039.7</v>
      </c>
      <c r="S22" s="23">
        <v>2742.4</v>
      </c>
      <c r="T22" s="23">
        <v>4685.3</v>
      </c>
      <c r="U22" s="23">
        <v>5547</v>
      </c>
      <c r="V22" s="23">
        <v>4500</v>
      </c>
      <c r="W22" s="23">
        <f>24%*W44</f>
        <v>4126.5599999999995</v>
      </c>
      <c r="X22" s="23">
        <f>23%*X44</f>
        <v>4789.5350467289718</v>
      </c>
      <c r="Y22" s="23">
        <f t="shared" ref="Y22:AA22" si="17">23%*Y44</f>
        <v>5214.2590654205605</v>
      </c>
      <c r="Z22" s="23">
        <f t="shared" si="17"/>
        <v>5770.8504672897197</v>
      </c>
      <c r="AA22" s="23">
        <f t="shared" si="17"/>
        <v>6230.1540186915881</v>
      </c>
      <c r="AB22" s="23">
        <f>22%*AB44</f>
        <v>6533.434579439252</v>
      </c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</row>
    <row r="23" spans="2:66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/>
      <c r="K23" s="23"/>
      <c r="L23" s="23"/>
      <c r="M23" s="23"/>
      <c r="N23" s="23">
        <v>1101.0999999999999</v>
      </c>
      <c r="O23" s="23">
        <v>1226.3</v>
      </c>
      <c r="P23" s="23">
        <v>1291.2</v>
      </c>
      <c r="Q23" s="23">
        <v>1157.5</v>
      </c>
      <c r="R23" s="23">
        <v>1309.8</v>
      </c>
      <c r="S23" s="23">
        <v>931.1</v>
      </c>
      <c r="T23" s="23">
        <v>1059.4000000000001</v>
      </c>
      <c r="U23" s="23">
        <v>1244</v>
      </c>
      <c r="V23" s="23">
        <v>1400</v>
      </c>
      <c r="W23" s="23">
        <f>8%*W44</f>
        <v>1375.52</v>
      </c>
      <c r="X23" s="23">
        <f>6%*X44</f>
        <v>1249.4439252336447</v>
      </c>
      <c r="Y23" s="23">
        <f>5%*Y44</f>
        <v>1133.5345794392522</v>
      </c>
      <c r="Z23" s="23">
        <f>5%*Z44</f>
        <v>1254.532710280374</v>
      </c>
      <c r="AA23" s="23">
        <f>5%*AA44</f>
        <v>1354.3813084112148</v>
      </c>
      <c r="AB23" s="23">
        <f>5%*AB44</f>
        <v>1484.8714953271028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</row>
    <row r="24" spans="2:66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/>
      <c r="K24" s="23"/>
      <c r="L24" s="23"/>
      <c r="M24" s="23"/>
      <c r="N24" s="23">
        <f>773.7+538.8</f>
        <v>1312.5</v>
      </c>
      <c r="O24" s="23">
        <f>514.3+814.3</f>
        <v>1328.6</v>
      </c>
      <c r="P24" s="23">
        <f>1032.9+594.7</f>
        <v>1627.6000000000001</v>
      </c>
      <c r="Q24" s="23">
        <f>725.1+186.1</f>
        <v>911.2</v>
      </c>
      <c r="R24" s="23">
        <f>770.2+222.1</f>
        <v>992.30000000000007</v>
      </c>
      <c r="S24" s="23">
        <v>793.9</v>
      </c>
      <c r="T24" s="23">
        <v>1160.0999999999999</v>
      </c>
      <c r="U24" s="23">
        <v>1425</v>
      </c>
      <c r="V24" s="23">
        <v>1413</v>
      </c>
      <c r="W24" s="23">
        <f>9%*W44</f>
        <v>1547.46</v>
      </c>
      <c r="X24" s="23">
        <f t="shared" ref="X24:AB24" si="18">8%*X44</f>
        <v>1665.9252336448596</v>
      </c>
      <c r="Y24" s="23">
        <f t="shared" si="18"/>
        <v>1813.6553271028035</v>
      </c>
      <c r="Z24" s="23">
        <f t="shared" si="18"/>
        <v>2007.252336448598</v>
      </c>
      <c r="AA24" s="23">
        <f t="shared" si="18"/>
        <v>2167.0100934579436</v>
      </c>
      <c r="AB24" s="23">
        <f t="shared" si="18"/>
        <v>2375.7943925233644</v>
      </c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</row>
    <row r="25" spans="2:66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18"/>
      <c r="R25" s="18"/>
      <c r="S25" s="18"/>
      <c r="T25" s="18"/>
      <c r="U25" s="18"/>
      <c r="V25" s="18"/>
      <c r="W25" s="18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</row>
    <row r="26" spans="2:66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/>
      <c r="K26" s="23"/>
      <c r="L26" s="23"/>
      <c r="M26" s="23"/>
      <c r="N26" s="23">
        <f t="shared" ref="N26:P26" si="19">0.75*N44</f>
        <v>8688.1500000000015</v>
      </c>
      <c r="O26" s="23">
        <f t="shared" si="19"/>
        <v>9288.6749999999993</v>
      </c>
      <c r="P26" s="23">
        <f>0.75*P44</f>
        <v>11608.275000000001</v>
      </c>
      <c r="Q26" s="23">
        <f>0.77*Q44</f>
        <v>10522.204000000002</v>
      </c>
      <c r="R26" s="23">
        <f>0.78*R44</f>
        <v>12389.130000000001</v>
      </c>
      <c r="S26" s="23">
        <v>9926.7999999999993</v>
      </c>
      <c r="T26" s="23">
        <v>13781.9</v>
      </c>
      <c r="U26" s="23">
        <v>16007</v>
      </c>
      <c r="V26" s="23">
        <v>15446</v>
      </c>
      <c r="W26" s="23">
        <f>76%*W44</f>
        <v>13067.44</v>
      </c>
      <c r="X26" s="23">
        <f t="shared" ref="X26" si="20">79%*X44</f>
        <v>16451.011682242992</v>
      </c>
      <c r="Y26" s="23">
        <f>80%*Y44</f>
        <v>18136.553271028035</v>
      </c>
      <c r="Z26" s="23">
        <f t="shared" ref="Z26:AB26" si="21">80%*Z44</f>
        <v>20072.523364485984</v>
      </c>
      <c r="AA26" s="23">
        <f t="shared" si="21"/>
        <v>21670.100934579437</v>
      </c>
      <c r="AB26" s="23">
        <f t="shared" si="21"/>
        <v>23757.943925233645</v>
      </c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</row>
    <row r="27" spans="2:66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/>
      <c r="K27" s="23"/>
      <c r="L27" s="23"/>
      <c r="M27" s="23"/>
      <c r="N27" s="23">
        <f t="shared" ref="N27:P27" si="22">0.75*N45</f>
        <v>3382.5</v>
      </c>
      <c r="O27" s="23">
        <f t="shared" si="22"/>
        <v>3446.4750000000004</v>
      </c>
      <c r="P27" s="23">
        <f>0.75*P45</f>
        <v>4008.5249999999996</v>
      </c>
      <c r="Q27" s="23">
        <f>0.23*Q44</f>
        <v>3142.9960000000001</v>
      </c>
      <c r="R27" s="23">
        <f>0.22*R44</f>
        <v>3494.37</v>
      </c>
      <c r="S27" s="23">
        <v>3173.4</v>
      </c>
      <c r="T27" s="23">
        <v>3863.3</v>
      </c>
      <c r="U27" s="23">
        <v>4344</v>
      </c>
      <c r="V27" s="23">
        <v>4120</v>
      </c>
      <c r="W27" s="23">
        <f>+W44-W26</f>
        <v>4126.5599999999995</v>
      </c>
      <c r="X27" s="23">
        <f t="shared" ref="X27:AB27" si="23">+X44-X26</f>
        <v>4373.0537383177543</v>
      </c>
      <c r="Y27" s="23">
        <f t="shared" si="23"/>
        <v>4534.1383177570096</v>
      </c>
      <c r="Z27" s="23">
        <f t="shared" si="23"/>
        <v>5018.1308411214923</v>
      </c>
      <c r="AA27" s="23">
        <f t="shared" si="23"/>
        <v>5417.5252336448575</v>
      </c>
      <c r="AB27" s="23">
        <f t="shared" si="23"/>
        <v>5939.4859813084076</v>
      </c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</row>
    <row r="28" spans="2:66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</row>
    <row r="29" spans="2:66" x14ac:dyDescent="0.25">
      <c r="B29" t="s">
        <v>367</v>
      </c>
      <c r="C29" s="23">
        <v>536</v>
      </c>
      <c r="D29" s="23">
        <f>V29</f>
        <v>538</v>
      </c>
      <c r="E29" s="23">
        <v>536</v>
      </c>
      <c r="F29" s="23"/>
      <c r="G29" s="23"/>
      <c r="H29" s="23"/>
      <c r="I29" s="23"/>
      <c r="J29" s="23"/>
      <c r="K29" s="23"/>
      <c r="L29" s="23"/>
      <c r="M29" s="23"/>
      <c r="N29" s="23"/>
      <c r="O29" s="23">
        <v>520</v>
      </c>
      <c r="P29" s="23">
        <v>529</v>
      </c>
      <c r="Q29" s="23">
        <v>469</v>
      </c>
      <c r="R29" s="23">
        <v>487</v>
      </c>
      <c r="S29" s="23">
        <v>483</v>
      </c>
      <c r="T29" s="23">
        <v>501</v>
      </c>
      <c r="U29" s="23">
        <v>528</v>
      </c>
      <c r="V29" s="23">
        <v>538</v>
      </c>
      <c r="W29" s="23">
        <v>529</v>
      </c>
      <c r="X29" s="23">
        <v>540</v>
      </c>
      <c r="Y29" s="23">
        <v>550</v>
      </c>
      <c r="Z29" s="23">
        <v>560</v>
      </c>
      <c r="AA29" s="23">
        <v>570</v>
      </c>
      <c r="AB29" s="23">
        <v>580</v>
      </c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</row>
    <row r="30" spans="2:66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3"/>
      <c r="K30" s="23"/>
      <c r="L30" s="23"/>
      <c r="M30" s="23"/>
      <c r="N30" s="23"/>
      <c r="O30" s="24">
        <f>0.85*O38/O29</f>
        <v>7.1568365384615378</v>
      </c>
      <c r="P30" s="24">
        <f>0.85*P38/P29</f>
        <v>9.9798676748582213</v>
      </c>
      <c r="Q30" s="24">
        <f>0.85*Q38/Q29</f>
        <v>15.01545842217484</v>
      </c>
      <c r="R30" s="24">
        <f>0.85*R38/R29</f>
        <v>16.805215605749485</v>
      </c>
      <c r="S30" s="24">
        <f>0.87*S38/S29</f>
        <v>13.40232298136646</v>
      </c>
      <c r="T30" s="24">
        <f>0.91*T38/T29</f>
        <v>17.675069860279443</v>
      </c>
      <c r="U30" s="24">
        <f>0.91*U38/U29</f>
        <v>18.074185606060606</v>
      </c>
      <c r="V30" s="24">
        <f>0.91*V38/V29</f>
        <v>16.699684014869888</v>
      </c>
      <c r="W30" s="24">
        <f t="shared" ref="W30:AB30" si="24">0.91*W38/W29</f>
        <v>13.159735349716446</v>
      </c>
      <c r="X30" s="24">
        <f t="shared" si="24"/>
        <v>16.844355140186916</v>
      </c>
      <c r="Y30" s="24">
        <f t="shared" si="24"/>
        <v>17.254457271028038</v>
      </c>
      <c r="Z30" s="24">
        <f t="shared" si="24"/>
        <v>17.939817757009347</v>
      </c>
      <c r="AA30" s="24">
        <f t="shared" si="24"/>
        <v>18.162966178061975</v>
      </c>
      <c r="AB30" s="24">
        <f t="shared" si="24"/>
        <v>19.103639824363515</v>
      </c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</row>
    <row r="31" spans="2:66" x14ac:dyDescent="0.25">
      <c r="B31" t="s">
        <v>371</v>
      </c>
      <c r="C31" s="23">
        <v>288</v>
      </c>
      <c r="D31" s="23">
        <f>V31</f>
        <v>308</v>
      </c>
      <c r="E31" s="23">
        <v>320</v>
      </c>
      <c r="F31" s="23"/>
      <c r="G31" s="23"/>
      <c r="H31" s="23"/>
      <c r="I31" s="23"/>
      <c r="J31" s="23"/>
      <c r="K31" s="23"/>
      <c r="L31" s="23"/>
      <c r="M31" s="23"/>
      <c r="N31" s="23"/>
      <c r="O31" s="23">
        <v>159</v>
      </c>
      <c r="P31" s="23">
        <v>184</v>
      </c>
      <c r="Q31" s="23">
        <v>194</v>
      </c>
      <c r="R31" s="23">
        <v>222</v>
      </c>
      <c r="S31" s="23">
        <v>239</v>
      </c>
      <c r="T31" s="23">
        <v>268</v>
      </c>
      <c r="U31" s="23">
        <v>280</v>
      </c>
      <c r="V31" s="23">
        <v>308</v>
      </c>
      <c r="W31" s="23">
        <v>318</v>
      </c>
      <c r="X31" s="23">
        <v>335</v>
      </c>
      <c r="Y31" s="23">
        <v>350</v>
      </c>
      <c r="Z31" s="23">
        <v>367</v>
      </c>
      <c r="AA31" s="23">
        <v>386</v>
      </c>
      <c r="AB31" s="23">
        <v>405</v>
      </c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</row>
    <row r="32" spans="2:66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3"/>
      <c r="K32" s="23"/>
      <c r="L32" s="23"/>
      <c r="M32" s="23"/>
      <c r="N32" s="23"/>
      <c r="O32" s="24">
        <f>0.69*O39/O31</f>
        <v>5.2952075471698112</v>
      </c>
      <c r="P32" s="24">
        <f>0.69*P39/P31</f>
        <v>5.6324999999999994</v>
      </c>
      <c r="Q32" s="24">
        <f>0.68*Q39/Q31</f>
        <v>6.1129896907216494</v>
      </c>
      <c r="R32" s="24">
        <f>0.69*R39/R31</f>
        <v>6.3688243243243239</v>
      </c>
      <c r="S32" s="24">
        <f>0.69*S39/S31</f>
        <v>5.0361338912133888</v>
      </c>
      <c r="T32" s="24">
        <f>0.74*T39/T31</f>
        <v>6.9609701492537308</v>
      </c>
      <c r="U32" s="24">
        <f>0.77*U39/U31</f>
        <v>9.0749999999999993</v>
      </c>
      <c r="V32" s="24">
        <f>0.81*V39/V31</f>
        <v>8.3603571428571435</v>
      </c>
      <c r="W32" s="24">
        <f>0.82*W39/W31</f>
        <v>7.4289937106918238</v>
      </c>
      <c r="X32" s="24">
        <f t="shared" ref="X32:AB32" si="25">0.81*X39/X31</f>
        <v>8.5596233086901936</v>
      </c>
      <c r="Y32" s="24">
        <f t="shared" si="25"/>
        <v>8.9192978050734322</v>
      </c>
      <c r="Z32" s="24">
        <f t="shared" si="25"/>
        <v>9.4141228449922334</v>
      </c>
      <c r="AA32" s="24">
        <f t="shared" si="25"/>
        <v>9.6631246719287205</v>
      </c>
      <c r="AB32" s="24">
        <f t="shared" si="25"/>
        <v>10.69107476635514</v>
      </c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</row>
    <row r="33" spans="2:66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/>
      <c r="K33" s="23"/>
      <c r="L33" s="23"/>
      <c r="M33" s="23"/>
      <c r="N33" s="23"/>
      <c r="O33" s="23">
        <v>255</v>
      </c>
      <c r="P33" s="23">
        <v>270</v>
      </c>
      <c r="Q33" s="23">
        <v>255</v>
      </c>
      <c r="R33" s="23">
        <v>268</v>
      </c>
      <c r="S33" s="23">
        <v>261</v>
      </c>
      <c r="T33" s="23">
        <v>263</v>
      </c>
      <c r="U33" s="23">
        <v>271</v>
      </c>
      <c r="V33" s="23">
        <v>288</v>
      </c>
      <c r="W33" s="23">
        <v>307</v>
      </c>
      <c r="X33" s="23">
        <v>318</v>
      </c>
      <c r="Y33" s="23">
        <v>330</v>
      </c>
      <c r="Z33" s="23">
        <v>342</v>
      </c>
      <c r="AA33" s="23">
        <v>354</v>
      </c>
      <c r="AB33" s="23">
        <v>364</v>
      </c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</row>
    <row r="34" spans="2:66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3"/>
      <c r="K34" s="23"/>
      <c r="L34" s="23"/>
      <c r="M34" s="23"/>
      <c r="N34" s="23"/>
      <c r="O34" s="24">
        <f>0.83*O40/O33</f>
        <v>3.8193019607843137</v>
      </c>
      <c r="P34" s="24">
        <f>0.83*P40/P33</f>
        <v>3.6151111111111107</v>
      </c>
      <c r="Q34" s="24">
        <f>0.82*Q40/Q33</f>
        <v>3.5661960784313727</v>
      </c>
      <c r="R34" s="24">
        <f>0.81*R40/R33</f>
        <v>3.5289402985074627</v>
      </c>
      <c r="S34" s="24">
        <f>0.73*S40/S33</f>
        <v>3.3851302681992332</v>
      </c>
      <c r="T34" s="24">
        <f>0.75*T40/T33</f>
        <v>4.2861216730038025</v>
      </c>
      <c r="U34" s="24">
        <f>0.78*U40/U33</f>
        <v>5.0081180811808119</v>
      </c>
      <c r="V34" s="24">
        <f>0.82*V40/V33</f>
        <v>4.6836805555555552</v>
      </c>
      <c r="W34" s="24">
        <f>0.85*W40/W33</f>
        <v>4.7428338762214981</v>
      </c>
      <c r="X34" s="24">
        <f t="shared" ref="X34:AB34" si="26">0.82*X40/X33</f>
        <v>4.2957820490213354</v>
      </c>
      <c r="Y34" s="24">
        <f t="shared" si="26"/>
        <v>3.9433263551401869</v>
      </c>
      <c r="Z34" s="24">
        <f t="shared" si="26"/>
        <v>4.2111214953271032</v>
      </c>
      <c r="AA34" s="24">
        <f t="shared" si="26"/>
        <v>3.7647209250752405</v>
      </c>
      <c r="AB34" s="24">
        <f t="shared" si="26"/>
        <v>4.0140482181370025</v>
      </c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</row>
    <row r="35" spans="2:66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/>
      <c r="K35" s="23"/>
      <c r="L35" s="23"/>
      <c r="M35" s="23"/>
      <c r="N35" s="23"/>
      <c r="O35" s="23">
        <v>371</v>
      </c>
      <c r="P35" s="23">
        <v>405</v>
      </c>
      <c r="Q35" s="23">
        <v>360</v>
      </c>
      <c r="R35" s="23">
        <v>404</v>
      </c>
      <c r="S35" s="23">
        <v>450</v>
      </c>
      <c r="T35" s="23">
        <v>533</v>
      </c>
      <c r="U35" s="23">
        <v>584</v>
      </c>
      <c r="V35" s="23">
        <v>618</v>
      </c>
      <c r="W35" s="23">
        <v>640</v>
      </c>
      <c r="X35" s="23">
        <v>655</v>
      </c>
      <c r="Y35" s="23">
        <v>680</v>
      </c>
      <c r="Z35" s="23">
        <v>705</v>
      </c>
      <c r="AA35" s="23">
        <v>730</v>
      </c>
      <c r="AB35" s="23">
        <v>755</v>
      </c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</row>
    <row r="36" spans="2:66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3"/>
      <c r="K36" s="23"/>
      <c r="L36" s="23"/>
      <c r="M36" s="23"/>
      <c r="N36" s="23"/>
      <c r="O36" s="24">
        <f>0.45*O41/O35</f>
        <v>2.0589622641509435</v>
      </c>
      <c r="P36" s="24">
        <f>0.45*P41/P35</f>
        <v>1.8044444444444445</v>
      </c>
      <c r="Q36" s="24">
        <f>0.51*Q41/Q35</f>
        <v>2.9877499999999997</v>
      </c>
      <c r="R36" s="24">
        <f>0.56*R41/R35</f>
        <v>3.517326732673268</v>
      </c>
      <c r="S36" s="24">
        <f>0.58*S41/S35</f>
        <v>2.9403422222222222</v>
      </c>
      <c r="T36" s="24">
        <f>0.59*T41/T35</f>
        <v>3.6363039399624761</v>
      </c>
      <c r="U36" s="24">
        <f>0.66*U41/U35</f>
        <v>4.3781506849315068</v>
      </c>
      <c r="V36" s="24">
        <f>0.72*V41/V35</f>
        <v>4.0939805825242717</v>
      </c>
      <c r="W36" s="24">
        <f>0.75*W41/W35</f>
        <v>3.7746093749999998</v>
      </c>
      <c r="X36" s="24">
        <f t="shared" ref="X36:AB36" si="27">0.72*X41/X35</f>
        <v>4.5781151458942713</v>
      </c>
      <c r="Y36" s="24">
        <f t="shared" si="27"/>
        <v>4.8008523364485978</v>
      </c>
      <c r="Z36" s="24">
        <f t="shared" si="27"/>
        <v>5.1248995824219534</v>
      </c>
      <c r="AA36" s="24">
        <f t="shared" si="27"/>
        <v>5.3433125592113679</v>
      </c>
      <c r="AB36" s="24">
        <f t="shared" si="27"/>
        <v>5.6641455715788824</v>
      </c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</row>
    <row r="37" spans="2:66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111"/>
      <c r="R37" s="111"/>
      <c r="S37" s="111"/>
      <c r="T37" s="111"/>
      <c r="U37" s="111"/>
      <c r="V37" s="111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</row>
    <row r="38" spans="2:66" x14ac:dyDescent="0.25">
      <c r="B38" s="121" t="s">
        <v>11</v>
      </c>
      <c r="C38" s="23">
        <v>5128</v>
      </c>
      <c r="D38" s="23">
        <f>V38-C38</f>
        <v>4745</v>
      </c>
      <c r="E38" s="23">
        <v>4085</v>
      </c>
      <c r="F38" s="23"/>
      <c r="G38" s="23"/>
      <c r="H38" s="23"/>
      <c r="I38" s="23"/>
      <c r="J38" s="23"/>
      <c r="K38" s="23"/>
      <c r="L38" s="23"/>
      <c r="M38" s="23"/>
      <c r="N38" s="23">
        <v>3898</v>
      </c>
      <c r="O38" s="23">
        <v>4378.3</v>
      </c>
      <c r="P38" s="23">
        <v>6211</v>
      </c>
      <c r="Q38" s="23">
        <v>8285</v>
      </c>
      <c r="R38" s="23">
        <v>9628.4</v>
      </c>
      <c r="S38" s="23">
        <v>7440.6</v>
      </c>
      <c r="T38" s="23">
        <v>9731</v>
      </c>
      <c r="U38" s="23">
        <v>10487</v>
      </c>
      <c r="V38" s="23">
        <v>9873</v>
      </c>
      <c r="W38" s="23">
        <v>7650</v>
      </c>
      <c r="X38" s="23">
        <f>+X44*48%</f>
        <v>9995.5514018691574</v>
      </c>
      <c r="Y38" s="13">
        <f>+Y44*46%</f>
        <v>10428.518130841121</v>
      </c>
      <c r="Z38" s="13">
        <f>+Z44*44%</f>
        <v>11039.88785046729</v>
      </c>
      <c r="AA38" s="13">
        <f>+AA44*42%</f>
        <v>11376.802990654203</v>
      </c>
      <c r="AB38" s="13">
        <f>+AB44*41%</f>
        <v>12175.94626168224</v>
      </c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</row>
    <row r="39" spans="2:66" x14ac:dyDescent="0.25">
      <c r="B39" s="121" t="s">
        <v>12</v>
      </c>
      <c r="C39" s="23">
        <v>1576</v>
      </c>
      <c r="D39" s="23">
        <f t="shared" ref="D39:D65" si="28">V39-C39</f>
        <v>1603</v>
      </c>
      <c r="E39" s="23">
        <v>1441</v>
      </c>
      <c r="F39" s="23"/>
      <c r="G39" s="23"/>
      <c r="H39" s="23"/>
      <c r="I39" s="23"/>
      <c r="J39" s="23"/>
      <c r="K39" s="23"/>
      <c r="L39" s="23"/>
      <c r="M39" s="23"/>
      <c r="N39" s="23">
        <v>973.6</v>
      </c>
      <c r="O39" s="23">
        <v>1220.2</v>
      </c>
      <c r="P39" s="23">
        <v>1502</v>
      </c>
      <c r="Q39" s="23">
        <v>1744</v>
      </c>
      <c r="R39" s="23">
        <v>2049.1</v>
      </c>
      <c r="S39" s="23">
        <v>1744.4</v>
      </c>
      <c r="T39" s="23">
        <v>2521</v>
      </c>
      <c r="U39" s="23">
        <v>3300</v>
      </c>
      <c r="V39" s="23">
        <v>3179</v>
      </c>
      <c r="W39" s="23">
        <v>2881</v>
      </c>
      <c r="X39" s="23">
        <f>+X44*17%</f>
        <v>3540.0911214953271</v>
      </c>
      <c r="Y39" s="23">
        <f t="shared" ref="Y39:AA39" si="29">+Y44*17%</f>
        <v>3854.0175700934578</v>
      </c>
      <c r="Z39" s="23">
        <f t="shared" si="29"/>
        <v>4265.4112149532712</v>
      </c>
      <c r="AA39" s="23">
        <f t="shared" si="29"/>
        <v>4604.8964485981305</v>
      </c>
      <c r="AB39" s="23">
        <f>+AB44*18%</f>
        <v>5345.5373831775696</v>
      </c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</row>
    <row r="40" spans="2:66" x14ac:dyDescent="0.25">
      <c r="B40" s="121" t="s">
        <v>31</v>
      </c>
      <c r="C40" s="23">
        <v>833</v>
      </c>
      <c r="D40" s="23">
        <f t="shared" si="28"/>
        <v>812</v>
      </c>
      <c r="E40" s="23">
        <v>836</v>
      </c>
      <c r="F40" s="23"/>
      <c r="G40" s="23"/>
      <c r="H40" s="23"/>
      <c r="I40" s="23"/>
      <c r="J40" s="23"/>
      <c r="K40" s="23"/>
      <c r="L40" s="23"/>
      <c r="M40" s="23"/>
      <c r="N40" s="23">
        <v>1285.8</v>
      </c>
      <c r="O40" s="23">
        <v>1173.4000000000001</v>
      </c>
      <c r="P40" s="23">
        <v>1176</v>
      </c>
      <c r="Q40" s="23">
        <v>1109</v>
      </c>
      <c r="R40" s="23">
        <v>1167.5999999999999</v>
      </c>
      <c r="S40" s="23">
        <v>1210.3</v>
      </c>
      <c r="T40" s="23">
        <v>1503</v>
      </c>
      <c r="U40" s="23">
        <v>1740</v>
      </c>
      <c r="V40" s="23">
        <v>1645</v>
      </c>
      <c r="W40" s="23">
        <v>1713</v>
      </c>
      <c r="X40" s="23">
        <f>+X44*8%</f>
        <v>1665.9252336448596</v>
      </c>
      <c r="Y40" s="23">
        <f>+Y44*7%</f>
        <v>1586.9484112149532</v>
      </c>
      <c r="Z40" s="23">
        <f>+Z44*7%</f>
        <v>1756.3457943925234</v>
      </c>
      <c r="AA40" s="23">
        <f>+AA44*6%</f>
        <v>1625.2575700934576</v>
      </c>
      <c r="AB40" s="23">
        <f>+AB44*6%</f>
        <v>1781.8457943925232</v>
      </c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</row>
    <row r="41" spans="2:66" x14ac:dyDescent="0.25">
      <c r="B41" s="121" t="s">
        <v>32</v>
      </c>
      <c r="C41" s="23">
        <v>1856</v>
      </c>
      <c r="D41" s="23">
        <f t="shared" si="28"/>
        <v>1658</v>
      </c>
      <c r="E41" s="23">
        <v>1717</v>
      </c>
      <c r="F41" s="23"/>
      <c r="G41" s="23"/>
      <c r="H41" s="23"/>
      <c r="I41" s="23"/>
      <c r="J41" s="23"/>
      <c r="K41" s="23"/>
      <c r="L41" s="23"/>
      <c r="M41" s="23"/>
      <c r="N41" s="23">
        <v>1707.9</v>
      </c>
      <c r="O41" s="23">
        <v>1697.5</v>
      </c>
      <c r="P41" s="23">
        <v>1624</v>
      </c>
      <c r="Q41" s="23">
        <v>2109</v>
      </c>
      <c r="R41" s="23">
        <v>2537.5</v>
      </c>
      <c r="S41" s="23">
        <v>2281.3000000000002</v>
      </c>
      <c r="T41" s="23">
        <v>3285</v>
      </c>
      <c r="U41" s="23">
        <v>3874</v>
      </c>
      <c r="V41" s="23">
        <v>3514</v>
      </c>
      <c r="W41" s="23">
        <v>3221</v>
      </c>
      <c r="X41" s="23">
        <f>20%*X44</f>
        <v>4164.8130841121492</v>
      </c>
      <c r="Y41" s="23">
        <f t="shared" ref="Y41:AB41" si="30">20%*Y44</f>
        <v>4534.1383177570087</v>
      </c>
      <c r="Z41" s="23">
        <f t="shared" si="30"/>
        <v>5018.1308411214959</v>
      </c>
      <c r="AA41" s="23">
        <f t="shared" si="30"/>
        <v>5417.5252336448593</v>
      </c>
      <c r="AB41" s="23">
        <f t="shared" si="30"/>
        <v>5939.4859813084113</v>
      </c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</row>
    <row r="42" spans="2:66" x14ac:dyDescent="0.25">
      <c r="B42" s="121" t="s">
        <v>14</v>
      </c>
      <c r="C42" s="23">
        <v>869</v>
      </c>
      <c r="D42" s="23">
        <f t="shared" si="28"/>
        <v>699</v>
      </c>
      <c r="E42" s="23">
        <v>1067</v>
      </c>
      <c r="F42" s="23"/>
      <c r="G42" s="23"/>
      <c r="H42" s="23"/>
      <c r="I42" s="23"/>
      <c r="J42" s="23"/>
      <c r="K42" s="23"/>
      <c r="L42" s="23"/>
      <c r="M42" s="23"/>
      <c r="N42" s="23">
        <f>3403.4+279.1+36.4</f>
        <v>3718.9</v>
      </c>
      <c r="O42" s="23">
        <f>3883.7+31.8</f>
        <v>3915.5</v>
      </c>
      <c r="P42" s="23">
        <v>302.10000000000002</v>
      </c>
      <c r="Q42" s="23">
        <v>418.2</v>
      </c>
      <c r="R42" s="23">
        <v>500.9</v>
      </c>
      <c r="S42" s="23">
        <v>423.6</v>
      </c>
      <c r="T42" s="23">
        <v>733</v>
      </c>
      <c r="U42" s="23">
        <v>1139</v>
      </c>
      <c r="V42" s="23">
        <v>1568</v>
      </c>
      <c r="W42" s="23">
        <v>1941</v>
      </c>
      <c r="X42" s="23">
        <f>+X44*13%</f>
        <v>2707.1285046728972</v>
      </c>
      <c r="Y42" s="13">
        <f>+Y44*15%</f>
        <v>3400.6037383177568</v>
      </c>
      <c r="Z42" s="13">
        <f>+Z44*16%</f>
        <v>4014.5046728971961</v>
      </c>
      <c r="AA42" s="13">
        <f t="shared" ref="AA42:AB42" si="31">+AA44*16%</f>
        <v>4334.0201869158873</v>
      </c>
      <c r="AB42" s="13">
        <f t="shared" si="31"/>
        <v>4751.5887850467288</v>
      </c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</row>
    <row r="43" spans="2:66" x14ac:dyDescent="0.25">
      <c r="B43" s="121" t="s">
        <v>33</v>
      </c>
      <c r="C43" s="23">
        <v>-127</v>
      </c>
      <c r="D43" s="23">
        <f t="shared" si="28"/>
        <v>-86</v>
      </c>
      <c r="E43" s="23">
        <v>-128</v>
      </c>
      <c r="F43" s="23"/>
      <c r="G43" s="23"/>
      <c r="H43" s="23"/>
      <c r="I43" s="23"/>
      <c r="J43" s="23"/>
      <c r="K43" s="23"/>
      <c r="L43" s="23"/>
      <c r="M43" s="23"/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-128</v>
      </c>
      <c r="U43" s="23">
        <v>-189</v>
      </c>
      <c r="V43" s="23">
        <v>-213</v>
      </c>
      <c r="W43" s="23">
        <v>-212</v>
      </c>
      <c r="X43" s="23">
        <f>-1%*X44</f>
        <v>-208.24065420560746</v>
      </c>
      <c r="Y43" s="23">
        <f t="shared" ref="Y43:AB43" si="32">-1%*Y44</f>
        <v>-226.70691588785044</v>
      </c>
      <c r="Z43" s="23">
        <f t="shared" si="32"/>
        <v>-250.90654205607476</v>
      </c>
      <c r="AA43" s="23">
        <f t="shared" si="32"/>
        <v>-270.87626168224295</v>
      </c>
      <c r="AB43" s="23">
        <f t="shared" si="32"/>
        <v>-296.97429906542055</v>
      </c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</row>
    <row r="44" spans="2:66" x14ac:dyDescent="0.25">
      <c r="B44" s="1" t="s">
        <v>34</v>
      </c>
      <c r="C44" s="25">
        <f t="shared" ref="C44:H44" si="33">SUM(C38:C43)</f>
        <v>10135</v>
      </c>
      <c r="D44" s="25">
        <f t="shared" si="33"/>
        <v>9431</v>
      </c>
      <c r="E44" s="25">
        <f t="shared" si="33"/>
        <v>9018</v>
      </c>
      <c r="F44" s="25">
        <f t="shared" si="33"/>
        <v>0</v>
      </c>
      <c r="G44" s="25">
        <f t="shared" si="33"/>
        <v>0</v>
      </c>
      <c r="H44" s="25">
        <f t="shared" si="33"/>
        <v>0</v>
      </c>
      <c r="I44" s="23"/>
      <c r="J44" s="23"/>
      <c r="K44" s="23"/>
      <c r="L44" s="23"/>
      <c r="M44" s="23"/>
      <c r="N44" s="25">
        <v>11584.2</v>
      </c>
      <c r="O44" s="25">
        <v>12384.9</v>
      </c>
      <c r="P44" s="25">
        <v>15477.7</v>
      </c>
      <c r="Q44" s="25">
        <f>SUM(Q38:Q43)</f>
        <v>13665.2</v>
      </c>
      <c r="R44" s="25">
        <f t="shared" ref="R44:W44" si="34">SUM(R38:R43)</f>
        <v>15883.5</v>
      </c>
      <c r="S44" s="25">
        <f t="shared" si="34"/>
        <v>13100.199999999999</v>
      </c>
      <c r="T44" s="25">
        <f t="shared" si="34"/>
        <v>17645</v>
      </c>
      <c r="U44" s="25">
        <f t="shared" si="34"/>
        <v>20351</v>
      </c>
      <c r="V44" s="25">
        <f t="shared" si="34"/>
        <v>19566</v>
      </c>
      <c r="W44" s="25">
        <f t="shared" si="34"/>
        <v>17194</v>
      </c>
      <c r="X44" s="25">
        <f>+X9/Main!$H$19</f>
        <v>20824.065420560746</v>
      </c>
      <c r="Y44" s="25">
        <f>+Y9/Main!$H$19</f>
        <v>22670.691588785045</v>
      </c>
      <c r="Z44" s="25">
        <f>+Z9/Main!$H$19</f>
        <v>25090.654205607476</v>
      </c>
      <c r="AA44" s="25">
        <f>+AA9/Main!$H$19</f>
        <v>27087.626168224295</v>
      </c>
      <c r="AB44" s="25">
        <f>+AB9/Main!$H$19</f>
        <v>29697.429906542053</v>
      </c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</row>
    <row r="45" spans="2:66" x14ac:dyDescent="0.25">
      <c r="B45" t="s">
        <v>43</v>
      </c>
      <c r="C45" s="23">
        <v>2405</v>
      </c>
      <c r="D45" s="23">
        <f t="shared" si="28"/>
        <v>2234</v>
      </c>
      <c r="E45" s="23">
        <v>2310</v>
      </c>
      <c r="F45" s="23"/>
      <c r="G45" s="23"/>
      <c r="H45" s="23"/>
      <c r="I45" s="23"/>
      <c r="J45" s="23"/>
      <c r="K45" s="23"/>
      <c r="L45" s="23"/>
      <c r="M45" s="23"/>
      <c r="N45" s="23">
        <v>4510</v>
      </c>
      <c r="O45" s="23">
        <v>4595.3</v>
      </c>
      <c r="P45" s="23">
        <v>5344.7</v>
      </c>
      <c r="Q45" s="23">
        <v>3467</v>
      </c>
      <c r="R45" s="23">
        <v>4108.5</v>
      </c>
      <c r="S45" s="23">
        <v>3590.6</v>
      </c>
      <c r="T45" s="23">
        <v>4577</v>
      </c>
      <c r="U45" s="23">
        <v>5153</v>
      </c>
      <c r="V45" s="23">
        <v>4639</v>
      </c>
      <c r="W45" s="23">
        <v>4513</v>
      </c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</row>
    <row r="46" spans="2:66" x14ac:dyDescent="0.25">
      <c r="B46" t="s">
        <v>44</v>
      </c>
      <c r="C46" s="23">
        <f t="shared" ref="C46" si="35">+C44-C45</f>
        <v>7730</v>
      </c>
      <c r="D46" s="23">
        <f>+D44-D45</f>
        <v>7197</v>
      </c>
      <c r="E46" s="23">
        <f t="shared" ref="E46:H46" si="36">+E44-E45</f>
        <v>6708</v>
      </c>
      <c r="F46" s="23">
        <f t="shared" si="36"/>
        <v>0</v>
      </c>
      <c r="G46" s="23">
        <f t="shared" si="36"/>
        <v>0</v>
      </c>
      <c r="H46" s="23">
        <f t="shared" si="36"/>
        <v>0</v>
      </c>
      <c r="I46" s="23"/>
      <c r="J46" s="23"/>
      <c r="K46" s="23">
        <f t="shared" ref="K46:O46" si="37">K44-K45</f>
        <v>0</v>
      </c>
      <c r="L46" s="23">
        <f t="shared" si="37"/>
        <v>0</v>
      </c>
      <c r="M46" s="23">
        <f t="shared" si="37"/>
        <v>0</v>
      </c>
      <c r="N46" s="23">
        <f t="shared" si="37"/>
        <v>7074.2000000000007</v>
      </c>
      <c r="O46" s="23">
        <f t="shared" si="37"/>
        <v>7789.5999999999995</v>
      </c>
      <c r="P46" s="23">
        <f t="shared" ref="P46:T46" si="38">P44-P45</f>
        <v>10133</v>
      </c>
      <c r="Q46" s="23">
        <f t="shared" si="38"/>
        <v>10198.200000000001</v>
      </c>
      <c r="R46" s="23">
        <f t="shared" si="38"/>
        <v>11775</v>
      </c>
      <c r="S46" s="23">
        <f t="shared" si="38"/>
        <v>9509.5999999999985</v>
      </c>
      <c r="T46" s="23">
        <f t="shared" si="38"/>
        <v>13068</v>
      </c>
      <c r="U46" s="23">
        <f>U44-U45</f>
        <v>15198</v>
      </c>
      <c r="V46" s="23">
        <f>V44-V45</f>
        <v>14927</v>
      </c>
      <c r="W46" s="23">
        <f>W44-W45</f>
        <v>12681</v>
      </c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</row>
    <row r="47" spans="2:66" x14ac:dyDescent="0.25">
      <c r="B47" t="s">
        <v>328</v>
      </c>
      <c r="C47" s="23">
        <v>1505</v>
      </c>
      <c r="D47" s="23">
        <f t="shared" si="28"/>
        <v>1477</v>
      </c>
      <c r="E47" s="23">
        <v>1547</v>
      </c>
      <c r="F47" s="23"/>
      <c r="G47" s="23"/>
      <c r="H47" s="23"/>
      <c r="I47" s="23"/>
      <c r="J47" s="23"/>
      <c r="K47" s="23"/>
      <c r="L47" s="23"/>
      <c r="M47" s="23"/>
      <c r="N47" s="23">
        <v>1820.6</v>
      </c>
      <c r="O47" s="23">
        <v>1983.7</v>
      </c>
      <c r="P47" s="23">
        <v>2443.6</v>
      </c>
      <c r="Q47" s="23">
        <v>2080.4</v>
      </c>
      <c r="R47" s="23">
        <v>2290.8000000000002</v>
      </c>
      <c r="S47" s="23">
        <v>2070</v>
      </c>
      <c r="T47" s="23">
        <v>2444</v>
      </c>
      <c r="U47" s="23">
        <v>2840</v>
      </c>
      <c r="V47" s="23">
        <v>2982</v>
      </c>
      <c r="W47" s="23">
        <v>3017</v>
      </c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</row>
    <row r="48" spans="2:66" x14ac:dyDescent="0.25">
      <c r="B48" t="s">
        <v>329</v>
      </c>
      <c r="C48" s="23">
        <v>3486</v>
      </c>
      <c r="D48" s="23">
        <f t="shared" si="28"/>
        <v>3713</v>
      </c>
      <c r="E48" s="23">
        <v>3579</v>
      </c>
      <c r="F48" s="23"/>
      <c r="G48" s="23"/>
      <c r="H48" s="23"/>
      <c r="I48" s="23"/>
      <c r="J48" s="23"/>
      <c r="K48" s="23"/>
      <c r="L48" s="23"/>
      <c r="M48" s="23"/>
      <c r="N48" s="23">
        <v>3606.9</v>
      </c>
      <c r="O48" s="23">
        <v>3919.7</v>
      </c>
      <c r="P48" s="23">
        <v>4741.3999999999996</v>
      </c>
      <c r="Q48" s="23">
        <v>4174</v>
      </c>
      <c r="R48" s="23">
        <v>4705.8999999999996</v>
      </c>
      <c r="S48" s="23">
        <v>4304.3999999999996</v>
      </c>
      <c r="T48" s="23">
        <v>5607</v>
      </c>
      <c r="U48" s="23">
        <v>6779</v>
      </c>
      <c r="V48" s="23">
        <v>7199</v>
      </c>
      <c r="W48" s="23">
        <v>7110</v>
      </c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</row>
    <row r="49" spans="2:66" x14ac:dyDescent="0.25">
      <c r="B49" t="s">
        <v>330</v>
      </c>
      <c r="C49" s="23">
        <f t="shared" ref="C49" si="39">+SUM(C47:C48)</f>
        <v>4991</v>
      </c>
      <c r="D49" s="23">
        <f>+SUM(D47:D48)</f>
        <v>5190</v>
      </c>
      <c r="E49" s="23">
        <f t="shared" ref="E49:H49" si="40">+SUM(E47:E48)</f>
        <v>5126</v>
      </c>
      <c r="F49" s="23">
        <f t="shared" si="40"/>
        <v>0</v>
      </c>
      <c r="G49" s="23">
        <f t="shared" si="40"/>
        <v>0</v>
      </c>
      <c r="H49" s="23">
        <f t="shared" si="40"/>
        <v>0</v>
      </c>
      <c r="I49" s="23"/>
      <c r="J49" s="23"/>
      <c r="K49" s="23"/>
      <c r="L49" s="23"/>
      <c r="M49" s="23"/>
      <c r="N49" s="23">
        <f t="shared" ref="N49:T49" si="41">SUM(N47:N48)</f>
        <v>5427.5</v>
      </c>
      <c r="O49" s="23">
        <f t="shared" si="41"/>
        <v>5903.4</v>
      </c>
      <c r="P49" s="23">
        <f t="shared" si="41"/>
        <v>7185</v>
      </c>
      <c r="Q49" s="23">
        <f t="shared" si="41"/>
        <v>6254.4</v>
      </c>
      <c r="R49" s="23">
        <f t="shared" si="41"/>
        <v>6996.7</v>
      </c>
      <c r="S49" s="23">
        <f t="shared" si="41"/>
        <v>6374.4</v>
      </c>
      <c r="T49" s="23">
        <f t="shared" si="41"/>
        <v>8051</v>
      </c>
      <c r="U49" s="23">
        <f>SUM(U47:U48)</f>
        <v>9619</v>
      </c>
      <c r="V49" s="23">
        <f>SUM(V47:V48)</f>
        <v>10181</v>
      </c>
      <c r="W49" s="23">
        <f>SUM(W47:W48)</f>
        <v>10127</v>
      </c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</row>
    <row r="50" spans="2:66" x14ac:dyDescent="0.25">
      <c r="B50" s="12" t="s">
        <v>327</v>
      </c>
      <c r="C50" s="23">
        <v>1810</v>
      </c>
      <c r="D50" s="23">
        <f t="shared" si="28"/>
        <v>1454</v>
      </c>
      <c r="E50" s="23">
        <v>1007</v>
      </c>
      <c r="F50" s="23"/>
      <c r="G50" s="23"/>
      <c r="H50" s="23"/>
      <c r="I50" s="23"/>
      <c r="J50" s="23"/>
      <c r="K50" s="23"/>
      <c r="L50" s="23"/>
      <c r="M50" s="23"/>
      <c r="N50" s="23"/>
      <c r="O50" s="23">
        <v>1256</v>
      </c>
      <c r="P50" s="23">
        <v>2124</v>
      </c>
      <c r="Q50" s="23">
        <v>3275</v>
      </c>
      <c r="R50" s="23">
        <v>3946.9</v>
      </c>
      <c r="S50" s="23">
        <v>2614.5</v>
      </c>
      <c r="T50" s="23">
        <v>3715</v>
      </c>
      <c r="U50" s="23">
        <v>3732</v>
      </c>
      <c r="V50" s="23">
        <v>3264</v>
      </c>
      <c r="W50" s="23">
        <v>1605</v>
      </c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</row>
    <row r="51" spans="2:66" x14ac:dyDescent="0.25">
      <c r="B51" s="12" t="s">
        <v>326</v>
      </c>
      <c r="C51" s="23">
        <v>481</v>
      </c>
      <c r="D51" s="23">
        <f t="shared" si="28"/>
        <v>488</v>
      </c>
      <c r="E51" s="23">
        <v>316</v>
      </c>
      <c r="F51" s="23"/>
      <c r="G51" s="23"/>
      <c r="H51" s="23"/>
      <c r="I51" s="23"/>
      <c r="J51" s="23"/>
      <c r="K51" s="23"/>
      <c r="L51" s="23"/>
      <c r="M51" s="23"/>
      <c r="N51" s="23"/>
      <c r="O51" s="23">
        <v>269</v>
      </c>
      <c r="P51" s="23">
        <v>377</v>
      </c>
      <c r="Q51" s="23">
        <v>459</v>
      </c>
      <c r="R51" s="23">
        <v>562.20000000000005</v>
      </c>
      <c r="S51" s="23">
        <v>400</v>
      </c>
      <c r="T51" s="23">
        <v>715</v>
      </c>
      <c r="U51" s="23">
        <v>1019</v>
      </c>
      <c r="V51" s="23">
        <v>969</v>
      </c>
      <c r="W51" s="23">
        <v>593</v>
      </c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</row>
    <row r="52" spans="2:66" x14ac:dyDescent="0.25">
      <c r="B52" s="12" t="s">
        <v>13</v>
      </c>
      <c r="C52" s="23">
        <v>169</v>
      </c>
      <c r="D52" s="23">
        <f t="shared" si="28"/>
        <v>143</v>
      </c>
      <c r="E52" s="23">
        <v>121</v>
      </c>
      <c r="F52" s="23"/>
      <c r="G52" s="23"/>
      <c r="H52" s="23"/>
      <c r="I52" s="23"/>
      <c r="J52" s="23"/>
      <c r="K52" s="23"/>
      <c r="L52" s="23"/>
      <c r="M52" s="23"/>
      <c r="N52" s="23"/>
      <c r="O52" s="23">
        <v>297</v>
      </c>
      <c r="P52" s="23">
        <v>294</v>
      </c>
      <c r="Q52" s="23">
        <v>242</v>
      </c>
      <c r="R52" s="23">
        <v>215.2</v>
      </c>
      <c r="S52" s="23">
        <v>172</v>
      </c>
      <c r="T52" s="23">
        <v>286</v>
      </c>
      <c r="U52" s="23">
        <v>366</v>
      </c>
      <c r="V52" s="23">
        <v>312</v>
      </c>
      <c r="W52" s="23">
        <v>255</v>
      </c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</row>
    <row r="53" spans="2:66" x14ac:dyDescent="0.25">
      <c r="B53" s="12" t="s">
        <v>32</v>
      </c>
      <c r="C53" s="23">
        <v>224</v>
      </c>
      <c r="D53" s="23">
        <f t="shared" si="28"/>
        <v>-12</v>
      </c>
      <c r="E53" s="23">
        <v>44</v>
      </c>
      <c r="F53" s="23"/>
      <c r="G53" s="23"/>
      <c r="H53" s="23"/>
      <c r="I53" s="23"/>
      <c r="J53" s="23"/>
      <c r="K53" s="23"/>
      <c r="L53" s="23"/>
      <c r="M53" s="23"/>
      <c r="N53" s="23"/>
      <c r="O53" s="23">
        <v>114</v>
      </c>
      <c r="P53" s="23">
        <v>100</v>
      </c>
      <c r="Q53" s="23">
        <v>215</v>
      </c>
      <c r="R53" s="23">
        <v>317.7</v>
      </c>
      <c r="S53" s="23">
        <v>180.6</v>
      </c>
      <c r="T53" s="23">
        <v>459</v>
      </c>
      <c r="U53" s="23">
        <v>558</v>
      </c>
      <c r="V53" s="23">
        <v>212</v>
      </c>
      <c r="W53" s="23">
        <v>-9</v>
      </c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</row>
    <row r="54" spans="2:66" x14ac:dyDescent="0.25">
      <c r="B54" s="12" t="s">
        <v>325</v>
      </c>
      <c r="C54" s="23">
        <v>63</v>
      </c>
      <c r="D54" s="23">
        <f t="shared" si="28"/>
        <v>-70</v>
      </c>
      <c r="E54" s="23">
        <v>101</v>
      </c>
      <c r="F54" s="23"/>
      <c r="G54" s="23"/>
      <c r="H54" s="23"/>
      <c r="I54" s="23"/>
      <c r="J54" s="23"/>
      <c r="K54" s="23"/>
      <c r="L54" s="23"/>
      <c r="M54" s="23"/>
      <c r="N54" s="23"/>
      <c r="O54" s="23">
        <v>123</v>
      </c>
      <c r="P54" s="23">
        <v>-204.3</v>
      </c>
      <c r="Q54" s="23">
        <v>-247.2</v>
      </c>
      <c r="R54" s="23">
        <v>-263.7</v>
      </c>
      <c r="S54" s="23">
        <v>-231.9</v>
      </c>
      <c r="T54" s="23">
        <v>-164</v>
      </c>
      <c r="U54" s="23">
        <v>-88</v>
      </c>
      <c r="V54" s="23">
        <v>-7</v>
      </c>
      <c r="W54" s="23">
        <v>112</v>
      </c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</row>
    <row r="55" spans="2:66" x14ac:dyDescent="0.25">
      <c r="B55" s="12" t="s">
        <v>33</v>
      </c>
      <c r="C55" s="23">
        <v>-8</v>
      </c>
      <c r="D55" s="23">
        <f t="shared" si="28"/>
        <v>4</v>
      </c>
      <c r="E55" s="23">
        <v>-7</v>
      </c>
      <c r="F55" s="23"/>
      <c r="G55" s="23"/>
      <c r="H55" s="23"/>
      <c r="I55" s="23"/>
      <c r="J55" s="23"/>
      <c r="K55" s="23"/>
      <c r="L55" s="23"/>
      <c r="M55" s="23"/>
      <c r="N55" s="23"/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6</v>
      </c>
      <c r="U55" s="23">
        <v>2</v>
      </c>
      <c r="V55" s="23">
        <f>V56-SUM(V50:V54)</f>
        <v>-4</v>
      </c>
      <c r="W55" s="23">
        <v>-2</v>
      </c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</row>
    <row r="56" spans="2:66" x14ac:dyDescent="0.25">
      <c r="B56" t="s">
        <v>45</v>
      </c>
      <c r="C56" s="23">
        <f t="shared" ref="C56:D56" si="42">+SUM(C50:C55)</f>
        <v>2739</v>
      </c>
      <c r="D56" s="23">
        <f t="shared" si="42"/>
        <v>2007</v>
      </c>
      <c r="E56" s="23">
        <f>+SUM(E50:E55)</f>
        <v>1582</v>
      </c>
      <c r="F56" s="23">
        <f t="shared" ref="F56:H56" si="43">+SUM(F50:F55)</f>
        <v>0</v>
      </c>
      <c r="G56" s="23">
        <f t="shared" si="43"/>
        <v>0</v>
      </c>
      <c r="H56" s="23">
        <f t="shared" si="43"/>
        <v>0</v>
      </c>
      <c r="I56" s="23"/>
      <c r="J56" s="23"/>
      <c r="K56" s="23"/>
      <c r="L56" s="23"/>
      <c r="M56" s="23"/>
      <c r="N56" s="23">
        <f>+N46-N49</f>
        <v>1646.7000000000007</v>
      </c>
      <c r="O56" s="23">
        <f>+O46-O49</f>
        <v>1886.1999999999998</v>
      </c>
      <c r="P56" s="23">
        <v>2948</v>
      </c>
      <c r="Q56" s="23">
        <v>3943.8</v>
      </c>
      <c r="R56" s="23">
        <v>4778.3</v>
      </c>
      <c r="S56" s="23">
        <v>3135.2</v>
      </c>
      <c r="T56" s="23">
        <v>5017</v>
      </c>
      <c r="U56" s="23">
        <v>5589</v>
      </c>
      <c r="V56" s="23">
        <f>V46-V49</f>
        <v>4746</v>
      </c>
      <c r="W56" s="23">
        <f>W46-W49</f>
        <v>2554</v>
      </c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</row>
    <row r="57" spans="2:66" x14ac:dyDescent="0.25">
      <c r="B57" t="s">
        <v>331</v>
      </c>
      <c r="C57" s="23">
        <v>0</v>
      </c>
      <c r="D57" s="23">
        <f t="shared" si="28"/>
        <v>103</v>
      </c>
      <c r="E57" s="23">
        <v>13</v>
      </c>
      <c r="F57" s="23"/>
      <c r="G57" s="23"/>
      <c r="H57" s="23"/>
      <c r="I57" s="23"/>
      <c r="J57" s="23"/>
      <c r="K57" s="23"/>
      <c r="L57" s="23"/>
      <c r="M57" s="23"/>
      <c r="N57" s="23">
        <v>393.5</v>
      </c>
      <c r="O57" s="23">
        <v>506</v>
      </c>
      <c r="P57" s="23">
        <v>241.7</v>
      </c>
      <c r="Q57" s="23">
        <v>222.4</v>
      </c>
      <c r="R57" s="23">
        <v>168.5</v>
      </c>
      <c r="S57" s="23">
        <v>-163</v>
      </c>
      <c r="T57" s="23">
        <v>220</v>
      </c>
      <c r="U57" s="23">
        <v>194</v>
      </c>
      <c r="V57" s="23">
        <v>103</v>
      </c>
      <c r="W57" s="23">
        <v>242</v>
      </c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</row>
    <row r="58" spans="2:66" x14ac:dyDescent="0.25">
      <c r="B58" t="s">
        <v>46</v>
      </c>
      <c r="C58" s="23">
        <f>+C56-C57</f>
        <v>2739</v>
      </c>
      <c r="D58" s="23">
        <f t="shared" ref="D58:H58" si="44">+D56-D57</f>
        <v>1904</v>
      </c>
      <c r="E58" s="23">
        <f t="shared" si="44"/>
        <v>1569</v>
      </c>
      <c r="F58" s="23">
        <f t="shared" si="44"/>
        <v>0</v>
      </c>
      <c r="G58" s="23">
        <f t="shared" si="44"/>
        <v>0</v>
      </c>
      <c r="H58" s="23">
        <f t="shared" si="44"/>
        <v>0</v>
      </c>
      <c r="I58" s="23"/>
      <c r="J58" s="23"/>
      <c r="K58" s="23"/>
      <c r="L58" s="23"/>
      <c r="M58" s="23"/>
      <c r="N58" s="23">
        <f>+N56-N57</f>
        <v>1253.2000000000007</v>
      </c>
      <c r="O58" s="23">
        <f>+O56-O57</f>
        <v>1380.1999999999998</v>
      </c>
      <c r="P58" s="23">
        <f>+P56-P57</f>
        <v>2706.3</v>
      </c>
      <c r="Q58" s="23">
        <v>3721.4</v>
      </c>
      <c r="R58" s="23">
        <v>4609.8</v>
      </c>
      <c r="S58" s="23">
        <v>3298.2</v>
      </c>
      <c r="T58" s="23">
        <v>4797</v>
      </c>
      <c r="U58" s="23">
        <v>5395</v>
      </c>
      <c r="V58" s="23">
        <f>V56-V57</f>
        <v>4643</v>
      </c>
      <c r="W58" s="23">
        <f>W56-W57</f>
        <v>2312</v>
      </c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</row>
    <row r="59" spans="2:66" x14ac:dyDescent="0.25">
      <c r="B59" t="s">
        <v>47</v>
      </c>
      <c r="C59" s="23">
        <v>-204</v>
      </c>
      <c r="D59" s="23">
        <f t="shared" si="28"/>
        <v>-206</v>
      </c>
      <c r="E59" s="23">
        <v>-288</v>
      </c>
      <c r="F59" s="23"/>
      <c r="G59" s="23"/>
      <c r="H59" s="23"/>
      <c r="I59" s="23"/>
      <c r="J59" s="23"/>
      <c r="K59" s="23"/>
      <c r="L59" s="23"/>
      <c r="M59" s="23"/>
      <c r="N59" s="23">
        <v>-249.1</v>
      </c>
      <c r="O59" s="23">
        <v>-201.8</v>
      </c>
      <c r="P59" s="23">
        <v>-242.6</v>
      </c>
      <c r="Q59" s="23">
        <v>-207.3</v>
      </c>
      <c r="R59" s="23">
        <v>-309.5</v>
      </c>
      <c r="S59" s="23">
        <v>-341.7</v>
      </c>
      <c r="T59" s="23">
        <v>-273</v>
      </c>
      <c r="U59" s="23">
        <v>-260</v>
      </c>
      <c r="V59" s="23">
        <v>-410</v>
      </c>
      <c r="W59" s="23">
        <v>-614</v>
      </c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</row>
    <row r="60" spans="2:66" x14ac:dyDescent="0.25">
      <c r="B60" t="s">
        <v>48</v>
      </c>
      <c r="C60" s="23">
        <f t="shared" ref="C60:D60" si="45">+C58+C59</f>
        <v>2535</v>
      </c>
      <c r="D60" s="23">
        <f t="shared" si="45"/>
        <v>1698</v>
      </c>
      <c r="E60" s="23">
        <f>+E58+E59</f>
        <v>1281</v>
      </c>
      <c r="F60" s="23">
        <f t="shared" ref="F60:H60" si="46">+F58+F59</f>
        <v>0</v>
      </c>
      <c r="G60" s="23">
        <f t="shared" si="46"/>
        <v>0</v>
      </c>
      <c r="H60" s="23">
        <f t="shared" si="46"/>
        <v>0</v>
      </c>
      <c r="I60" s="23"/>
      <c r="J60" s="23"/>
      <c r="K60" s="23"/>
      <c r="L60" s="23"/>
      <c r="M60" s="23"/>
      <c r="N60" s="23">
        <f>+N58+N59</f>
        <v>1004.1000000000007</v>
      </c>
      <c r="O60" s="23">
        <f>+O58+O59</f>
        <v>1178.3999999999999</v>
      </c>
      <c r="P60" s="23">
        <f>+P58+P59</f>
        <v>2463.7000000000003</v>
      </c>
      <c r="Q60" s="23">
        <v>3514.1</v>
      </c>
      <c r="R60" s="23">
        <v>4300.3</v>
      </c>
      <c r="S60" s="23">
        <v>2956.5</v>
      </c>
      <c r="T60" s="23">
        <v>4524</v>
      </c>
      <c r="U60" s="23">
        <v>5135</v>
      </c>
      <c r="V60" s="23">
        <f>V58+V59</f>
        <v>4233</v>
      </c>
      <c r="W60" s="23">
        <f>W58+W59</f>
        <v>1698</v>
      </c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</row>
    <row r="61" spans="2:66" x14ac:dyDescent="0.25">
      <c r="B61" t="s">
        <v>49</v>
      </c>
      <c r="C61" s="23">
        <v>692</v>
      </c>
      <c r="D61" s="23">
        <f t="shared" si="28"/>
        <v>471</v>
      </c>
      <c r="E61" s="23">
        <v>345</v>
      </c>
      <c r="F61" s="23"/>
      <c r="G61" s="23"/>
      <c r="H61" s="23"/>
      <c r="I61" s="23"/>
      <c r="J61" s="23"/>
      <c r="K61" s="23"/>
      <c r="L61" s="23"/>
      <c r="M61" s="23"/>
      <c r="N61" s="23">
        <v>321.7</v>
      </c>
      <c r="O61" s="23">
        <v>296.10000000000002</v>
      </c>
      <c r="P61" s="23">
        <v>591</v>
      </c>
      <c r="Q61" s="23">
        <v>867.7</v>
      </c>
      <c r="R61" s="23">
        <v>2133.6999999999998</v>
      </c>
      <c r="S61" s="23">
        <v>759.2</v>
      </c>
      <c r="T61" s="23">
        <v>1280.4000000000001</v>
      </c>
      <c r="U61" s="23">
        <v>1420</v>
      </c>
      <c r="V61" s="23">
        <v>1163</v>
      </c>
      <c r="W61" s="23">
        <v>461</v>
      </c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</row>
    <row r="62" spans="2:66" x14ac:dyDescent="0.25">
      <c r="B62" t="s">
        <v>337</v>
      </c>
      <c r="C62" s="23">
        <v>3</v>
      </c>
      <c r="D62" s="23">
        <f t="shared" si="28"/>
        <v>1</v>
      </c>
      <c r="E62" s="23">
        <v>4</v>
      </c>
      <c r="F62" s="23"/>
      <c r="G62" s="23"/>
      <c r="H62" s="23"/>
      <c r="I62" s="23"/>
      <c r="J62" s="23"/>
      <c r="K62" s="23"/>
      <c r="L62" s="23"/>
      <c r="M62" s="23"/>
      <c r="N62" s="23">
        <v>-2.2000000000000002</v>
      </c>
      <c r="O62" s="23">
        <v>-2.2000000000000002</v>
      </c>
      <c r="P62" s="23">
        <v>-2</v>
      </c>
      <c r="Q62" s="23">
        <v>11.9</v>
      </c>
      <c r="R62" s="23">
        <v>41.8</v>
      </c>
      <c r="S62" s="23">
        <v>-7.6</v>
      </c>
      <c r="T62" s="23">
        <v>1</v>
      </c>
      <c r="U62" s="23">
        <v>2</v>
      </c>
      <c r="V62" s="23">
        <v>4</v>
      </c>
      <c r="W62" s="23">
        <v>-10</v>
      </c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</row>
    <row r="63" spans="2:66" x14ac:dyDescent="0.25">
      <c r="B63" t="s">
        <v>332</v>
      </c>
      <c r="C63" s="23">
        <v>0</v>
      </c>
      <c r="D63" s="23">
        <f t="shared" si="28"/>
        <v>0</v>
      </c>
      <c r="E63" s="23">
        <v>0</v>
      </c>
      <c r="F63" s="23"/>
      <c r="G63" s="23"/>
      <c r="H63" s="23"/>
      <c r="I63" s="23"/>
      <c r="J63" s="23"/>
      <c r="K63" s="23"/>
      <c r="L63" s="23"/>
      <c r="M63" s="23"/>
      <c r="N63" s="23">
        <v>41</v>
      </c>
      <c r="O63" s="23">
        <v>-11.6</v>
      </c>
      <c r="P63" s="23">
        <v>-5.6</v>
      </c>
      <c r="Q63" s="23">
        <v>1095.2</v>
      </c>
      <c r="R63" s="23">
        <v>125.4</v>
      </c>
      <c r="S63" s="23">
        <v>-9.8000000000000007</v>
      </c>
      <c r="T63" s="23">
        <v>11</v>
      </c>
      <c r="U63" s="23">
        <v>1</v>
      </c>
      <c r="V63" s="23">
        <v>0</v>
      </c>
      <c r="W63" s="23">
        <v>0</v>
      </c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</row>
    <row r="64" spans="2:66" x14ac:dyDescent="0.25">
      <c r="B64" t="s">
        <v>333</v>
      </c>
      <c r="C64" s="23">
        <f t="shared" ref="C64:D64" si="47">+C60-C61+C62+C63</f>
        <v>1846</v>
      </c>
      <c r="D64" s="23">
        <f t="shared" si="47"/>
        <v>1228</v>
      </c>
      <c r="E64" s="23">
        <f>+E60-E61+E62+E63</f>
        <v>940</v>
      </c>
      <c r="F64" s="23">
        <f t="shared" ref="F64:H64" si="48">+F60-F61+F62+F63</f>
        <v>0</v>
      </c>
      <c r="G64" s="23">
        <f t="shared" si="48"/>
        <v>0</v>
      </c>
      <c r="H64" s="23">
        <f t="shared" si="48"/>
        <v>0</v>
      </c>
      <c r="I64" s="23"/>
      <c r="J64" s="23"/>
      <c r="K64" s="23"/>
      <c r="L64" s="23"/>
      <c r="M64" s="23"/>
      <c r="N64" s="23">
        <f>+N60-N61+N62+N63</f>
        <v>721.20000000000073</v>
      </c>
      <c r="O64" s="23">
        <f>+O60-O61+O62+O63</f>
        <v>868.49999999999977</v>
      </c>
      <c r="P64" s="23">
        <v>1865.1000000000004</v>
      </c>
      <c r="Q64" s="23">
        <v>3753.5</v>
      </c>
      <c r="R64" s="23">
        <v>2333.8000000000006</v>
      </c>
      <c r="S64" s="23">
        <v>2179.9</v>
      </c>
      <c r="T64" s="23">
        <v>3256</v>
      </c>
      <c r="U64" s="23">
        <v>3718</v>
      </c>
      <c r="V64" s="23">
        <f>+V60-V61+V62+V63</f>
        <v>3074</v>
      </c>
      <c r="W64" s="23">
        <f>+W60-W61+W62+W63</f>
        <v>1227</v>
      </c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</row>
    <row r="65" spans="2:66" x14ac:dyDescent="0.25">
      <c r="B65" t="s">
        <v>334</v>
      </c>
      <c r="C65" s="23">
        <v>61</v>
      </c>
      <c r="D65" s="23">
        <f t="shared" si="28"/>
        <v>30</v>
      </c>
      <c r="E65" s="23">
        <v>62</v>
      </c>
      <c r="F65" s="23"/>
      <c r="G65" s="23"/>
      <c r="H65" s="23"/>
      <c r="I65" s="23"/>
      <c r="J65" s="23"/>
      <c r="K65" s="23"/>
      <c r="L65" s="23"/>
      <c r="M65" s="23"/>
      <c r="N65" s="23">
        <v>25.2</v>
      </c>
      <c r="O65" s="23">
        <v>55</v>
      </c>
      <c r="P65" s="23">
        <v>79.5</v>
      </c>
      <c r="Q65" s="23">
        <v>38.6</v>
      </c>
      <c r="R65" s="23">
        <v>25.2</v>
      </c>
      <c r="S65" s="23">
        <v>29.5</v>
      </c>
      <c r="T65" s="23">
        <v>80.2</v>
      </c>
      <c r="U65" s="23">
        <v>104</v>
      </c>
      <c r="V65" s="23">
        <v>91</v>
      </c>
      <c r="W65" s="23">
        <v>94</v>
      </c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</row>
    <row r="66" spans="2:66" x14ac:dyDescent="0.25">
      <c r="B66" t="s">
        <v>335</v>
      </c>
      <c r="C66" s="23">
        <f t="shared" ref="C66:D66" si="49">+C64-C65</f>
        <v>1785</v>
      </c>
      <c r="D66" s="23">
        <f t="shared" si="49"/>
        <v>1198</v>
      </c>
      <c r="E66" s="23">
        <f>+E64-E65</f>
        <v>878</v>
      </c>
      <c r="F66" s="23">
        <f t="shared" ref="F66:H66" si="50">+F64-F65</f>
        <v>0</v>
      </c>
      <c r="G66" s="23">
        <f t="shared" si="50"/>
        <v>0</v>
      </c>
      <c r="H66" s="23">
        <f t="shared" si="50"/>
        <v>0</v>
      </c>
      <c r="I66" s="23"/>
      <c r="J66" s="23"/>
      <c r="K66" s="23"/>
      <c r="L66" s="23"/>
      <c r="M66" s="23"/>
      <c r="N66" s="23">
        <f>+N64-N65</f>
        <v>696.00000000000068</v>
      </c>
      <c r="O66" s="23">
        <f>+O64-O65</f>
        <v>813.49999999999977</v>
      </c>
      <c r="P66" s="23">
        <f t="shared" ref="P66:W66" si="51">P64-P65</f>
        <v>1785.6000000000004</v>
      </c>
      <c r="Q66" s="23">
        <f t="shared" si="51"/>
        <v>3714.9</v>
      </c>
      <c r="R66" s="23">
        <f t="shared" si="51"/>
        <v>2308.6000000000008</v>
      </c>
      <c r="S66" s="23">
        <f t="shared" si="51"/>
        <v>2150.4</v>
      </c>
      <c r="T66" s="23">
        <f t="shared" si="51"/>
        <v>3175.8</v>
      </c>
      <c r="U66" s="23">
        <f t="shared" si="51"/>
        <v>3614</v>
      </c>
      <c r="V66" s="23">
        <f t="shared" si="51"/>
        <v>2983</v>
      </c>
      <c r="W66" s="23">
        <f t="shared" si="51"/>
        <v>1133</v>
      </c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</row>
    <row r="67" spans="2:66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</row>
    <row r="68" spans="2:66" x14ac:dyDescent="0.25">
      <c r="B68" t="s">
        <v>51</v>
      </c>
      <c r="C68" s="89">
        <v>14.6</v>
      </c>
      <c r="D68" s="23">
        <f>+U68-C68</f>
        <v>14.930262104363736</v>
      </c>
      <c r="E68" s="89">
        <v>7.16</v>
      </c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4">
        <f t="shared" ref="P68:U68" si="52">P66/P69</f>
        <v>14.171483570281477</v>
      </c>
      <c r="Q68" s="24">
        <f t="shared" si="52"/>
        <v>29.493623799122673</v>
      </c>
      <c r="R68" s="24">
        <f t="shared" si="52"/>
        <v>18.395399999391234</v>
      </c>
      <c r="S68" s="24">
        <f>S66/S69</f>
        <v>17.201556219287685</v>
      </c>
      <c r="T68" s="24">
        <f>T66/T69</f>
        <v>25.491130683028981</v>
      </c>
      <c r="U68" s="24">
        <f t="shared" si="52"/>
        <v>29.530262104363736</v>
      </c>
      <c r="V68" s="24">
        <f>V66/V69</f>
        <v>24.381573206339691</v>
      </c>
      <c r="W68" s="24">
        <f>W66/W69</f>
        <v>9.2401093131844689</v>
      </c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</row>
    <row r="69" spans="2:66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4">
        <v>125.999511</v>
      </c>
      <c r="Q69" s="24">
        <v>125.95603800000001</v>
      </c>
      <c r="R69" s="24">
        <v>125.498766</v>
      </c>
      <c r="S69" s="24">
        <v>125.011945</v>
      </c>
      <c r="T69" s="24">
        <v>124.584509</v>
      </c>
      <c r="U69" s="24">
        <v>122.38293</v>
      </c>
      <c r="V69" s="24">
        <v>122.34649400000001</v>
      </c>
      <c r="W69" s="13">
        <v>122.617597</v>
      </c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</row>
    <row r="70" spans="2:66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</row>
    <row r="71" spans="2:66" x14ac:dyDescent="0.25">
      <c r="B71" t="s">
        <v>470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18">
        <f>+R8/Q8-1</f>
        <v>6.336828658114646E-2</v>
      </c>
      <c r="S71" s="18">
        <f t="shared" ref="S71:AB71" si="53">+S8/R8-1</f>
        <v>-0.15369791014891754</v>
      </c>
      <c r="T71" s="18">
        <f t="shared" si="53"/>
        <v>0.13021233808481703</v>
      </c>
      <c r="U71" s="18">
        <f t="shared" si="53"/>
        <v>6.214511866446859E-2</v>
      </c>
      <c r="V71" s="18">
        <f t="shared" si="53"/>
        <v>0.11921068190776518</v>
      </c>
      <c r="W71" s="18">
        <f t="shared" si="53"/>
        <v>4.3186370539939789E-2</v>
      </c>
      <c r="X71" s="18">
        <f t="shared" si="53"/>
        <v>4.4774544763994673E-2</v>
      </c>
      <c r="Y71" s="18">
        <f t="shared" si="53"/>
        <v>4.2350802787034292E-2</v>
      </c>
      <c r="Z71" s="18">
        <f t="shared" si="53"/>
        <v>4.0339455940479052E-2</v>
      </c>
      <c r="AA71" s="18">
        <f t="shared" si="53"/>
        <v>3.8067568070920377E-2</v>
      </c>
      <c r="AB71" s="18">
        <f t="shared" si="53"/>
        <v>3.6545982991854853E-2</v>
      </c>
      <c r="AC71" s="18"/>
      <c r="AD71" s="18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</row>
    <row r="72" spans="2:66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23"/>
      <c r="L72" s="23"/>
      <c r="M72" s="23"/>
      <c r="N72" s="18" t="e">
        <f t="shared" ref="N72" si="54">N17/M17-1</f>
        <v>#DIV/0!</v>
      </c>
      <c r="O72" s="18">
        <f t="shared" ref="O72" si="55">O17/N17-1</f>
        <v>3.2436708860759556E-2</v>
      </c>
      <c r="P72" s="18">
        <f t="shared" ref="P72" si="56">P17/O17-1</f>
        <v>6.3601532567049812E-2</v>
      </c>
      <c r="Q72" s="18">
        <f t="shared" ref="Q72:V72" si="57">Q17/P17-1</f>
        <v>-7.9250720461095048E-2</v>
      </c>
      <c r="R72" s="18">
        <f t="shared" si="57"/>
        <v>8.0594679186228424E-2</v>
      </c>
      <c r="S72" s="18">
        <f t="shared" si="57"/>
        <v>3.7653874004344612E-2</v>
      </c>
      <c r="T72" s="18">
        <f t="shared" si="57"/>
        <v>8.7927424982554125E-2</v>
      </c>
      <c r="U72" s="18">
        <f t="shared" si="57"/>
        <v>6.6709429121231567E-2</v>
      </c>
      <c r="V72" s="18">
        <f t="shared" si="57"/>
        <v>6.4942874323511646E-2</v>
      </c>
      <c r="W72" s="18">
        <f t="shared" ref="W72:AB72" si="58">W17/V17-1</f>
        <v>2.3715415019762931E-2</v>
      </c>
      <c r="X72" s="18">
        <f t="shared" si="58"/>
        <v>4.081632653061229E-2</v>
      </c>
      <c r="Y72" s="18">
        <f t="shared" si="58"/>
        <v>3.5506094329623705E-2</v>
      </c>
      <c r="Z72" s="18">
        <f t="shared" si="58"/>
        <v>3.6847492323439202E-2</v>
      </c>
      <c r="AA72" s="18">
        <f t="shared" si="58"/>
        <v>3.3563672260612076E-2</v>
      </c>
      <c r="AB72" s="18">
        <f t="shared" si="58"/>
        <v>3.2951289398280847E-2</v>
      </c>
      <c r="AC72" s="18"/>
      <c r="AD72" s="18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</row>
    <row r="73" spans="2:66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9">F38/D38-1</f>
        <v>-1</v>
      </c>
      <c r="G73" s="18">
        <f t="shared" si="59"/>
        <v>-1</v>
      </c>
      <c r="H73" s="18" t="e">
        <f t="shared" si="59"/>
        <v>#DIV/0!</v>
      </c>
      <c r="I73" s="23"/>
      <c r="J73" s="23"/>
      <c r="K73" s="23"/>
      <c r="L73" s="23"/>
      <c r="M73" s="23"/>
      <c r="N73" s="18" t="e">
        <f t="shared" ref="N73:N77" si="60">N38/M38-1</f>
        <v>#DIV/0!</v>
      </c>
      <c r="O73" s="18">
        <f t="shared" ref="O73:O77" si="61">O38/N38-1</f>
        <v>0.12321703437660347</v>
      </c>
      <c r="P73" s="18">
        <f t="shared" ref="P73:P77" si="62">P38/O38-1</f>
        <v>0.41858712285590283</v>
      </c>
      <c r="Q73" s="18">
        <f t="shared" ref="Q73:V77" si="63">Q38/P38-1</f>
        <v>0.33392368378682979</v>
      </c>
      <c r="R73" s="18">
        <f t="shared" si="63"/>
        <v>0.16214846107423053</v>
      </c>
      <c r="S73" s="18">
        <f t="shared" si="63"/>
        <v>-0.22722363009430424</v>
      </c>
      <c r="T73" s="18">
        <f t="shared" si="63"/>
        <v>0.30782463779802693</v>
      </c>
      <c r="U73" s="18">
        <f t="shared" si="63"/>
        <v>7.7689857157537734E-2</v>
      </c>
      <c r="V73" s="18">
        <f t="shared" si="63"/>
        <v>-5.8548679317249941E-2</v>
      </c>
      <c r="W73" s="18">
        <f t="shared" ref="W73:AB73" si="64">W38/V38-1</f>
        <v>-0.22515952597994526</v>
      </c>
      <c r="X73" s="18">
        <f t="shared" si="64"/>
        <v>0.30660802638812523</v>
      </c>
      <c r="Y73" s="18">
        <f t="shared" si="64"/>
        <v>4.3315942419244635E-2</v>
      </c>
      <c r="Z73" s="18">
        <f t="shared" si="64"/>
        <v>5.862479327893344E-2</v>
      </c>
      <c r="AA73" s="18">
        <f t="shared" si="64"/>
        <v>3.0517985757677168E-2</v>
      </c>
      <c r="AB73" s="18">
        <f t="shared" si="64"/>
        <v>7.0243219618421504E-2</v>
      </c>
      <c r="AC73" s="18"/>
      <c r="AD73" s="18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</row>
    <row r="74" spans="2:66" x14ac:dyDescent="0.25">
      <c r="B74" s="17" t="s">
        <v>12</v>
      </c>
      <c r="C74" s="23"/>
      <c r="D74" s="23"/>
      <c r="E74" s="18">
        <f t="shared" ref="E74:H74" si="65">E39/C39-1</f>
        <v>-8.5659898477157381E-2</v>
      </c>
      <c r="F74" s="18">
        <f t="shared" si="65"/>
        <v>-1</v>
      </c>
      <c r="G74" s="18">
        <f t="shared" si="65"/>
        <v>-1</v>
      </c>
      <c r="H74" s="18" t="e">
        <f t="shared" si="65"/>
        <v>#DIV/0!</v>
      </c>
      <c r="I74" s="23"/>
      <c r="J74" s="23"/>
      <c r="K74" s="23"/>
      <c r="L74" s="23"/>
      <c r="M74" s="23"/>
      <c r="N74" s="18" t="e">
        <f t="shared" si="60"/>
        <v>#DIV/0!</v>
      </c>
      <c r="O74" s="18">
        <f t="shared" si="61"/>
        <v>0.25328677074774042</v>
      </c>
      <c r="P74" s="18">
        <f t="shared" si="62"/>
        <v>0.2309457465989182</v>
      </c>
      <c r="Q74" s="18">
        <f t="shared" si="63"/>
        <v>0.16111850865512656</v>
      </c>
      <c r="R74" s="18">
        <f t="shared" si="63"/>
        <v>0.17494266055045871</v>
      </c>
      <c r="S74" s="18">
        <f t="shared" si="63"/>
        <v>-0.14869942901761746</v>
      </c>
      <c r="T74" s="18">
        <f t="shared" si="63"/>
        <v>0.44519605595046996</v>
      </c>
      <c r="U74" s="18">
        <f t="shared" si="63"/>
        <v>0.30900436334787784</v>
      </c>
      <c r="V74" s="18">
        <f t="shared" si="63"/>
        <v>-3.6666666666666625E-2</v>
      </c>
      <c r="W74" s="18">
        <f t="shared" ref="W74:AB74" si="66">W39/V39-1</f>
        <v>-9.3740169864737322E-2</v>
      </c>
      <c r="X74" s="18">
        <f t="shared" si="66"/>
        <v>0.22877164925210947</v>
      </c>
      <c r="Y74" s="18">
        <f t="shared" si="66"/>
        <v>8.8677505133124557E-2</v>
      </c>
      <c r="Z74" s="18">
        <f t="shared" si="66"/>
        <v>0.10674410206433937</v>
      </c>
      <c r="AA74" s="18">
        <f t="shared" si="66"/>
        <v>7.9590270793757023E-2</v>
      </c>
      <c r="AB74" s="18">
        <f t="shared" si="66"/>
        <v>0.16083769588454322</v>
      </c>
      <c r="AC74" s="18"/>
      <c r="AD74" s="18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</row>
    <row r="75" spans="2:66" x14ac:dyDescent="0.25">
      <c r="B75" s="17" t="s">
        <v>31</v>
      </c>
      <c r="C75" s="23"/>
      <c r="D75" s="23"/>
      <c r="E75" s="18">
        <f t="shared" ref="E75:H75" si="67">E40/C40-1</f>
        <v>3.6014405762305746E-3</v>
      </c>
      <c r="F75" s="18">
        <f t="shared" si="67"/>
        <v>-1</v>
      </c>
      <c r="G75" s="18">
        <f t="shared" si="67"/>
        <v>-1</v>
      </c>
      <c r="H75" s="18" t="e">
        <f t="shared" si="67"/>
        <v>#DIV/0!</v>
      </c>
      <c r="I75" s="23"/>
      <c r="J75" s="23"/>
      <c r="K75" s="23"/>
      <c r="L75" s="23"/>
      <c r="M75" s="23"/>
      <c r="N75" s="18" t="e">
        <f t="shared" si="60"/>
        <v>#DIV/0!</v>
      </c>
      <c r="O75" s="18">
        <f t="shared" si="61"/>
        <v>-8.7416394462591307E-2</v>
      </c>
      <c r="P75" s="18">
        <f t="shared" si="62"/>
        <v>2.2157831941365114E-3</v>
      </c>
      <c r="Q75" s="18">
        <f t="shared" si="63"/>
        <v>-5.6972789115646294E-2</v>
      </c>
      <c r="R75" s="18">
        <f t="shared" si="63"/>
        <v>5.2840396753832231E-2</v>
      </c>
      <c r="S75" s="18">
        <f t="shared" si="63"/>
        <v>3.6570743405275774E-2</v>
      </c>
      <c r="T75" s="18">
        <f t="shared" si="63"/>
        <v>0.24184086590101628</v>
      </c>
      <c r="U75" s="18">
        <f t="shared" si="63"/>
        <v>0.1576846307385229</v>
      </c>
      <c r="V75" s="18">
        <f t="shared" si="63"/>
        <v>-5.4597701149425304E-2</v>
      </c>
      <c r="W75" s="18">
        <f t="shared" ref="W75:AB75" si="68">W40/V40-1</f>
        <v>4.133738601823711E-2</v>
      </c>
      <c r="X75" s="18">
        <f t="shared" si="68"/>
        <v>-2.7480891042113487E-2</v>
      </c>
      <c r="Y75" s="18">
        <f t="shared" si="68"/>
        <v>-4.7407183008515874E-2</v>
      </c>
      <c r="Z75" s="18">
        <f t="shared" si="68"/>
        <v>0.10674410206433937</v>
      </c>
      <c r="AA75" s="18">
        <f t="shared" si="68"/>
        <v>-7.4636910748208329E-2</v>
      </c>
      <c r="AB75" s="18">
        <f t="shared" si="68"/>
        <v>9.6346712779846522E-2</v>
      </c>
      <c r="AC75" s="18"/>
      <c r="AD75" s="18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</row>
    <row r="76" spans="2:66" x14ac:dyDescent="0.25">
      <c r="B76" s="17" t="s">
        <v>32</v>
      </c>
      <c r="C76" s="23"/>
      <c r="D76" s="23"/>
      <c r="E76" s="18">
        <f t="shared" ref="E76:H76" si="69">E41/C41-1</f>
        <v>-7.4892241379310387E-2</v>
      </c>
      <c r="F76" s="18">
        <f t="shared" si="69"/>
        <v>-1</v>
      </c>
      <c r="G76" s="18">
        <f t="shared" si="69"/>
        <v>-1</v>
      </c>
      <c r="H76" s="18" t="e">
        <f t="shared" si="69"/>
        <v>#DIV/0!</v>
      </c>
      <c r="I76" s="23"/>
      <c r="J76" s="23"/>
      <c r="K76" s="23"/>
      <c r="L76" s="23"/>
      <c r="M76" s="23"/>
      <c r="N76" s="18" t="e">
        <f t="shared" si="60"/>
        <v>#DIV/0!</v>
      </c>
      <c r="O76" s="18">
        <f t="shared" si="61"/>
        <v>-6.0893494935301273E-3</v>
      </c>
      <c r="P76" s="18">
        <f t="shared" si="62"/>
        <v>-4.3298969072164906E-2</v>
      </c>
      <c r="Q76" s="18">
        <f t="shared" si="63"/>
        <v>0.29864532019704426</v>
      </c>
      <c r="R76" s="18">
        <f t="shared" si="63"/>
        <v>0.20317686107159783</v>
      </c>
      <c r="S76" s="18">
        <f t="shared" si="63"/>
        <v>-0.10096551724137925</v>
      </c>
      <c r="T76" s="18">
        <f t="shared" si="63"/>
        <v>0.43996843904791105</v>
      </c>
      <c r="U76" s="18">
        <f t="shared" si="63"/>
        <v>0.17929984779299857</v>
      </c>
      <c r="V76" s="18">
        <f t="shared" si="63"/>
        <v>-9.2927207021166747E-2</v>
      </c>
      <c r="W76" s="18">
        <f t="shared" ref="W76:AB76" si="70">W41/V41-1</f>
        <v>-8.3380762663631147E-2</v>
      </c>
      <c r="X76" s="18">
        <f t="shared" si="70"/>
        <v>0.29301865386903114</v>
      </c>
      <c r="Y76" s="18">
        <f t="shared" si="70"/>
        <v>8.8677505133124557E-2</v>
      </c>
      <c r="Z76" s="18">
        <f t="shared" si="70"/>
        <v>0.1067441020643396</v>
      </c>
      <c r="AA76" s="18">
        <f t="shared" si="70"/>
        <v>7.9590270793757023E-2</v>
      </c>
      <c r="AB76" s="18">
        <f t="shared" si="70"/>
        <v>9.6346712779846522E-2</v>
      </c>
      <c r="AC76" s="18"/>
      <c r="AD76" s="18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</row>
    <row r="77" spans="2:66" x14ac:dyDescent="0.25">
      <c r="B77" s="17" t="s">
        <v>14</v>
      </c>
      <c r="C77" s="23"/>
      <c r="D77" s="23"/>
      <c r="E77" s="18">
        <f t="shared" ref="E77:H77" si="71">E42/C42-1</f>
        <v>0.22784810126582289</v>
      </c>
      <c r="F77" s="18">
        <f t="shared" si="71"/>
        <v>-1</v>
      </c>
      <c r="G77" s="18">
        <f t="shared" si="71"/>
        <v>-1</v>
      </c>
      <c r="H77" s="18" t="e">
        <f t="shared" si="71"/>
        <v>#DIV/0!</v>
      </c>
      <c r="I77" s="23"/>
      <c r="J77" s="23"/>
      <c r="K77" s="23"/>
      <c r="L77" s="23"/>
      <c r="M77" s="23"/>
      <c r="N77" s="18" t="e">
        <f t="shared" si="60"/>
        <v>#DIV/0!</v>
      </c>
      <c r="O77" s="18">
        <f t="shared" si="61"/>
        <v>5.286509451719601E-2</v>
      </c>
      <c r="P77" s="18">
        <f t="shared" si="62"/>
        <v>-0.92284510279657772</v>
      </c>
      <c r="Q77" s="18">
        <f t="shared" si="63"/>
        <v>0.38430983118172768</v>
      </c>
      <c r="R77" s="18">
        <f t="shared" si="63"/>
        <v>0.19775227164036346</v>
      </c>
      <c r="S77" s="18">
        <f t="shared" si="63"/>
        <v>-0.15432222000399276</v>
      </c>
      <c r="T77" s="18">
        <f t="shared" si="63"/>
        <v>0.73040604343720483</v>
      </c>
      <c r="U77" s="18">
        <f t="shared" si="63"/>
        <v>0.55388813096862211</v>
      </c>
      <c r="V77" s="18">
        <f t="shared" si="63"/>
        <v>0.3766461808604038</v>
      </c>
      <c r="W77" s="18">
        <f t="shared" ref="W77:AB77" si="72">W42/V42-1</f>
        <v>0.23788265306122458</v>
      </c>
      <c r="X77" s="18">
        <f t="shared" si="72"/>
        <v>0.3947081425414205</v>
      </c>
      <c r="Y77" s="18">
        <f t="shared" si="72"/>
        <v>0.25616635207668215</v>
      </c>
      <c r="Z77" s="18">
        <f t="shared" si="72"/>
        <v>0.18052704220196203</v>
      </c>
      <c r="AA77" s="18">
        <f t="shared" si="72"/>
        <v>7.9590270793757023E-2</v>
      </c>
      <c r="AB77" s="18">
        <f t="shared" si="72"/>
        <v>9.6346712779846522E-2</v>
      </c>
      <c r="AC77" s="18"/>
      <c r="AD77" s="18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</row>
    <row r="78" spans="2:66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5"/>
      <c r="L78" s="25"/>
      <c r="M78" s="25"/>
      <c r="N78" s="20" t="e">
        <f t="shared" ref="N78" si="73">N44/M44-1</f>
        <v>#DIV/0!</v>
      </c>
      <c r="O78" s="20">
        <f t="shared" ref="O78" si="74">O44/N44-1</f>
        <v>6.9120008287149703E-2</v>
      </c>
      <c r="P78" s="20">
        <f t="shared" ref="P78" si="75">P44/O44-1</f>
        <v>0.24972345356038406</v>
      </c>
      <c r="Q78" s="20">
        <f t="shared" ref="Q78:V78" si="76">Q44/P44-1</f>
        <v>-0.11710396247504473</v>
      </c>
      <c r="R78" s="20">
        <f t="shared" si="76"/>
        <v>0.16233205514738169</v>
      </c>
      <c r="S78" s="20">
        <f t="shared" si="76"/>
        <v>-0.17523215915887558</v>
      </c>
      <c r="T78" s="20">
        <f t="shared" si="76"/>
        <v>0.34692600112975391</v>
      </c>
      <c r="U78" s="20">
        <f t="shared" si="76"/>
        <v>0.15335789175403791</v>
      </c>
      <c r="V78" s="20">
        <f t="shared" si="76"/>
        <v>-3.8573043093705461E-2</v>
      </c>
      <c r="W78" s="20">
        <f t="shared" ref="W78" si="77">W44/V44-1</f>
        <v>-0.12123070632730248</v>
      </c>
      <c r="X78" s="20">
        <f t="shared" ref="X78" si="78">X44/W44-1</f>
        <v>0.21112396304296532</v>
      </c>
      <c r="Y78" s="20">
        <f t="shared" ref="Y78" si="79">Y44/X44-1</f>
        <v>8.8677505133124557E-2</v>
      </c>
      <c r="Z78" s="20">
        <f t="shared" ref="Z78" si="80">Z44/Y44-1</f>
        <v>0.10674410206433937</v>
      </c>
      <c r="AA78" s="20">
        <f t="shared" ref="AA78" si="81">AA44/Z44-1</f>
        <v>7.9590270793757023E-2</v>
      </c>
      <c r="AB78" s="20">
        <f t="shared" ref="AB78" si="82">AB44/AA44-1</f>
        <v>9.6346712779846522E-2</v>
      </c>
      <c r="AC78" s="18"/>
      <c r="AD78" s="18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</row>
    <row r="79" spans="2:66" x14ac:dyDescent="0.25">
      <c r="B79" s="17" t="s">
        <v>55</v>
      </c>
      <c r="C79" s="18">
        <f t="shared" ref="C79:D79" si="83">C46/C44</f>
        <v>0.76270350271336951</v>
      </c>
      <c r="D79" s="18">
        <f t="shared" si="83"/>
        <v>0.7631216201887393</v>
      </c>
      <c r="E79" s="18">
        <f>E46/E44</f>
        <v>0.74384564204923487</v>
      </c>
      <c r="F79" s="18" t="e">
        <f t="shared" ref="F79:H79" si="84">F46/F44</f>
        <v>#DIV/0!</v>
      </c>
      <c r="G79" s="18" t="e">
        <f t="shared" si="84"/>
        <v>#DIV/0!</v>
      </c>
      <c r="H79" s="18" t="e">
        <f t="shared" si="84"/>
        <v>#DIV/0!</v>
      </c>
      <c r="I79" s="23"/>
      <c r="J79" s="23"/>
      <c r="K79" s="23"/>
      <c r="L79" s="23"/>
      <c r="M79" s="23"/>
      <c r="N79" s="18">
        <f t="shared" ref="N79:P79" si="85">N46/N44</f>
        <v>0.61067661124635286</v>
      </c>
      <c r="O79" s="18">
        <f t="shared" si="85"/>
        <v>0.62895945869566972</v>
      </c>
      <c r="P79" s="18">
        <f t="shared" si="85"/>
        <v>0.65468383545358799</v>
      </c>
      <c r="Q79" s="18">
        <f t="shared" ref="Q79:V79" si="86">Q46/Q44</f>
        <v>0.74628984573954282</v>
      </c>
      <c r="R79" s="18">
        <f t="shared" si="86"/>
        <v>0.74133534800264422</v>
      </c>
      <c r="S79" s="18">
        <f t="shared" si="86"/>
        <v>0.72591258148730553</v>
      </c>
      <c r="T79" s="18">
        <f t="shared" si="86"/>
        <v>0.74060640408047607</v>
      </c>
      <c r="U79" s="18">
        <f t="shared" si="86"/>
        <v>0.74679376934794361</v>
      </c>
      <c r="V79" s="18">
        <f t="shared" si="86"/>
        <v>0.76290503935398135</v>
      </c>
      <c r="W79" s="18">
        <f t="shared" ref="W79:AB79" si="87">W46/W44</f>
        <v>0.73752471792485752</v>
      </c>
      <c r="X79" s="18">
        <f t="shared" si="87"/>
        <v>0</v>
      </c>
      <c r="Y79" s="18">
        <f t="shared" si="87"/>
        <v>0</v>
      </c>
      <c r="Z79" s="18">
        <f t="shared" si="87"/>
        <v>0</v>
      </c>
      <c r="AA79" s="18">
        <f t="shared" si="87"/>
        <v>0</v>
      </c>
      <c r="AB79" s="18">
        <f t="shared" si="87"/>
        <v>0</v>
      </c>
      <c r="AC79" s="18"/>
      <c r="AD79" s="18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</row>
    <row r="80" spans="2:66" x14ac:dyDescent="0.25">
      <c r="B80" s="17" t="s">
        <v>11</v>
      </c>
      <c r="C80" s="18">
        <f t="shared" ref="C80:D80" si="88">C50/C38</f>
        <v>0.35296411856474258</v>
      </c>
      <c r="D80" s="18">
        <f t="shared" si="88"/>
        <v>0.30642781875658587</v>
      </c>
      <c r="E80" s="18">
        <f>E50/E38</f>
        <v>0.24651162790697675</v>
      </c>
      <c r="F80" s="18" t="e">
        <f t="shared" ref="F80:H80" si="89">F50/F38</f>
        <v>#DIV/0!</v>
      </c>
      <c r="G80" s="18" t="e">
        <f t="shared" si="89"/>
        <v>#DIV/0!</v>
      </c>
      <c r="H80" s="18" t="e">
        <f t="shared" si="89"/>
        <v>#DIV/0!</v>
      </c>
      <c r="I80" s="23"/>
      <c r="J80" s="23"/>
      <c r="K80" s="23"/>
      <c r="L80" s="23"/>
      <c r="M80" s="23"/>
      <c r="N80" s="18">
        <f t="shared" ref="N80:P80" si="90">N50/N38</f>
        <v>0</v>
      </c>
      <c r="O80" s="18">
        <f t="shared" si="90"/>
        <v>0.28686933284608179</v>
      </c>
      <c r="P80" s="18">
        <f t="shared" si="90"/>
        <v>0.34197391724360005</v>
      </c>
      <c r="Q80" s="18">
        <f t="shared" ref="Q80:V84" si="91">Q50/Q38</f>
        <v>0.39529269764634883</v>
      </c>
      <c r="R80" s="18">
        <f t="shared" si="91"/>
        <v>0.4099227285945744</v>
      </c>
      <c r="S80" s="18">
        <f t="shared" si="91"/>
        <v>0.35138295298766226</v>
      </c>
      <c r="T80" s="18">
        <f t="shared" si="91"/>
        <v>0.3817696023019217</v>
      </c>
      <c r="U80" s="18">
        <f t="shared" si="91"/>
        <v>0.35586917135501095</v>
      </c>
      <c r="V80" s="18">
        <f t="shared" si="91"/>
        <v>0.33059860224855669</v>
      </c>
      <c r="W80" s="18">
        <f t="shared" ref="W80:AB80" si="92">W50/W38</f>
        <v>0.20980392156862746</v>
      </c>
      <c r="X80" s="18">
        <f t="shared" si="92"/>
        <v>0</v>
      </c>
      <c r="Y80" s="18">
        <f t="shared" si="92"/>
        <v>0</v>
      </c>
      <c r="Z80" s="18">
        <f t="shared" si="92"/>
        <v>0</v>
      </c>
      <c r="AA80" s="18">
        <f t="shared" si="92"/>
        <v>0</v>
      </c>
      <c r="AB80" s="18">
        <f t="shared" si="92"/>
        <v>0</v>
      </c>
      <c r="AC80" s="18"/>
      <c r="AD80" s="18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</row>
    <row r="81" spans="1:66" x14ac:dyDescent="0.25">
      <c r="B81" s="17" t="s">
        <v>12</v>
      </c>
      <c r="C81" s="18">
        <f t="shared" ref="C81:D84" si="93">C51/C39</f>
        <v>0.30520304568527917</v>
      </c>
      <c r="D81" s="18">
        <f t="shared" si="93"/>
        <v>0.30442919525888956</v>
      </c>
      <c r="E81" s="18">
        <f>E51/E39</f>
        <v>0.21929215822345594</v>
      </c>
      <c r="F81" s="18" t="e">
        <f t="shared" ref="F81:H84" si="94">F51/F39</f>
        <v>#DIV/0!</v>
      </c>
      <c r="G81" s="18" t="e">
        <f t="shared" si="94"/>
        <v>#DIV/0!</v>
      </c>
      <c r="H81" s="18" t="e">
        <f t="shared" si="94"/>
        <v>#DIV/0!</v>
      </c>
      <c r="I81" s="23"/>
      <c r="J81" s="23"/>
      <c r="K81" s="23"/>
      <c r="L81" s="23"/>
      <c r="M81" s="23"/>
      <c r="N81" s="18">
        <f t="shared" ref="N81:P81" si="95">N51/N39</f>
        <v>0</v>
      </c>
      <c r="O81" s="18">
        <f t="shared" si="95"/>
        <v>0.22045566300606456</v>
      </c>
      <c r="P81" s="18">
        <f t="shared" si="95"/>
        <v>0.25099866844207724</v>
      </c>
      <c r="Q81" s="18">
        <f t="shared" si="91"/>
        <v>0.2631880733944954</v>
      </c>
      <c r="R81" s="18">
        <f t="shared" si="91"/>
        <v>0.27436435508271928</v>
      </c>
      <c r="S81" s="18">
        <f t="shared" si="91"/>
        <v>0.22930520522815867</v>
      </c>
      <c r="T81" s="18">
        <f t="shared" si="91"/>
        <v>0.28361761205870684</v>
      </c>
      <c r="U81" s="18">
        <f t="shared" si="91"/>
        <v>0.30878787878787878</v>
      </c>
      <c r="V81" s="18">
        <f t="shared" si="91"/>
        <v>0.30481283422459893</v>
      </c>
      <c r="W81" s="18">
        <f t="shared" ref="W81:AB81" si="96">W51/W39</f>
        <v>0.205831308573412</v>
      </c>
      <c r="X81" s="18">
        <f t="shared" si="96"/>
        <v>0</v>
      </c>
      <c r="Y81" s="18">
        <f t="shared" si="96"/>
        <v>0</v>
      </c>
      <c r="Z81" s="18">
        <f t="shared" si="96"/>
        <v>0</v>
      </c>
      <c r="AA81" s="18">
        <f t="shared" si="96"/>
        <v>0</v>
      </c>
      <c r="AB81" s="18">
        <f t="shared" si="96"/>
        <v>0</v>
      </c>
      <c r="AC81" s="18"/>
      <c r="AD81" s="18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</row>
    <row r="82" spans="1:66" x14ac:dyDescent="0.25">
      <c r="B82" s="17" t="s">
        <v>31</v>
      </c>
      <c r="C82" s="18">
        <f t="shared" si="93"/>
        <v>0.2028811524609844</v>
      </c>
      <c r="D82" s="18">
        <f t="shared" si="93"/>
        <v>0.17610837438423646</v>
      </c>
      <c r="E82" s="18">
        <f>E52/E40</f>
        <v>0.14473684210526316</v>
      </c>
      <c r="F82" s="18" t="e">
        <f t="shared" si="94"/>
        <v>#DIV/0!</v>
      </c>
      <c r="G82" s="18" t="e">
        <f t="shared" si="94"/>
        <v>#DIV/0!</v>
      </c>
      <c r="H82" s="18" t="e">
        <f t="shared" si="94"/>
        <v>#DIV/0!</v>
      </c>
      <c r="I82" s="23"/>
      <c r="J82" s="23"/>
      <c r="K82" s="23"/>
      <c r="L82" s="23"/>
      <c r="M82" s="23"/>
      <c r="N82" s="18">
        <f t="shared" ref="N82:P82" si="97">N52/N40</f>
        <v>0</v>
      </c>
      <c r="O82" s="18">
        <f t="shared" si="97"/>
        <v>0.25311061871484575</v>
      </c>
      <c r="P82" s="18">
        <f t="shared" si="97"/>
        <v>0.25</v>
      </c>
      <c r="Q82" s="18">
        <f t="shared" si="91"/>
        <v>0.218214607754734</v>
      </c>
      <c r="R82" s="18">
        <f t="shared" si="91"/>
        <v>0.18430969510106202</v>
      </c>
      <c r="S82" s="18">
        <f t="shared" si="91"/>
        <v>0.14211352557217219</v>
      </c>
      <c r="T82" s="18">
        <f t="shared" si="91"/>
        <v>0.19028609447771125</v>
      </c>
      <c r="U82" s="18">
        <f t="shared" si="91"/>
        <v>0.2103448275862069</v>
      </c>
      <c r="V82" s="18">
        <f t="shared" si="91"/>
        <v>0.18966565349544073</v>
      </c>
      <c r="W82" s="18">
        <f t="shared" ref="W82:AB82" si="98">W52/W40</f>
        <v>0.14886164623467601</v>
      </c>
      <c r="X82" s="18">
        <f t="shared" si="98"/>
        <v>0</v>
      </c>
      <c r="Y82" s="18">
        <f t="shared" si="98"/>
        <v>0</v>
      </c>
      <c r="Z82" s="18">
        <f t="shared" si="98"/>
        <v>0</v>
      </c>
      <c r="AA82" s="18">
        <f t="shared" si="98"/>
        <v>0</v>
      </c>
      <c r="AB82" s="18">
        <f t="shared" si="98"/>
        <v>0</v>
      </c>
      <c r="AC82" s="18"/>
      <c r="AD82" s="18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</row>
    <row r="83" spans="1:66" x14ac:dyDescent="0.25">
      <c r="B83" s="17" t="s">
        <v>32</v>
      </c>
      <c r="C83" s="18">
        <f t="shared" si="93"/>
        <v>0.1206896551724138</v>
      </c>
      <c r="D83" s="18">
        <f t="shared" si="93"/>
        <v>-7.2376357056694813E-3</v>
      </c>
      <c r="E83" s="18">
        <f>E53/E41</f>
        <v>2.5626092020966801E-2</v>
      </c>
      <c r="F83" s="18" t="e">
        <f t="shared" si="94"/>
        <v>#DIV/0!</v>
      </c>
      <c r="G83" s="18" t="e">
        <f t="shared" si="94"/>
        <v>#DIV/0!</v>
      </c>
      <c r="H83" s="18" t="e">
        <f t="shared" si="94"/>
        <v>#DIV/0!</v>
      </c>
      <c r="I83" s="23"/>
      <c r="J83" s="23"/>
      <c r="K83" s="23"/>
      <c r="L83" s="23"/>
      <c r="M83" s="23"/>
      <c r="N83" s="18">
        <f t="shared" ref="N83:P83" si="99">N53/N41</f>
        <v>0</v>
      </c>
      <c r="O83" s="18">
        <f t="shared" si="99"/>
        <v>6.7157584683357877E-2</v>
      </c>
      <c r="P83" s="18">
        <f t="shared" si="99"/>
        <v>6.1576354679802957E-2</v>
      </c>
      <c r="Q83" s="18">
        <f t="shared" si="91"/>
        <v>0.10194404931247036</v>
      </c>
      <c r="R83" s="18">
        <f t="shared" si="91"/>
        <v>0.12520197044334974</v>
      </c>
      <c r="S83" s="18">
        <f t="shared" si="91"/>
        <v>7.9165388155876024E-2</v>
      </c>
      <c r="T83" s="18">
        <f t="shared" si="91"/>
        <v>0.13972602739726028</v>
      </c>
      <c r="U83" s="18">
        <f t="shared" si="91"/>
        <v>0.14403717088280846</v>
      </c>
      <c r="V83" s="18">
        <f t="shared" si="91"/>
        <v>6.033010813887308E-2</v>
      </c>
      <c r="W83" s="18">
        <f t="shared" ref="W83:AB83" si="100">W53/W41</f>
        <v>-2.7941633033219497E-3</v>
      </c>
      <c r="X83" s="18">
        <f t="shared" si="100"/>
        <v>0</v>
      </c>
      <c r="Y83" s="18">
        <f t="shared" si="100"/>
        <v>0</v>
      </c>
      <c r="Z83" s="18">
        <f t="shared" si="100"/>
        <v>0</v>
      </c>
      <c r="AA83" s="18">
        <f t="shared" si="100"/>
        <v>0</v>
      </c>
      <c r="AB83" s="18">
        <f t="shared" si="100"/>
        <v>0</v>
      </c>
      <c r="AC83" s="18"/>
      <c r="AD83" s="18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</row>
    <row r="84" spans="1:66" x14ac:dyDescent="0.25">
      <c r="B84" s="17" t="s">
        <v>14</v>
      </c>
      <c r="C84" s="18">
        <f t="shared" si="93"/>
        <v>7.2497123130034521E-2</v>
      </c>
      <c r="D84" s="18">
        <f t="shared" si="93"/>
        <v>-0.10014306151645208</v>
      </c>
      <c r="E84" s="18">
        <f>E54/E42</f>
        <v>9.4657919400187446E-2</v>
      </c>
      <c r="F84" s="18" t="e">
        <f t="shared" si="94"/>
        <v>#DIV/0!</v>
      </c>
      <c r="G84" s="18" t="e">
        <f t="shared" si="94"/>
        <v>#DIV/0!</v>
      </c>
      <c r="H84" s="18" t="e">
        <f t="shared" si="94"/>
        <v>#DIV/0!</v>
      </c>
      <c r="I84" s="23"/>
      <c r="J84" s="23"/>
      <c r="K84" s="23"/>
      <c r="L84" s="23"/>
      <c r="M84" s="23"/>
      <c r="N84" s="18">
        <f t="shared" ref="N84:P84" si="101">N54/N42</f>
        <v>0</v>
      </c>
      <c r="O84" s="18">
        <f t="shared" si="101"/>
        <v>3.1413612565445025E-2</v>
      </c>
      <c r="P84" s="18">
        <f t="shared" si="101"/>
        <v>-0.67626613704071503</v>
      </c>
      <c r="Q84" s="18">
        <f t="shared" si="91"/>
        <v>-0.5911047345767575</v>
      </c>
      <c r="R84" s="18">
        <f t="shared" si="91"/>
        <v>-0.52645238570572972</v>
      </c>
      <c r="S84" s="18">
        <f t="shared" si="91"/>
        <v>-0.5474504249291785</v>
      </c>
      <c r="T84" s="18">
        <f t="shared" si="91"/>
        <v>-0.22373806275579808</v>
      </c>
      <c r="U84" s="18">
        <f t="shared" si="91"/>
        <v>-7.7260755048287971E-2</v>
      </c>
      <c r="V84" s="18">
        <f t="shared" si="91"/>
        <v>-4.464285714285714E-3</v>
      </c>
      <c r="W84" s="18">
        <f t="shared" ref="W84:AB84" si="102">W54/W42</f>
        <v>5.7702215352910868E-2</v>
      </c>
      <c r="X84" s="18">
        <f t="shared" si="102"/>
        <v>0</v>
      </c>
      <c r="Y84" s="18">
        <f t="shared" si="102"/>
        <v>0</v>
      </c>
      <c r="Z84" s="18">
        <f t="shared" si="102"/>
        <v>0</v>
      </c>
      <c r="AA84" s="18">
        <f t="shared" si="102"/>
        <v>0</v>
      </c>
      <c r="AB84" s="18">
        <f t="shared" si="102"/>
        <v>0</v>
      </c>
      <c r="AC84" s="18"/>
      <c r="AD84" s="18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</row>
    <row r="85" spans="1:66" x14ac:dyDescent="0.25">
      <c r="B85" s="122" t="s">
        <v>56</v>
      </c>
      <c r="C85" s="123">
        <f t="shared" ref="C85:D85" si="103">C56/C44</f>
        <v>0.27025160335471138</v>
      </c>
      <c r="D85" s="123">
        <f t="shared" si="103"/>
        <v>0.21280882197009862</v>
      </c>
      <c r="E85" s="123">
        <f>E56/E44</f>
        <v>0.17542692392991793</v>
      </c>
      <c r="F85" s="123" t="e">
        <f t="shared" ref="F85:H85" si="104">F56/F44</f>
        <v>#DIV/0!</v>
      </c>
      <c r="G85" s="123" t="e">
        <f t="shared" si="104"/>
        <v>#DIV/0!</v>
      </c>
      <c r="H85" s="123" t="e">
        <f t="shared" si="104"/>
        <v>#DIV/0!</v>
      </c>
      <c r="I85" s="124"/>
      <c r="J85" s="124"/>
      <c r="K85" s="124"/>
      <c r="L85" s="124"/>
      <c r="M85" s="124"/>
      <c r="N85" s="123">
        <f t="shared" ref="N85:P85" si="105">N56/N44</f>
        <v>0.14215051535712442</v>
      </c>
      <c r="O85" s="123">
        <f t="shared" si="105"/>
        <v>0.15229836332953839</v>
      </c>
      <c r="P85" s="123">
        <f t="shared" si="105"/>
        <v>0.19046757593182448</v>
      </c>
      <c r="Q85" s="123">
        <f t="shared" ref="Q85:V85" si="106">Q56/Q44</f>
        <v>0.28860170359745924</v>
      </c>
      <c r="R85" s="123">
        <f t="shared" si="106"/>
        <v>0.30083419901155289</v>
      </c>
      <c r="S85" s="123">
        <f t="shared" si="106"/>
        <v>0.23932459046426774</v>
      </c>
      <c r="T85" s="123">
        <f t="shared" si="106"/>
        <v>0.28432983848115612</v>
      </c>
      <c r="U85" s="123">
        <f t="shared" si="106"/>
        <v>0.27463023930028008</v>
      </c>
      <c r="V85" s="123">
        <f t="shared" si="106"/>
        <v>0.24256363078810181</v>
      </c>
      <c r="W85" s="123">
        <f t="shared" ref="W85:AB85" si="107">W56/W44</f>
        <v>0.14854018843782715</v>
      </c>
      <c r="X85" s="123">
        <f t="shared" si="107"/>
        <v>0</v>
      </c>
      <c r="Y85" s="123">
        <f t="shared" si="107"/>
        <v>0</v>
      </c>
      <c r="Z85" s="123">
        <f t="shared" si="107"/>
        <v>0</v>
      </c>
      <c r="AA85" s="123">
        <f t="shared" si="107"/>
        <v>0</v>
      </c>
      <c r="AB85" s="123">
        <f t="shared" si="107"/>
        <v>0</v>
      </c>
      <c r="AC85" s="18"/>
      <c r="AD85" s="18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</row>
    <row r="86" spans="1:66" x14ac:dyDescent="0.25">
      <c r="B86" s="17" t="s">
        <v>57</v>
      </c>
      <c r="C86" s="18">
        <f t="shared" ref="C86:D86" si="108">C61/C60</f>
        <v>0.27297830374753451</v>
      </c>
      <c r="D86" s="18">
        <f t="shared" si="108"/>
        <v>0.27738515901060068</v>
      </c>
      <c r="E86" s="18">
        <f>E61/E60</f>
        <v>0.26932084309133492</v>
      </c>
      <c r="F86" s="18" t="e">
        <f t="shared" ref="F86:H86" si="109">F61/F60</f>
        <v>#DIV/0!</v>
      </c>
      <c r="G86" s="18" t="e">
        <f t="shared" si="109"/>
        <v>#DIV/0!</v>
      </c>
      <c r="H86" s="18" t="e">
        <f t="shared" si="109"/>
        <v>#DIV/0!</v>
      </c>
      <c r="I86" s="23"/>
      <c r="J86" s="23"/>
      <c r="K86" s="23"/>
      <c r="L86" s="23"/>
      <c r="M86" s="23"/>
      <c r="N86" s="18">
        <f t="shared" ref="N86:P86" si="110">N61/N60</f>
        <v>0.32038641569564763</v>
      </c>
      <c r="O86" s="18">
        <f t="shared" si="110"/>
        <v>0.25127291242362532</v>
      </c>
      <c r="P86" s="18">
        <f t="shared" si="110"/>
        <v>0.23988310265048501</v>
      </c>
      <c r="Q86" s="18">
        <f t="shared" ref="Q86:V86" si="111">Q61/Q60</f>
        <v>0.24691955265928689</v>
      </c>
      <c r="R86" s="18">
        <f t="shared" si="111"/>
        <v>0.49617468548705895</v>
      </c>
      <c r="S86" s="18">
        <f t="shared" si="111"/>
        <v>0.25679012345679014</v>
      </c>
      <c r="T86" s="18">
        <f t="shared" si="111"/>
        <v>0.28302387267904511</v>
      </c>
      <c r="U86" s="18">
        <f t="shared" si="111"/>
        <v>0.2765335929892892</v>
      </c>
      <c r="V86" s="18">
        <f t="shared" si="111"/>
        <v>0.27474604299551147</v>
      </c>
      <c r="W86" s="18">
        <f t="shared" ref="W86:AB86" si="112">W61/W60</f>
        <v>0.27149587750294463</v>
      </c>
      <c r="X86" s="18" t="e">
        <f t="shared" si="112"/>
        <v>#DIV/0!</v>
      </c>
      <c r="Y86" s="18" t="e">
        <f t="shared" si="112"/>
        <v>#DIV/0!</v>
      </c>
      <c r="Z86" s="18" t="e">
        <f t="shared" si="112"/>
        <v>#DIV/0!</v>
      </c>
      <c r="AA86" s="18" t="e">
        <f t="shared" si="112"/>
        <v>#DIV/0!</v>
      </c>
      <c r="AB86" s="18" t="e">
        <f t="shared" si="112"/>
        <v>#DIV/0!</v>
      </c>
      <c r="AC86" s="18"/>
      <c r="AD86" s="18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</row>
    <row r="87" spans="1:66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</row>
    <row r="88" spans="1:66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</row>
    <row r="89" spans="1:66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</row>
    <row r="90" spans="1:66" x14ac:dyDescent="0.25">
      <c r="B90" t="s">
        <v>59</v>
      </c>
      <c r="C90" s="23"/>
      <c r="D90" s="23"/>
      <c r="E90" s="23">
        <v>7090</v>
      </c>
      <c r="F90" s="23"/>
      <c r="G90" s="23"/>
      <c r="H90" s="23"/>
      <c r="I90" s="23"/>
      <c r="J90" s="23"/>
      <c r="K90" s="23"/>
      <c r="L90" s="23"/>
      <c r="M90" s="23"/>
      <c r="N90" s="23">
        <v>3758.8</v>
      </c>
      <c r="O90" s="23">
        <v>3533.5</v>
      </c>
      <c r="P90" s="23">
        <v>3421.2</v>
      </c>
      <c r="Q90" s="23">
        <v>2399.1999999999998</v>
      </c>
      <c r="R90" s="23">
        <v>2525.9</v>
      </c>
      <c r="S90" s="23">
        <v>2452.1999999999998</v>
      </c>
      <c r="T90" s="23">
        <v>2891</v>
      </c>
      <c r="U90" s="23">
        <v>4053</v>
      </c>
      <c r="V90" s="23">
        <v>7112</v>
      </c>
      <c r="W90" s="23">
        <v>6277</v>
      </c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</row>
    <row r="91" spans="1:66" x14ac:dyDescent="0.25">
      <c r="B91" t="s">
        <v>336</v>
      </c>
      <c r="C91" s="23"/>
      <c r="D91" s="23"/>
      <c r="E91" s="23">
        <v>8185</v>
      </c>
      <c r="F91" s="23"/>
      <c r="G91" s="23"/>
      <c r="H91" s="23"/>
      <c r="I91" s="23"/>
      <c r="J91" s="23"/>
      <c r="K91" s="23"/>
      <c r="L91" s="23"/>
      <c r="M91" s="23"/>
      <c r="N91" s="23">
        <v>11285.5</v>
      </c>
      <c r="O91" s="23">
        <v>11272.7</v>
      </c>
      <c r="P91" s="23">
        <v>11159</v>
      </c>
      <c r="Q91" s="23">
        <v>7393.6</v>
      </c>
      <c r="R91" s="23">
        <v>7260.5</v>
      </c>
      <c r="S91" s="23">
        <v>6985.8</v>
      </c>
      <c r="T91" s="23">
        <v>7032</v>
      </c>
      <c r="U91" s="23">
        <v>7357</v>
      </c>
      <c r="V91" s="23">
        <v>8178</v>
      </c>
      <c r="W91" s="23">
        <v>9287</v>
      </c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</row>
    <row r="92" spans="1:66" x14ac:dyDescent="0.25">
      <c r="B92" t="s">
        <v>60</v>
      </c>
      <c r="C92" s="23"/>
      <c r="D92" s="23"/>
      <c r="E92" s="23">
        <v>5098</v>
      </c>
      <c r="F92" s="23"/>
      <c r="G92" s="23"/>
      <c r="H92" s="23"/>
      <c r="I92" s="23"/>
      <c r="J92" s="23"/>
      <c r="K92" s="23"/>
      <c r="L92" s="23"/>
      <c r="M92" s="23"/>
      <c r="N92" s="23">
        <v>0</v>
      </c>
      <c r="O92" s="23">
        <v>0</v>
      </c>
      <c r="P92" s="23">
        <v>0</v>
      </c>
      <c r="Q92" s="23">
        <v>0</v>
      </c>
      <c r="R92" s="23">
        <v>4246.7</v>
      </c>
      <c r="S92" s="23">
        <v>3956.8</v>
      </c>
      <c r="T92" s="23">
        <v>4302</v>
      </c>
      <c r="U92" s="23">
        <v>4929</v>
      </c>
      <c r="V92" s="23">
        <v>4984</v>
      </c>
      <c r="W92" s="23">
        <v>5615</v>
      </c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</row>
    <row r="93" spans="1:66" x14ac:dyDescent="0.25">
      <c r="B93" t="s">
        <v>61</v>
      </c>
      <c r="C93" s="23"/>
      <c r="D93" s="23"/>
      <c r="E93" s="23">
        <v>6314</v>
      </c>
      <c r="F93" s="23"/>
      <c r="G93" s="23"/>
      <c r="H93" s="23"/>
      <c r="I93" s="23"/>
      <c r="J93" s="23"/>
      <c r="K93" s="23"/>
      <c r="L93" s="23"/>
      <c r="M93" s="23"/>
      <c r="N93" s="23">
        <v>2073</v>
      </c>
      <c r="O93" s="23">
        <v>2206.5</v>
      </c>
      <c r="P93" s="23">
        <v>2267.6</v>
      </c>
      <c r="Q93" s="23">
        <v>2228.5</v>
      </c>
      <c r="R93" s="23">
        <v>2619.3000000000002</v>
      </c>
      <c r="S93" s="23">
        <v>2670.2</v>
      </c>
      <c r="T93" s="23">
        <v>2967</v>
      </c>
      <c r="U93" s="23">
        <v>3388</v>
      </c>
      <c r="V93" s="23">
        <v>5341</v>
      </c>
      <c r="W93" s="23">
        <v>6537</v>
      </c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</row>
    <row r="94" spans="1:66" x14ac:dyDescent="0.25">
      <c r="B94" t="s">
        <v>337</v>
      </c>
      <c r="C94" s="23"/>
      <c r="D94" s="23"/>
      <c r="E94" s="23">
        <v>1775</v>
      </c>
      <c r="F94" s="23"/>
      <c r="G94" s="23"/>
      <c r="H94" s="23"/>
      <c r="I94" s="23"/>
      <c r="J94" s="23"/>
      <c r="K94" s="23"/>
      <c r="L94" s="23"/>
      <c r="M94" s="23"/>
      <c r="N94" s="23">
        <v>20.9</v>
      </c>
      <c r="O94" s="23">
        <v>48.3</v>
      </c>
      <c r="P94" s="23">
        <v>48.6</v>
      </c>
      <c r="Q94" s="23">
        <v>1074.7</v>
      </c>
      <c r="R94" s="23">
        <v>1105.3</v>
      </c>
      <c r="S94" s="23">
        <v>36.200000000000003</v>
      </c>
      <c r="T94" s="23">
        <v>31</v>
      </c>
      <c r="U94" s="23">
        <v>49</v>
      </c>
      <c r="V94" s="23">
        <v>1750</v>
      </c>
      <c r="W94" s="23">
        <v>1762</v>
      </c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</row>
    <row r="95" spans="1:66" x14ac:dyDescent="0.25">
      <c r="B95" t="s">
        <v>62</v>
      </c>
      <c r="C95" s="23"/>
      <c r="D95" s="23"/>
      <c r="E95" s="23">
        <v>483</v>
      </c>
      <c r="F95" s="23"/>
      <c r="G95" s="23"/>
      <c r="H95" s="23"/>
      <c r="I95" s="23"/>
      <c r="J95" s="23"/>
      <c r="K95" s="23"/>
      <c r="L95" s="23"/>
      <c r="M95" s="23"/>
      <c r="N95" s="23">
        <v>458.4</v>
      </c>
      <c r="O95" s="23">
        <v>480.4</v>
      </c>
      <c r="P95" s="23">
        <v>364.3</v>
      </c>
      <c r="Q95" s="23">
        <v>336.3</v>
      </c>
      <c r="R95" s="23">
        <v>458.4</v>
      </c>
      <c r="S95" s="23">
        <v>1688.6</v>
      </c>
      <c r="T95" s="23">
        <v>1054</v>
      </c>
      <c r="U95" s="23">
        <v>855</v>
      </c>
      <c r="V95" s="23">
        <v>536</v>
      </c>
      <c r="W95" s="23">
        <v>492</v>
      </c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</row>
    <row r="96" spans="1:66" x14ac:dyDescent="0.25">
      <c r="B96" t="s">
        <v>63</v>
      </c>
      <c r="C96" s="23"/>
      <c r="D96" s="23"/>
      <c r="E96" s="23">
        <v>1507</v>
      </c>
      <c r="F96" s="23"/>
      <c r="G96" s="23"/>
      <c r="H96" s="23"/>
      <c r="I96" s="23"/>
      <c r="J96" s="23"/>
      <c r="K96" s="23"/>
      <c r="L96" s="23"/>
      <c r="M96" s="23"/>
      <c r="N96" s="23">
        <v>849.6</v>
      </c>
      <c r="O96" s="23">
        <v>927</v>
      </c>
      <c r="P96" s="23">
        <v>964.6</v>
      </c>
      <c r="Q96" s="23">
        <v>830.1</v>
      </c>
      <c r="R96" s="23">
        <v>1367.6</v>
      </c>
      <c r="S96" s="23">
        <v>1177.4000000000001</v>
      </c>
      <c r="T96" s="23">
        <v>1352</v>
      </c>
      <c r="U96" s="23">
        <v>1640</v>
      </c>
      <c r="V96" s="23">
        <v>1520</v>
      </c>
      <c r="W96" s="23">
        <v>1651</v>
      </c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</row>
    <row r="97" spans="2:66" x14ac:dyDescent="0.25">
      <c r="B97" t="s">
        <v>64</v>
      </c>
      <c r="C97" s="23"/>
      <c r="D97" s="23"/>
      <c r="E97" s="23">
        <v>35</v>
      </c>
      <c r="F97" s="23"/>
      <c r="G97" s="23"/>
      <c r="H97" s="23"/>
      <c r="I97" s="23"/>
      <c r="J97" s="23"/>
      <c r="K97" s="23"/>
      <c r="L97" s="23"/>
      <c r="M97" s="23"/>
      <c r="N97" s="23">
        <v>39.9</v>
      </c>
      <c r="O97" s="23">
        <v>30.4</v>
      </c>
      <c r="P97" s="23">
        <v>35.4</v>
      </c>
      <c r="Q97" s="23">
        <v>34.200000000000003</v>
      </c>
      <c r="R97" s="23">
        <v>18.8</v>
      </c>
      <c r="S97" s="23">
        <v>17.399999999999999</v>
      </c>
      <c r="T97" s="23">
        <v>6</v>
      </c>
      <c r="U97" s="23">
        <v>8</v>
      </c>
      <c r="V97" s="23">
        <v>16</v>
      </c>
      <c r="W97" s="23">
        <v>27</v>
      </c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</row>
    <row r="98" spans="2:66" x14ac:dyDescent="0.25">
      <c r="B98" s="1" t="s">
        <v>65</v>
      </c>
      <c r="C98" s="25">
        <f t="shared" ref="C98:D98" si="113">+SUM(C90:C97)</f>
        <v>0</v>
      </c>
      <c r="D98" s="25">
        <f t="shared" si="113"/>
        <v>0</v>
      </c>
      <c r="E98" s="25">
        <f>+SUM(E90:E97)</f>
        <v>30487</v>
      </c>
      <c r="F98" s="25">
        <f t="shared" ref="F98:H98" si="114">+SUM(F90:F97)</f>
        <v>0</v>
      </c>
      <c r="G98" s="25">
        <f t="shared" si="114"/>
        <v>0</v>
      </c>
      <c r="H98" s="25">
        <f t="shared" si="114"/>
        <v>0</v>
      </c>
      <c r="I98" s="23"/>
      <c r="J98" s="23"/>
      <c r="K98" s="23"/>
      <c r="L98" s="23"/>
      <c r="M98" s="25">
        <f t="shared" ref="M98:N98" si="115">+SUM(M90:M97)</f>
        <v>0</v>
      </c>
      <c r="N98" s="25">
        <f t="shared" si="115"/>
        <v>18486.100000000002</v>
      </c>
      <c r="O98" s="25">
        <f>+SUM(O90:O97)</f>
        <v>18498.800000000003</v>
      </c>
      <c r="P98" s="25">
        <v>18260.699999999997</v>
      </c>
      <c r="Q98" s="25">
        <v>14296.6</v>
      </c>
      <c r="R98" s="25">
        <v>19602.499999999996</v>
      </c>
      <c r="S98" s="25">
        <v>18984.600000000002</v>
      </c>
      <c r="T98" s="25">
        <v>19635</v>
      </c>
      <c r="U98" s="25">
        <v>22279</v>
      </c>
      <c r="V98" s="25">
        <f>SUM(V90:V97)</f>
        <v>29437</v>
      </c>
      <c r="W98" s="25">
        <f>SUM(W90:W97)</f>
        <v>31648</v>
      </c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</row>
    <row r="99" spans="2:66" x14ac:dyDescent="0.25">
      <c r="B99" t="s">
        <v>66</v>
      </c>
      <c r="C99" s="23"/>
      <c r="D99" s="23"/>
      <c r="E99" s="23">
        <v>4346</v>
      </c>
      <c r="F99" s="23"/>
      <c r="G99" s="23"/>
      <c r="H99" s="23"/>
      <c r="I99" s="23"/>
      <c r="J99" s="23"/>
      <c r="K99" s="23"/>
      <c r="L99" s="23"/>
      <c r="M99" s="23"/>
      <c r="N99" s="23">
        <v>2191.1999999999998</v>
      </c>
      <c r="O99" s="23">
        <v>2432.1999999999998</v>
      </c>
      <c r="P99" s="23">
        <v>2699.1</v>
      </c>
      <c r="Q99" s="23">
        <v>2414.6999999999998</v>
      </c>
      <c r="R99" s="23">
        <v>2959.2</v>
      </c>
      <c r="S99" s="23">
        <v>2845.5</v>
      </c>
      <c r="T99" s="23">
        <v>3369</v>
      </c>
      <c r="U99" s="23">
        <v>4465</v>
      </c>
      <c r="V99" s="23">
        <v>4550</v>
      </c>
      <c r="W99" s="23">
        <v>3992</v>
      </c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</row>
    <row r="100" spans="2:66" x14ac:dyDescent="0.25">
      <c r="B100" t="s">
        <v>338</v>
      </c>
      <c r="C100" s="23"/>
      <c r="D100" s="23"/>
      <c r="E100" s="23">
        <v>1155</v>
      </c>
      <c r="F100" s="23"/>
      <c r="G100" s="23"/>
      <c r="H100" s="23"/>
      <c r="I100" s="23"/>
      <c r="J100" s="23"/>
      <c r="K100" s="23"/>
      <c r="L100" s="23"/>
      <c r="M100" s="23"/>
      <c r="N100" s="23">
        <v>1137.0999999999999</v>
      </c>
      <c r="O100" s="23">
        <v>1196.4000000000001</v>
      </c>
      <c r="P100" s="23">
        <v>1366.5</v>
      </c>
      <c r="Q100" s="23">
        <v>849.5</v>
      </c>
      <c r="R100" s="23">
        <v>996</v>
      </c>
      <c r="S100" s="23">
        <v>824.2</v>
      </c>
      <c r="T100" s="23">
        <v>977</v>
      </c>
      <c r="U100" s="23">
        <v>1180</v>
      </c>
      <c r="V100" s="23">
        <v>1151</v>
      </c>
      <c r="W100" s="23">
        <v>1003</v>
      </c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</row>
    <row r="101" spans="2:66" x14ac:dyDescent="0.25">
      <c r="B101" t="s">
        <v>67</v>
      </c>
      <c r="C101" s="23"/>
      <c r="D101" s="23"/>
      <c r="E101" s="23">
        <v>762</v>
      </c>
      <c r="F101" s="23"/>
      <c r="G101" s="23"/>
      <c r="H101" s="23"/>
      <c r="I101" s="23"/>
      <c r="J101" s="23"/>
      <c r="K101" s="23"/>
      <c r="L101" s="23"/>
      <c r="M101" s="23"/>
      <c r="N101" s="23">
        <v>123.8</v>
      </c>
      <c r="O101" s="23">
        <v>105.6</v>
      </c>
      <c r="P101" s="23">
        <v>78.599999999999994</v>
      </c>
      <c r="Q101" s="23">
        <v>90.6</v>
      </c>
      <c r="R101" s="23">
        <v>280.7</v>
      </c>
      <c r="S101" s="23">
        <v>600.5</v>
      </c>
      <c r="T101" s="23">
        <v>822</v>
      </c>
      <c r="U101" s="23">
        <v>378</v>
      </c>
      <c r="V101" s="23">
        <v>765</v>
      </c>
      <c r="W101" s="23">
        <v>680</v>
      </c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</row>
    <row r="102" spans="2:66" x14ac:dyDescent="0.25">
      <c r="B102" t="s">
        <v>68</v>
      </c>
      <c r="C102" s="23"/>
      <c r="D102" s="23"/>
      <c r="E102" s="23">
        <v>64</v>
      </c>
      <c r="F102" s="23"/>
      <c r="G102" s="23"/>
      <c r="H102" s="23"/>
      <c r="I102" s="23"/>
      <c r="J102" s="23"/>
      <c r="K102" s="23"/>
      <c r="L102" s="23"/>
      <c r="M102" s="23"/>
      <c r="N102" s="23">
        <v>81.2</v>
      </c>
      <c r="O102" s="23">
        <v>131</v>
      </c>
      <c r="P102" s="23">
        <v>155.6</v>
      </c>
      <c r="Q102" s="23">
        <v>60.9</v>
      </c>
      <c r="R102" s="23">
        <v>38.4</v>
      </c>
      <c r="S102" s="23">
        <v>158</v>
      </c>
      <c r="T102" s="23">
        <v>22</v>
      </c>
      <c r="U102" s="23">
        <v>167</v>
      </c>
      <c r="V102" s="23">
        <v>136</v>
      </c>
      <c r="W102" s="23">
        <v>42</v>
      </c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</row>
    <row r="103" spans="2:66" x14ac:dyDescent="0.25">
      <c r="B103" t="s">
        <v>69</v>
      </c>
      <c r="C103" s="23"/>
      <c r="D103" s="23"/>
      <c r="E103" s="23">
        <v>1404</v>
      </c>
      <c r="F103" s="23"/>
      <c r="G103" s="23"/>
      <c r="H103" s="23"/>
      <c r="I103" s="23"/>
      <c r="J103" s="23"/>
      <c r="K103" s="23"/>
      <c r="L103" s="23"/>
      <c r="M103" s="23"/>
      <c r="N103" s="23">
        <v>685</v>
      </c>
      <c r="O103" s="23">
        <v>725.4</v>
      </c>
      <c r="P103" s="23">
        <v>880.3</v>
      </c>
      <c r="Q103" s="23">
        <v>899.5</v>
      </c>
      <c r="R103" s="23">
        <v>979.4</v>
      </c>
      <c r="S103" s="23">
        <v>1149.0999999999999</v>
      </c>
      <c r="T103" s="23">
        <v>975</v>
      </c>
      <c r="U103" s="23">
        <v>1136</v>
      </c>
      <c r="V103" s="23">
        <v>1406</v>
      </c>
      <c r="W103" s="23">
        <v>1388</v>
      </c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</row>
    <row r="104" spans="2:66" x14ac:dyDescent="0.25">
      <c r="B104" t="s">
        <v>70</v>
      </c>
      <c r="C104" s="23"/>
      <c r="D104" s="23"/>
      <c r="E104" s="23">
        <v>3934</v>
      </c>
      <c r="F104" s="23"/>
      <c r="G104" s="23"/>
      <c r="H104" s="23"/>
      <c r="I104" s="23"/>
      <c r="J104" s="23"/>
      <c r="K104" s="23"/>
      <c r="L104" s="23"/>
      <c r="M104" s="23"/>
      <c r="N104" s="23">
        <v>1146.4000000000001</v>
      </c>
      <c r="O104" s="23">
        <v>1049.5999999999999</v>
      </c>
      <c r="P104" s="23">
        <v>2136.6</v>
      </c>
      <c r="Q104" s="23">
        <v>2755.7</v>
      </c>
      <c r="R104" s="23">
        <v>2292</v>
      </c>
      <c r="S104" s="23">
        <v>3443.5</v>
      </c>
      <c r="T104" s="23">
        <v>5268</v>
      </c>
      <c r="U104" s="23">
        <v>4336</v>
      </c>
      <c r="V104" s="23">
        <v>3922</v>
      </c>
      <c r="W104" s="23">
        <v>3518</v>
      </c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</row>
    <row r="105" spans="2:66" x14ac:dyDescent="0.25">
      <c r="B105" s="1" t="s">
        <v>71</v>
      </c>
      <c r="C105" s="25">
        <f t="shared" ref="C105:H105" si="116">+SUM(C99:C104)</f>
        <v>0</v>
      </c>
      <c r="D105" s="25">
        <f t="shared" si="116"/>
        <v>0</v>
      </c>
      <c r="E105" s="25">
        <f t="shared" si="116"/>
        <v>11665</v>
      </c>
      <c r="F105" s="25">
        <f t="shared" si="116"/>
        <v>0</v>
      </c>
      <c r="G105" s="25">
        <f t="shared" si="116"/>
        <v>0</v>
      </c>
      <c r="H105" s="25">
        <f t="shared" si="116"/>
        <v>0</v>
      </c>
      <c r="I105" s="23"/>
      <c r="J105" s="23"/>
      <c r="K105" s="23"/>
      <c r="L105" s="23"/>
      <c r="M105" s="23"/>
      <c r="N105" s="25">
        <f>+SUM(N99:N104)</f>
        <v>5364.6999999999989</v>
      </c>
      <c r="O105" s="25">
        <f>+SUM(O99:O104)</f>
        <v>5640.1999999999989</v>
      </c>
      <c r="P105" s="25">
        <v>7316.7000000000007</v>
      </c>
      <c r="Q105" s="25">
        <v>7070.9</v>
      </c>
      <c r="R105" s="25">
        <v>7545.6999999999989</v>
      </c>
      <c r="S105" s="25">
        <v>9020.7999999999993</v>
      </c>
      <c r="T105" s="25">
        <v>11433</v>
      </c>
      <c r="U105" s="25">
        <v>11662</v>
      </c>
      <c r="V105" s="25">
        <f>SUM(V99:V104)</f>
        <v>11930</v>
      </c>
      <c r="W105" s="25">
        <f>SUM(W99:W104)</f>
        <v>10623</v>
      </c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</row>
    <row r="106" spans="2:66" x14ac:dyDescent="0.25">
      <c r="B106" t="s">
        <v>493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/>
      <c r="J106" s="23"/>
      <c r="K106" s="23"/>
      <c r="L106" s="23"/>
      <c r="M106" s="23"/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1075</v>
      </c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</row>
    <row r="107" spans="2:66" x14ac:dyDescent="0.25">
      <c r="B107" s="1" t="s">
        <v>88</v>
      </c>
      <c r="C107" s="25">
        <f>+C105+C98+C106</f>
        <v>0</v>
      </c>
      <c r="D107" s="25">
        <f t="shared" ref="D107:H107" si="117">+D105+D98+D106</f>
        <v>0</v>
      </c>
      <c r="E107" s="25">
        <f t="shared" si="117"/>
        <v>42152</v>
      </c>
      <c r="F107" s="25">
        <f t="shared" si="117"/>
        <v>0</v>
      </c>
      <c r="G107" s="25">
        <f t="shared" si="117"/>
        <v>0</v>
      </c>
      <c r="H107" s="25">
        <f t="shared" si="117"/>
        <v>0</v>
      </c>
      <c r="I107" s="23"/>
      <c r="J107" s="23"/>
      <c r="K107" s="23"/>
      <c r="L107" s="25">
        <f t="shared" ref="L107:N107" si="118">+L105+L106+L98</f>
        <v>0</v>
      </c>
      <c r="M107" s="25">
        <f t="shared" si="118"/>
        <v>0</v>
      </c>
      <c r="N107" s="25">
        <f t="shared" si="118"/>
        <v>23850.800000000003</v>
      </c>
      <c r="O107" s="25">
        <f>+O105+O106+O98</f>
        <v>24139</v>
      </c>
      <c r="P107" s="25">
        <f t="shared" ref="P107" si="119">+P105+P98+P106</f>
        <v>25577.399999999998</v>
      </c>
      <c r="Q107" s="25">
        <f t="shared" ref="Q107" si="120">+Q105+Q98+Q106</f>
        <v>21367.5</v>
      </c>
      <c r="R107" s="25">
        <f t="shared" ref="R107" si="121">+R105+R98+R106</f>
        <v>27148.199999999997</v>
      </c>
      <c r="S107" s="25">
        <f t="shared" ref="S107" si="122">+S105+S98+S106</f>
        <v>28005.4</v>
      </c>
      <c r="T107" s="25">
        <f t="shared" ref="T107" si="123">+T105+T98+T106</f>
        <v>31068</v>
      </c>
      <c r="U107" s="25">
        <f t="shared" ref="U107" si="124">+U105+U98+U106</f>
        <v>33941</v>
      </c>
      <c r="V107" s="25">
        <f t="shared" ref="V107" si="125">+V105+V98+V106</f>
        <v>41367</v>
      </c>
      <c r="W107" s="25">
        <f t="shared" ref="W107" si="126">+W105+W98+W106</f>
        <v>43346</v>
      </c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</row>
    <row r="108" spans="2:66" x14ac:dyDescent="0.25">
      <c r="B108" t="s">
        <v>340</v>
      </c>
      <c r="C108" s="23"/>
      <c r="D108" s="23"/>
      <c r="E108" s="23">
        <v>14901</v>
      </c>
      <c r="F108" s="23"/>
      <c r="G108" s="23"/>
      <c r="H108" s="23"/>
      <c r="I108" s="23"/>
      <c r="J108" s="23"/>
      <c r="K108" s="23"/>
      <c r="L108" s="23"/>
      <c r="M108" s="23"/>
      <c r="N108" s="23">
        <v>10948.3</v>
      </c>
      <c r="O108" s="23">
        <v>11269.7</v>
      </c>
      <c r="P108" s="23">
        <v>11948.2</v>
      </c>
      <c r="Q108" s="23">
        <v>9905.9</v>
      </c>
      <c r="R108" s="23">
        <v>10278.1</v>
      </c>
      <c r="S108" s="23">
        <v>11820.9</v>
      </c>
      <c r="T108" s="23">
        <v>13347</v>
      </c>
      <c r="U108" s="23">
        <v>13998</v>
      </c>
      <c r="V108" s="23">
        <v>15212</v>
      </c>
      <c r="W108" s="23">
        <v>14904</v>
      </c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</row>
    <row r="109" spans="2:66" x14ac:dyDescent="0.25">
      <c r="B109" t="s">
        <v>339</v>
      </c>
      <c r="C109" s="23"/>
      <c r="D109" s="23"/>
      <c r="E109" s="23">
        <v>849</v>
      </c>
      <c r="F109" s="23"/>
      <c r="G109" s="23"/>
      <c r="H109" s="23"/>
      <c r="I109" s="23"/>
      <c r="J109" s="23"/>
      <c r="K109" s="23"/>
      <c r="L109" s="23"/>
      <c r="M109" s="23"/>
      <c r="N109" s="23">
        <v>674.8</v>
      </c>
      <c r="O109" s="23">
        <v>694.2</v>
      </c>
      <c r="P109" s="23">
        <v>678.2</v>
      </c>
      <c r="Q109" s="23">
        <v>155.69999999999999</v>
      </c>
      <c r="R109" s="23">
        <v>160.5</v>
      </c>
      <c r="S109" s="23">
        <v>214.1</v>
      </c>
      <c r="T109" s="23">
        <v>389</v>
      </c>
      <c r="U109" s="23">
        <v>785</v>
      </c>
      <c r="V109" s="23">
        <v>798</v>
      </c>
      <c r="W109" s="23">
        <v>826</v>
      </c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</row>
    <row r="110" spans="2:66" x14ac:dyDescent="0.25">
      <c r="B110" s="1" t="s">
        <v>72</v>
      </c>
      <c r="C110" s="25">
        <f t="shared" ref="C110:D110" si="127">+SUM(C108:C109)</f>
        <v>0</v>
      </c>
      <c r="D110" s="25">
        <f t="shared" si="127"/>
        <v>0</v>
      </c>
      <c r="E110" s="25">
        <f>+SUM(E108:E109)</f>
        <v>15750</v>
      </c>
      <c r="F110" s="25">
        <f t="shared" ref="F110:H110" si="128">+SUM(F108:F109)</f>
        <v>0</v>
      </c>
      <c r="G110" s="25">
        <f t="shared" si="128"/>
        <v>0</v>
      </c>
      <c r="H110" s="25">
        <f t="shared" si="128"/>
        <v>0</v>
      </c>
      <c r="I110" s="23"/>
      <c r="J110" s="23"/>
      <c r="K110" s="23"/>
      <c r="L110" s="25">
        <f t="shared" ref="L110:N110" si="129">+L108+L109</f>
        <v>0</v>
      </c>
      <c r="M110" s="25">
        <f t="shared" si="129"/>
        <v>0</v>
      </c>
      <c r="N110" s="25">
        <f t="shared" si="129"/>
        <v>11623.099999999999</v>
      </c>
      <c r="O110" s="25">
        <f>+O108+O109</f>
        <v>11963.900000000001</v>
      </c>
      <c r="P110" s="25">
        <v>12626.400000000001</v>
      </c>
      <c r="Q110" s="25">
        <v>10061.6</v>
      </c>
      <c r="R110" s="25">
        <v>10438.6</v>
      </c>
      <c r="S110" s="25">
        <v>12035</v>
      </c>
      <c r="T110" s="25">
        <v>13736</v>
      </c>
      <c r="U110" s="25">
        <v>14783</v>
      </c>
      <c r="V110" s="25">
        <f>SUM(V108:V109)</f>
        <v>16010</v>
      </c>
      <c r="W110" s="25">
        <f>SUM(W108:W109)</f>
        <v>15730</v>
      </c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</row>
    <row r="111" spans="2:66" x14ac:dyDescent="0.25">
      <c r="B111" t="s">
        <v>73</v>
      </c>
      <c r="C111" s="23"/>
      <c r="D111" s="23"/>
      <c r="E111" s="23">
        <v>11018</v>
      </c>
      <c r="F111" s="23"/>
      <c r="G111" s="23"/>
      <c r="H111" s="23"/>
      <c r="I111" s="23"/>
      <c r="J111" s="23"/>
      <c r="K111" s="23"/>
      <c r="L111" s="23"/>
      <c r="M111" s="23"/>
      <c r="N111" s="23">
        <v>4039.9</v>
      </c>
      <c r="O111" s="23">
        <v>4185.8</v>
      </c>
      <c r="P111" s="23">
        <v>4245.5</v>
      </c>
      <c r="Q111" s="23">
        <v>3171.6</v>
      </c>
      <c r="R111" s="23">
        <v>3122.2</v>
      </c>
      <c r="S111" s="23">
        <v>3815.4</v>
      </c>
      <c r="T111" s="23">
        <v>2976</v>
      </c>
      <c r="U111" s="23">
        <v>4347</v>
      </c>
      <c r="V111" s="23">
        <v>10026</v>
      </c>
      <c r="W111" s="23">
        <v>10556</v>
      </c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</row>
    <row r="112" spans="2:66" x14ac:dyDescent="0.25">
      <c r="B112" t="s">
        <v>74</v>
      </c>
      <c r="C112" s="23"/>
      <c r="D112" s="23"/>
      <c r="E112" s="23">
        <v>4593</v>
      </c>
      <c r="F112" s="23"/>
      <c r="G112" s="23"/>
      <c r="H112" s="23"/>
      <c r="I112" s="23"/>
      <c r="J112" s="23"/>
      <c r="K112" s="23"/>
      <c r="L112" s="23"/>
      <c r="M112" s="23"/>
      <c r="N112" s="23">
        <v>0</v>
      </c>
      <c r="O112" s="23">
        <v>0</v>
      </c>
      <c r="P112" s="23">
        <v>0</v>
      </c>
      <c r="Q112" s="23">
        <v>0</v>
      </c>
      <c r="R112" s="23">
        <v>3598.6</v>
      </c>
      <c r="S112" s="23">
        <v>3545.8</v>
      </c>
      <c r="T112" s="23">
        <v>3826</v>
      </c>
      <c r="U112" s="23">
        <v>4420</v>
      </c>
      <c r="V112" s="23">
        <v>4511</v>
      </c>
      <c r="W112" s="23">
        <v>5056</v>
      </c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</row>
    <row r="113" spans="2:66" x14ac:dyDescent="0.25">
      <c r="B113" t="s">
        <v>75</v>
      </c>
      <c r="C113" s="23"/>
      <c r="D113" s="23"/>
      <c r="E113" s="23">
        <v>7</v>
      </c>
      <c r="F113" s="23"/>
      <c r="G113" s="23"/>
      <c r="H113" s="23"/>
      <c r="I113" s="23"/>
      <c r="J113" s="23"/>
      <c r="K113" s="23"/>
      <c r="L113" s="23"/>
      <c r="M113" s="23"/>
      <c r="N113" s="23">
        <v>14.8</v>
      </c>
      <c r="O113" s="23">
        <v>19.600000000000001</v>
      </c>
      <c r="P113" s="23">
        <v>0.7</v>
      </c>
      <c r="Q113" s="23">
        <v>3</v>
      </c>
      <c r="R113" s="23">
        <v>47.9</v>
      </c>
      <c r="S113" s="23">
        <v>80</v>
      </c>
      <c r="T113" s="23">
        <v>0</v>
      </c>
      <c r="U113" s="23">
        <v>0</v>
      </c>
      <c r="V113" s="23">
        <v>13</v>
      </c>
      <c r="W113" s="23">
        <v>13</v>
      </c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</row>
    <row r="114" spans="2:66" x14ac:dyDescent="0.25">
      <c r="B114" t="s">
        <v>341</v>
      </c>
      <c r="C114" s="23"/>
      <c r="D114" s="23"/>
      <c r="E114" s="23">
        <v>78</v>
      </c>
      <c r="F114" s="23"/>
      <c r="G114" s="23"/>
      <c r="H114" s="23"/>
      <c r="I114" s="23"/>
      <c r="J114" s="23"/>
      <c r="K114" s="23"/>
      <c r="L114" s="23"/>
      <c r="M114" s="23"/>
      <c r="N114" s="23">
        <v>133.4</v>
      </c>
      <c r="O114" s="23">
        <v>142.6</v>
      </c>
      <c r="P114" s="23">
        <v>125.7</v>
      </c>
      <c r="Q114" s="23">
        <v>88</v>
      </c>
      <c r="R114" s="23">
        <v>106.5</v>
      </c>
      <c r="S114" s="23">
        <v>107.5</v>
      </c>
      <c r="T114" s="23">
        <v>89</v>
      </c>
      <c r="U114" s="23">
        <v>66</v>
      </c>
      <c r="V114" s="23">
        <v>68</v>
      </c>
      <c r="W114" s="23">
        <v>85</v>
      </c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</row>
    <row r="115" spans="2:66" x14ac:dyDescent="0.25">
      <c r="B115" t="s">
        <v>76</v>
      </c>
      <c r="C115" s="23"/>
      <c r="D115" s="23"/>
      <c r="E115" s="23">
        <v>27</v>
      </c>
      <c r="F115" s="23"/>
      <c r="G115" s="23"/>
      <c r="H115" s="23"/>
      <c r="I115" s="23"/>
      <c r="J115" s="23"/>
      <c r="K115" s="23"/>
      <c r="L115" s="23"/>
      <c r="M115" s="23"/>
      <c r="N115" s="23">
        <v>82.3</v>
      </c>
      <c r="O115" s="23">
        <v>74</v>
      </c>
      <c r="P115" s="23">
        <v>55.5</v>
      </c>
      <c r="Q115" s="23">
        <v>14.2</v>
      </c>
      <c r="R115" s="23">
        <v>15.1</v>
      </c>
      <c r="S115" s="23">
        <v>18.399999999999999</v>
      </c>
      <c r="T115" s="23">
        <v>16</v>
      </c>
      <c r="U115" s="23">
        <v>19</v>
      </c>
      <c r="V115" s="23">
        <v>21</v>
      </c>
      <c r="W115" s="23">
        <v>51</v>
      </c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</row>
    <row r="116" spans="2:66" x14ac:dyDescent="0.25">
      <c r="B116" t="s">
        <v>77</v>
      </c>
      <c r="C116" s="23"/>
      <c r="D116" s="23"/>
      <c r="E116" s="23">
        <v>1793</v>
      </c>
      <c r="F116" s="23"/>
      <c r="G116" s="23"/>
      <c r="H116" s="23"/>
      <c r="I116" s="23"/>
      <c r="J116" s="23"/>
      <c r="K116" s="23"/>
      <c r="L116" s="23"/>
      <c r="M116" s="23"/>
      <c r="N116" s="23">
        <v>2857.9</v>
      </c>
      <c r="O116" s="23">
        <v>2854.5</v>
      </c>
      <c r="P116" s="23">
        <v>2712.2</v>
      </c>
      <c r="Q116" s="23">
        <v>1578.6</v>
      </c>
      <c r="R116" s="23">
        <v>1530.4</v>
      </c>
      <c r="S116" s="23">
        <v>1485.1</v>
      </c>
      <c r="T116" s="23">
        <v>1452</v>
      </c>
      <c r="U116" s="23">
        <v>1572</v>
      </c>
      <c r="V116" s="23">
        <v>1776</v>
      </c>
      <c r="W116" s="23">
        <v>1985</v>
      </c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</row>
    <row r="117" spans="2:66" x14ac:dyDescent="0.25">
      <c r="B117" t="s">
        <v>78</v>
      </c>
      <c r="C117" s="23"/>
      <c r="D117" s="23"/>
      <c r="E117" s="23">
        <v>433</v>
      </c>
      <c r="F117" s="23"/>
      <c r="G117" s="23"/>
      <c r="H117" s="23"/>
      <c r="I117" s="23"/>
      <c r="J117" s="23"/>
      <c r="K117" s="23"/>
      <c r="L117" s="23"/>
      <c r="M117" s="23"/>
      <c r="N117" s="23">
        <v>0</v>
      </c>
      <c r="O117" s="23">
        <v>0</v>
      </c>
      <c r="P117" s="23">
        <v>48.8</v>
      </c>
      <c r="Q117" s="23">
        <v>40</v>
      </c>
      <c r="R117" s="23">
        <v>141.4</v>
      </c>
      <c r="S117" s="23">
        <v>183.6</v>
      </c>
      <c r="T117" s="23">
        <v>198</v>
      </c>
      <c r="U117" s="23">
        <v>228</v>
      </c>
      <c r="V117" s="23">
        <v>311</v>
      </c>
      <c r="W117" s="23">
        <v>278</v>
      </c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</row>
    <row r="118" spans="2:66" x14ac:dyDescent="0.25">
      <c r="B118" s="1" t="s">
        <v>79</v>
      </c>
      <c r="C118" s="25">
        <f t="shared" ref="C118:D118" si="130">+SUM(C111:C117)</f>
        <v>0</v>
      </c>
      <c r="D118" s="25">
        <f t="shared" si="130"/>
        <v>0</v>
      </c>
      <c r="E118" s="25">
        <f>+SUM(E111:E117)</f>
        <v>17949</v>
      </c>
      <c r="F118" s="25">
        <f t="shared" ref="F118:H118" si="131">+SUM(F111:F117)</f>
        <v>0</v>
      </c>
      <c r="G118" s="25">
        <f t="shared" si="131"/>
        <v>0</v>
      </c>
      <c r="H118" s="25">
        <f t="shared" si="131"/>
        <v>0</v>
      </c>
      <c r="I118" s="23"/>
      <c r="J118" s="23"/>
      <c r="K118" s="23"/>
      <c r="L118" s="25">
        <f t="shared" ref="L118:N118" si="132">+SUM(L111:L117)</f>
        <v>0</v>
      </c>
      <c r="M118" s="25">
        <f t="shared" si="132"/>
        <v>0</v>
      </c>
      <c r="N118" s="25">
        <f t="shared" si="132"/>
        <v>7128.3000000000011</v>
      </c>
      <c r="O118" s="25">
        <f>+SUM(O111:O117)</f>
        <v>7276.5000000000009</v>
      </c>
      <c r="P118" s="25">
        <v>7188.4</v>
      </c>
      <c r="Q118" s="25">
        <v>4895.3999999999996</v>
      </c>
      <c r="R118" s="25">
        <v>8562.0999999999985</v>
      </c>
      <c r="S118" s="25">
        <v>9235.8000000000011</v>
      </c>
      <c r="T118" s="25">
        <v>8557</v>
      </c>
      <c r="U118" s="25">
        <v>10652</v>
      </c>
      <c r="V118" s="25">
        <f>SUM(V111:V117)</f>
        <v>16726</v>
      </c>
      <c r="W118" s="25">
        <f>SUM(W111:W117)</f>
        <v>18024</v>
      </c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</row>
    <row r="119" spans="2:66" x14ac:dyDescent="0.25">
      <c r="B119" t="s">
        <v>80</v>
      </c>
      <c r="C119" s="23"/>
      <c r="D119" s="23"/>
      <c r="E119" s="23">
        <v>2838</v>
      </c>
      <c r="F119" s="23"/>
      <c r="G119" s="23"/>
      <c r="H119" s="23"/>
      <c r="I119" s="23"/>
      <c r="J119" s="23"/>
      <c r="K119" s="23"/>
      <c r="L119" s="23"/>
      <c r="M119" s="23"/>
      <c r="N119" s="23">
        <v>1785.9</v>
      </c>
      <c r="O119" s="23">
        <v>1234.5</v>
      </c>
      <c r="P119" s="23">
        <v>939.7</v>
      </c>
      <c r="Q119" s="23">
        <v>756.4</v>
      </c>
      <c r="R119" s="23">
        <v>1975.9</v>
      </c>
      <c r="S119" s="23">
        <v>1776.2</v>
      </c>
      <c r="T119" s="23">
        <v>2442</v>
      </c>
      <c r="U119" s="23">
        <v>2295</v>
      </c>
      <c r="V119" s="23">
        <v>2400</v>
      </c>
      <c r="W119" s="23">
        <v>3479</v>
      </c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</row>
    <row r="120" spans="2:66" x14ac:dyDescent="0.25">
      <c r="B120" t="s">
        <v>81</v>
      </c>
      <c r="C120" s="23"/>
      <c r="D120" s="23"/>
      <c r="E120" s="23">
        <v>914</v>
      </c>
      <c r="F120" s="23"/>
      <c r="G120" s="23"/>
      <c r="H120" s="23"/>
      <c r="I120" s="23"/>
      <c r="J120" s="23"/>
      <c r="K120" s="23"/>
      <c r="L120" s="23"/>
      <c r="M120" s="23"/>
      <c r="N120" s="23">
        <v>0</v>
      </c>
      <c r="O120" s="23">
        <v>0</v>
      </c>
      <c r="P120" s="23">
        <v>0</v>
      </c>
      <c r="Q120" s="23">
        <v>0</v>
      </c>
      <c r="R120" s="23">
        <v>720</v>
      </c>
      <c r="S120" s="23">
        <v>538</v>
      </c>
      <c r="T120" s="23">
        <v>675</v>
      </c>
      <c r="U120" s="23">
        <v>812</v>
      </c>
      <c r="V120" s="23">
        <v>884</v>
      </c>
      <c r="W120" s="23">
        <v>1051</v>
      </c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</row>
    <row r="121" spans="2:66" x14ac:dyDescent="0.25">
      <c r="B121" t="s">
        <v>82</v>
      </c>
      <c r="C121" s="23"/>
      <c r="D121" s="23"/>
      <c r="E121" s="23">
        <v>58</v>
      </c>
      <c r="F121" s="23"/>
      <c r="G121" s="23"/>
      <c r="H121" s="23"/>
      <c r="I121" s="23"/>
      <c r="J121" s="23"/>
      <c r="K121" s="23"/>
      <c r="L121" s="23"/>
      <c r="M121" s="23"/>
      <c r="N121" s="23">
        <v>238.9</v>
      </c>
      <c r="O121" s="23">
        <v>285.89999999999998</v>
      </c>
      <c r="P121" s="23">
        <v>367.6</v>
      </c>
      <c r="Q121" s="23">
        <v>553.20000000000005</v>
      </c>
      <c r="R121" s="23">
        <v>503.2</v>
      </c>
      <c r="S121" s="23">
        <v>338.1</v>
      </c>
      <c r="T121" s="23">
        <v>743</v>
      </c>
      <c r="U121" s="23">
        <v>663</v>
      </c>
      <c r="V121" s="23">
        <v>588</v>
      </c>
      <c r="W121" s="23">
        <v>343</v>
      </c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</row>
    <row r="122" spans="2:66" x14ac:dyDescent="0.25">
      <c r="B122" t="s">
        <v>342</v>
      </c>
      <c r="C122" s="23"/>
      <c r="D122" s="23"/>
      <c r="E122" s="23">
        <v>2132</v>
      </c>
      <c r="F122" s="23"/>
      <c r="G122" s="23"/>
      <c r="H122" s="23"/>
      <c r="I122" s="23"/>
      <c r="J122" s="23"/>
      <c r="K122" s="23"/>
      <c r="L122" s="23"/>
      <c r="M122" s="23"/>
      <c r="N122" s="23">
        <v>939.7</v>
      </c>
      <c r="O122" s="23">
        <v>1098.5</v>
      </c>
      <c r="P122" s="23">
        <v>1240.7</v>
      </c>
      <c r="Q122" s="23">
        <v>745.8</v>
      </c>
      <c r="R122" s="23">
        <v>808.7</v>
      </c>
      <c r="S122" s="23">
        <v>666</v>
      </c>
      <c r="T122" s="23">
        <v>1742</v>
      </c>
      <c r="U122" s="23">
        <v>2263</v>
      </c>
      <c r="V122" s="23">
        <v>2200</v>
      </c>
      <c r="W122" s="23">
        <v>2098</v>
      </c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</row>
    <row r="123" spans="2:66" x14ac:dyDescent="0.25">
      <c r="B123" t="s">
        <v>343</v>
      </c>
      <c r="C123" s="23"/>
      <c r="D123" s="23"/>
      <c r="E123" s="23">
        <v>13</v>
      </c>
      <c r="F123" s="23"/>
      <c r="G123" s="23"/>
      <c r="H123" s="23"/>
      <c r="I123" s="23"/>
      <c r="J123" s="23"/>
      <c r="K123" s="23"/>
      <c r="L123" s="23"/>
      <c r="M123" s="23"/>
      <c r="N123" s="23">
        <v>8.9</v>
      </c>
      <c r="O123" s="23">
        <v>8.1999999999999993</v>
      </c>
      <c r="P123" s="23">
        <v>10.7</v>
      </c>
      <c r="Q123" s="23">
        <v>8.6</v>
      </c>
      <c r="R123" s="23">
        <v>8.9</v>
      </c>
      <c r="S123" s="23">
        <v>12.2</v>
      </c>
      <c r="T123" s="23">
        <v>12</v>
      </c>
      <c r="U123" s="23">
        <v>12</v>
      </c>
      <c r="V123" s="23">
        <v>12</v>
      </c>
      <c r="W123" s="23">
        <v>13</v>
      </c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</row>
    <row r="124" spans="2:66" x14ac:dyDescent="0.25">
      <c r="B124" t="s">
        <v>83</v>
      </c>
      <c r="C124" s="23"/>
      <c r="D124" s="23"/>
      <c r="E124" s="23">
        <v>135</v>
      </c>
      <c r="F124" s="23"/>
      <c r="G124" s="23"/>
      <c r="H124" s="23"/>
      <c r="I124" s="23"/>
      <c r="J124" s="23"/>
      <c r="K124" s="23"/>
      <c r="L124" s="23"/>
      <c r="M124" s="23"/>
      <c r="N124" s="23">
        <v>157.30000000000001</v>
      </c>
      <c r="O124" s="23">
        <v>143.69999999999999</v>
      </c>
      <c r="P124" s="23">
        <v>182.4</v>
      </c>
      <c r="Q124" s="23">
        <v>255.7</v>
      </c>
      <c r="R124" s="23">
        <v>216</v>
      </c>
      <c r="S124" s="23">
        <v>212.4</v>
      </c>
      <c r="T124" s="23">
        <v>138</v>
      </c>
      <c r="U124" s="23">
        <v>168</v>
      </c>
      <c r="V124" s="23">
        <v>163</v>
      </c>
      <c r="W124" s="23">
        <v>191</v>
      </c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</row>
    <row r="125" spans="2:66" x14ac:dyDescent="0.25">
      <c r="B125" t="s">
        <v>84</v>
      </c>
      <c r="C125" s="23"/>
      <c r="D125" s="23"/>
      <c r="E125" s="23">
        <v>743</v>
      </c>
      <c r="F125" s="23"/>
      <c r="G125" s="23"/>
      <c r="H125" s="23"/>
      <c r="I125" s="23"/>
      <c r="J125" s="23"/>
      <c r="K125" s="23"/>
      <c r="L125" s="23"/>
      <c r="M125" s="23"/>
      <c r="N125" s="23">
        <v>334.6</v>
      </c>
      <c r="O125" s="23">
        <v>398.5</v>
      </c>
      <c r="P125" s="23">
        <v>815.4</v>
      </c>
      <c r="Q125" s="23">
        <v>1303.3</v>
      </c>
      <c r="R125" s="23">
        <v>1361.5</v>
      </c>
      <c r="S125" s="23">
        <v>901.3</v>
      </c>
      <c r="T125" s="23">
        <v>1148</v>
      </c>
      <c r="U125" s="23">
        <v>567</v>
      </c>
      <c r="V125" s="23">
        <v>536</v>
      </c>
      <c r="W125" s="23">
        <v>528</v>
      </c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</row>
    <row r="126" spans="2:66" x14ac:dyDescent="0.25">
      <c r="B126" t="s">
        <v>85</v>
      </c>
      <c r="C126" s="23"/>
      <c r="D126" s="23"/>
      <c r="E126" s="23">
        <v>1620</v>
      </c>
      <c r="F126" s="23"/>
      <c r="G126" s="23"/>
      <c r="H126" s="23"/>
      <c r="I126" s="23"/>
      <c r="J126" s="23"/>
      <c r="K126" s="23"/>
      <c r="L126" s="23"/>
      <c r="M126" s="23"/>
      <c r="N126" s="23">
        <v>1634.1</v>
      </c>
      <c r="O126" s="23">
        <v>1729.3</v>
      </c>
      <c r="P126" s="23">
        <v>2206.1</v>
      </c>
      <c r="Q126" s="23">
        <v>2787.5</v>
      </c>
      <c r="R126" s="23">
        <v>2553.3000000000002</v>
      </c>
      <c r="S126" s="23">
        <v>2290.4</v>
      </c>
      <c r="T126" s="23">
        <v>1875</v>
      </c>
      <c r="U126" s="23">
        <v>1726</v>
      </c>
      <c r="V126" s="23">
        <v>1848</v>
      </c>
      <c r="W126" s="23">
        <v>1889</v>
      </c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</row>
    <row r="127" spans="2:66" x14ac:dyDescent="0.25">
      <c r="B127" s="1" t="s">
        <v>86</v>
      </c>
      <c r="C127" s="25">
        <f t="shared" ref="C127:D127" si="133">+SUM(C119:C126)</f>
        <v>0</v>
      </c>
      <c r="D127" s="25">
        <f t="shared" si="133"/>
        <v>0</v>
      </c>
      <c r="E127" s="25">
        <f>+SUM(E119:E126)</f>
        <v>8453</v>
      </c>
      <c r="F127" s="25">
        <f t="shared" ref="F127:H127" si="134">+SUM(F119:F126)</f>
        <v>0</v>
      </c>
      <c r="G127" s="25">
        <f t="shared" si="134"/>
        <v>0</v>
      </c>
      <c r="H127" s="25">
        <f t="shared" si="134"/>
        <v>0</v>
      </c>
      <c r="I127" s="23"/>
      <c r="J127" s="23"/>
      <c r="K127" s="23"/>
      <c r="L127" s="23"/>
      <c r="M127" s="25">
        <f t="shared" ref="M127:N127" si="135">+SUM(M119:M126)</f>
        <v>0</v>
      </c>
      <c r="N127" s="25">
        <f t="shared" si="135"/>
        <v>5099.3999999999996</v>
      </c>
      <c r="O127" s="25">
        <f>+SUM(O119:O126)</f>
        <v>4898.5999999999995</v>
      </c>
      <c r="P127" s="25">
        <v>5762.6</v>
      </c>
      <c r="Q127" s="25">
        <v>6410.4999999999991</v>
      </c>
      <c r="R127" s="25">
        <v>8147.5000000000009</v>
      </c>
      <c r="S127" s="25">
        <v>6734.6</v>
      </c>
      <c r="T127" s="25">
        <v>8775</v>
      </c>
      <c r="U127" s="25">
        <v>8506</v>
      </c>
      <c r="V127" s="25">
        <f>SUM(V119:V126)</f>
        <v>8631</v>
      </c>
      <c r="W127" s="25">
        <f>SUM(W119:W126)</f>
        <v>9592</v>
      </c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</row>
    <row r="128" spans="2:66" x14ac:dyDescent="0.25">
      <c r="B128" t="s">
        <v>494</v>
      </c>
      <c r="C128" s="23">
        <v>0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/>
      <c r="J128" s="23"/>
      <c r="K128" s="23"/>
      <c r="L128" s="23"/>
      <c r="M128" s="23"/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</row>
    <row r="129" spans="1:66" x14ac:dyDescent="0.25">
      <c r="B129" s="1" t="s">
        <v>87</v>
      </c>
      <c r="C129" s="25">
        <f t="shared" ref="C129" si="136">C127+C118+C110+C128</f>
        <v>0</v>
      </c>
      <c r="D129" s="25">
        <f t="shared" ref="D129" si="137">D127+D118+D110+D128</f>
        <v>0</v>
      </c>
      <c r="E129" s="25">
        <f t="shared" ref="E129" si="138">E127+E118+E110+E128</f>
        <v>42152</v>
      </c>
      <c r="F129" s="25">
        <f t="shared" ref="F129" si="139">F127+F118+F110+F128</f>
        <v>0</v>
      </c>
      <c r="G129" s="25">
        <f t="shared" ref="G129" si="140">G127+G118+G110+G128</f>
        <v>0</v>
      </c>
      <c r="H129" s="25">
        <f t="shared" ref="H129" si="141">H127+H118+H110+H128</f>
        <v>0</v>
      </c>
      <c r="I129" s="23"/>
      <c r="J129" s="23"/>
      <c r="K129" s="23"/>
      <c r="L129" s="23"/>
      <c r="M129" s="25">
        <f t="shared" ref="M129:N129" si="142">+SUM(M127,M118,M110)</f>
        <v>0</v>
      </c>
      <c r="N129" s="25">
        <f>+SUM(N127,N118,N110)</f>
        <v>23850.799999999999</v>
      </c>
      <c r="O129" s="25">
        <f>+SUM(O127,O118,O110)</f>
        <v>24139</v>
      </c>
      <c r="P129" s="25">
        <f t="shared" ref="P129:V129" si="143">P127+P118+P110+P128</f>
        <v>25577.4</v>
      </c>
      <c r="Q129" s="25">
        <f t="shared" si="143"/>
        <v>21367.5</v>
      </c>
      <c r="R129" s="25">
        <f t="shared" si="143"/>
        <v>27148.199999999997</v>
      </c>
      <c r="S129" s="25">
        <f t="shared" si="143"/>
        <v>28005.4</v>
      </c>
      <c r="T129" s="25">
        <f t="shared" si="143"/>
        <v>31068</v>
      </c>
      <c r="U129" s="25">
        <f t="shared" si="143"/>
        <v>33941</v>
      </c>
      <c r="V129" s="25">
        <f t="shared" si="143"/>
        <v>41367</v>
      </c>
      <c r="W129" s="25">
        <f>W127+W118+W110+W128</f>
        <v>43346</v>
      </c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</row>
    <row r="130" spans="1:66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</row>
    <row r="131" spans="1:66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</row>
    <row r="132" spans="1:66" x14ac:dyDescent="0.25">
      <c r="A132" s="15" t="s">
        <v>52</v>
      </c>
      <c r="B132" s="14" t="s">
        <v>89</v>
      </c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</row>
    <row r="133" spans="1:66" x14ac:dyDescent="0.25">
      <c r="B133" t="s">
        <v>90</v>
      </c>
      <c r="C133" s="23"/>
      <c r="D133" s="23"/>
      <c r="E133" s="23">
        <v>940</v>
      </c>
      <c r="F133" s="23"/>
      <c r="G133" s="23"/>
      <c r="H133" s="23"/>
      <c r="I133" s="23"/>
      <c r="J133" s="23"/>
      <c r="K133" s="23"/>
      <c r="L133" s="23"/>
      <c r="M133" s="23"/>
      <c r="N133" s="23">
        <v>680.2</v>
      </c>
      <c r="O133" s="23">
        <v>880.1</v>
      </c>
      <c r="P133" s="23">
        <v>1751.9000000000003</v>
      </c>
      <c r="Q133" s="23">
        <v>2658.2999999999997</v>
      </c>
      <c r="R133" s="23">
        <v>2208.4000000000005</v>
      </c>
      <c r="S133" s="23">
        <v>2189.7000000000003</v>
      </c>
      <c r="T133" s="23">
        <v>3245</v>
      </c>
      <c r="U133" s="23">
        <v>3717</v>
      </c>
      <c r="V133" s="23">
        <v>3074</v>
      </c>
      <c r="W133" s="23">
        <v>1227</v>
      </c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</row>
    <row r="134" spans="1:66" x14ac:dyDescent="0.25">
      <c r="B134" t="s">
        <v>91</v>
      </c>
      <c r="C134" s="23"/>
      <c r="D134" s="23"/>
      <c r="E134" s="23">
        <v>1013</v>
      </c>
      <c r="F134" s="23"/>
      <c r="G134" s="23"/>
      <c r="H134" s="23"/>
      <c r="I134" s="23"/>
      <c r="J134" s="23"/>
      <c r="K134" s="23"/>
      <c r="L134" s="23"/>
      <c r="M134" s="23"/>
      <c r="N134" s="23">
        <v>409.6</v>
      </c>
      <c r="O134" s="23">
        <v>432</v>
      </c>
      <c r="P134" s="23">
        <v>432.1</v>
      </c>
      <c r="Q134" s="23">
        <v>491.9</v>
      </c>
      <c r="R134" s="23">
        <v>1245.3</v>
      </c>
      <c r="S134" s="23">
        <v>1439</v>
      </c>
      <c r="T134" s="23">
        <v>1453</v>
      </c>
      <c r="U134" s="23">
        <v>1666</v>
      </c>
      <c r="V134" s="23">
        <v>1823</v>
      </c>
      <c r="W134" s="23">
        <v>2113</v>
      </c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</row>
    <row r="135" spans="1:66" x14ac:dyDescent="0.25">
      <c r="B135" t="s">
        <v>92</v>
      </c>
      <c r="C135" s="23"/>
      <c r="D135" s="23"/>
      <c r="E135" s="23">
        <v>10</v>
      </c>
      <c r="F135" s="23"/>
      <c r="G135" s="23"/>
      <c r="H135" s="23"/>
      <c r="I135" s="23"/>
      <c r="J135" s="23"/>
      <c r="K135" s="23"/>
      <c r="L135" s="23"/>
      <c r="M135" s="23"/>
      <c r="N135" s="23">
        <v>209.6</v>
      </c>
      <c r="O135" s="23">
        <v>295</v>
      </c>
      <c r="P135" s="23">
        <v>10.3</v>
      </c>
      <c r="Q135" s="23">
        <v>-6.6</v>
      </c>
      <c r="R135" s="23">
        <v>-392.4</v>
      </c>
      <c r="S135" s="23">
        <v>-282.8</v>
      </c>
      <c r="T135" s="23">
        <v>18</v>
      </c>
      <c r="U135" s="23">
        <v>-334</v>
      </c>
      <c r="V135" s="23">
        <v>94</v>
      </c>
      <c r="W135" s="23">
        <v>57</v>
      </c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</row>
    <row r="136" spans="1:66" x14ac:dyDescent="0.25">
      <c r="B136" t="s">
        <v>93</v>
      </c>
      <c r="C136" s="23"/>
      <c r="D136" s="23"/>
      <c r="E136" s="23">
        <v>229</v>
      </c>
      <c r="F136" s="23"/>
      <c r="G136" s="23"/>
      <c r="H136" s="23"/>
      <c r="I136" s="23"/>
      <c r="J136" s="23"/>
      <c r="K136" s="23"/>
      <c r="L136" s="23"/>
      <c r="M136" s="23"/>
      <c r="N136" s="23">
        <v>168.8</v>
      </c>
      <c r="O136" s="23">
        <v>179.3</v>
      </c>
      <c r="P136" s="23">
        <v>181.4</v>
      </c>
      <c r="Q136" s="23">
        <v>186.6</v>
      </c>
      <c r="R136" s="23">
        <v>277.10000000000002</v>
      </c>
      <c r="S136" s="23">
        <v>277.39999999999998</v>
      </c>
      <c r="T136" s="23">
        <v>215</v>
      </c>
      <c r="U136" s="23">
        <v>287</v>
      </c>
      <c r="V136" s="23">
        <v>300</v>
      </c>
      <c r="W136" s="23">
        <v>559</v>
      </c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</row>
    <row r="137" spans="1:66" x14ac:dyDescent="0.25">
      <c r="B137" t="s">
        <v>94</v>
      </c>
      <c r="C137" s="23"/>
      <c r="D137" s="23"/>
      <c r="E137" s="23">
        <v>-2</v>
      </c>
      <c r="F137" s="23"/>
      <c r="G137" s="23"/>
      <c r="H137" s="23"/>
      <c r="I137" s="23"/>
      <c r="J137" s="23"/>
      <c r="K137" s="23"/>
      <c r="L137" s="23"/>
      <c r="M137" s="23"/>
      <c r="N137" s="23">
        <v>-1.4</v>
      </c>
      <c r="O137" s="23">
        <v>-0.7</v>
      </c>
      <c r="P137" s="23">
        <v>-0.2</v>
      </c>
      <c r="Q137" s="23">
        <v>-1</v>
      </c>
      <c r="R137" s="23">
        <v>0</v>
      </c>
      <c r="S137" s="23">
        <v>0</v>
      </c>
      <c r="T137" s="23">
        <v>-2</v>
      </c>
      <c r="U137" s="23">
        <v>-7</v>
      </c>
      <c r="V137" s="23">
        <v>-9</v>
      </c>
      <c r="W137" s="23">
        <v>-2</v>
      </c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</row>
    <row r="138" spans="1:66" x14ac:dyDescent="0.25">
      <c r="B138" t="s">
        <v>95</v>
      </c>
      <c r="C138" s="23"/>
      <c r="D138" s="23"/>
      <c r="E138" s="23">
        <v>312</v>
      </c>
      <c r="F138" s="23"/>
      <c r="G138" s="23"/>
      <c r="H138" s="23"/>
      <c r="I138" s="23"/>
      <c r="J138" s="23"/>
      <c r="K138" s="23"/>
      <c r="L138" s="23"/>
      <c r="M138" s="23"/>
      <c r="N138" s="23">
        <v>378.5</v>
      </c>
      <c r="O138" s="23">
        <v>386.1</v>
      </c>
      <c r="P138" s="23">
        <v>749.4</v>
      </c>
      <c r="Q138" s="23">
        <v>1062.4000000000001</v>
      </c>
      <c r="R138" s="23">
        <v>2597.9</v>
      </c>
      <c r="S138" s="23">
        <v>657</v>
      </c>
      <c r="T138" s="23">
        <v>1458</v>
      </c>
      <c r="U138" s="23">
        <v>1597</v>
      </c>
      <c r="V138" s="23">
        <v>1007</v>
      </c>
      <c r="W138" s="23">
        <v>526</v>
      </c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</row>
    <row r="139" spans="1:66" x14ac:dyDescent="0.25">
      <c r="B139" t="s">
        <v>96</v>
      </c>
      <c r="C139" s="23"/>
      <c r="D139" s="23"/>
      <c r="E139" s="23">
        <v>44</v>
      </c>
      <c r="F139" s="23"/>
      <c r="G139" s="23"/>
      <c r="H139" s="23"/>
      <c r="I139" s="23"/>
      <c r="J139" s="23"/>
      <c r="K139" s="23"/>
      <c r="L139" s="23"/>
      <c r="M139" s="23"/>
      <c r="N139" s="23">
        <v>-219.3</v>
      </c>
      <c r="O139" s="23">
        <v>-84.4</v>
      </c>
      <c r="P139" s="23">
        <v>-35.799999999999997</v>
      </c>
      <c r="Q139" s="23">
        <v>-51.6</v>
      </c>
      <c r="R139" s="23">
        <v>-557.5</v>
      </c>
      <c r="S139" s="23">
        <v>44.4</v>
      </c>
      <c r="T139" s="23">
        <v>-38</v>
      </c>
      <c r="U139" s="23">
        <v>-902</v>
      </c>
      <c r="V139" s="23">
        <v>-396</v>
      </c>
      <c r="W139" s="23">
        <v>667</v>
      </c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</row>
    <row r="140" spans="1:66" x14ac:dyDescent="0.25">
      <c r="B140" t="s">
        <v>97</v>
      </c>
      <c r="C140" s="23"/>
      <c r="D140" s="23"/>
      <c r="E140" s="23">
        <v>-100</v>
      </c>
      <c r="F140" s="23"/>
      <c r="G140" s="23"/>
      <c r="H140" s="23"/>
      <c r="I140" s="23"/>
      <c r="J140" s="23"/>
      <c r="K140" s="23"/>
      <c r="L140" s="23"/>
      <c r="M140" s="23"/>
      <c r="N140" s="23">
        <v>-330.4</v>
      </c>
      <c r="O140" s="23">
        <v>-295.5</v>
      </c>
      <c r="P140" s="23">
        <v>-316</v>
      </c>
      <c r="Q140" s="23">
        <v>-562</v>
      </c>
      <c r="R140" s="23">
        <v>-2903.5</v>
      </c>
      <c r="S140" s="23">
        <v>-1436.1</v>
      </c>
      <c r="T140" s="23">
        <v>-1473</v>
      </c>
      <c r="U140" s="23">
        <v>-1746</v>
      </c>
      <c r="V140" s="23">
        <v>-1434</v>
      </c>
      <c r="W140" s="23">
        <v>-438</v>
      </c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</row>
    <row r="141" spans="1:66" x14ac:dyDescent="0.25">
      <c r="B141" s="1" t="s">
        <v>108</v>
      </c>
      <c r="C141" s="23"/>
      <c r="D141" s="23"/>
      <c r="E141" s="25">
        <f>+SUM(E133:E140)</f>
        <v>2446</v>
      </c>
      <c r="F141" s="23"/>
      <c r="G141" s="23"/>
      <c r="H141" s="23"/>
      <c r="I141" s="23"/>
      <c r="J141" s="23"/>
      <c r="K141" s="23"/>
      <c r="L141" s="23"/>
      <c r="M141" s="25">
        <f t="shared" ref="M141:N141" si="144">+SUM(M133:M140)</f>
        <v>0</v>
      </c>
      <c r="N141" s="25">
        <f t="shared" si="144"/>
        <v>1295.5999999999999</v>
      </c>
      <c r="O141" s="25">
        <f>+SUM(O133:O140)</f>
        <v>1791.8999999999996</v>
      </c>
      <c r="P141" s="25">
        <v>2773.1000000000004</v>
      </c>
      <c r="Q141" s="25">
        <v>3778</v>
      </c>
      <c r="R141" s="25">
        <v>2475.3000000000011</v>
      </c>
      <c r="S141" s="25">
        <v>2888.6</v>
      </c>
      <c r="T141" s="25">
        <v>4876</v>
      </c>
      <c r="U141" s="25">
        <v>4278</v>
      </c>
      <c r="V141" s="25">
        <f>+SUM(V133:V140)</f>
        <v>4459</v>
      </c>
      <c r="W141" s="25">
        <f>+SUM(W133:W140)</f>
        <v>4709</v>
      </c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</row>
    <row r="142" spans="1:66" x14ac:dyDescent="0.25">
      <c r="B142" t="s">
        <v>182</v>
      </c>
      <c r="C142" s="23"/>
      <c r="D142" s="23"/>
      <c r="E142" s="23">
        <v>-1391</v>
      </c>
      <c r="F142" s="23"/>
      <c r="G142" s="23"/>
      <c r="H142" s="23"/>
      <c r="I142" s="23"/>
      <c r="J142" s="23"/>
      <c r="K142" s="23"/>
      <c r="L142" s="23"/>
      <c r="M142" s="23"/>
      <c r="N142" s="23">
        <f>-672.1+36.7</f>
        <v>-635.4</v>
      </c>
      <c r="O142" s="23">
        <f>-611+8.5</f>
        <v>-602.5</v>
      </c>
      <c r="P142" s="23">
        <v>-567.6</v>
      </c>
      <c r="Q142" s="23">
        <v>-822.8</v>
      </c>
      <c r="R142" s="23">
        <v>-954.59999999999991</v>
      </c>
      <c r="S142" s="23">
        <v>-784</v>
      </c>
      <c r="T142" s="23">
        <v>-928</v>
      </c>
      <c r="U142" s="23">
        <v>-1070</v>
      </c>
      <c r="V142" s="23">
        <f>-2611+135</f>
        <v>-2476</v>
      </c>
      <c r="W142" s="23">
        <f>-3309+32</f>
        <v>-3277</v>
      </c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</row>
    <row r="143" spans="1:66" x14ac:dyDescent="0.25">
      <c r="B143" t="s">
        <v>344</v>
      </c>
      <c r="C143" s="23"/>
      <c r="D143" s="23"/>
      <c r="E143" s="23">
        <v>-23</v>
      </c>
      <c r="F143" s="23"/>
      <c r="G143" s="23"/>
      <c r="H143" s="23"/>
      <c r="I143" s="23"/>
      <c r="J143" s="23"/>
      <c r="K143" s="23"/>
      <c r="L143" s="23"/>
      <c r="M143" s="23"/>
      <c r="N143" s="23">
        <f>-20.2-5.4</f>
        <v>-25.6</v>
      </c>
      <c r="O143" s="23">
        <f>-4.2-6</f>
        <v>-10.199999999999999</v>
      </c>
      <c r="P143" s="23">
        <v>1.6</v>
      </c>
      <c r="Q143" s="23">
        <v>-15.8</v>
      </c>
      <c r="R143" s="23">
        <v>-41.6</v>
      </c>
      <c r="S143" s="23">
        <v>662.5</v>
      </c>
      <c r="T143" s="23">
        <v>-488</v>
      </c>
      <c r="U143" s="23">
        <v>-1597</v>
      </c>
      <c r="V143" s="23">
        <v>-5093</v>
      </c>
      <c r="W143" s="23">
        <v>-35</v>
      </c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</row>
    <row r="144" spans="1:66" x14ac:dyDescent="0.25">
      <c r="B144" t="s">
        <v>345</v>
      </c>
      <c r="C144" s="23"/>
      <c r="D144" s="23"/>
      <c r="E144" s="23">
        <f>-35+97</f>
        <v>62</v>
      </c>
      <c r="F144" s="23"/>
      <c r="G144" s="23"/>
      <c r="H144" s="23"/>
      <c r="I144" s="23"/>
      <c r="J144" s="23"/>
      <c r="K144" s="23"/>
      <c r="L144" s="23"/>
      <c r="M144" s="23"/>
      <c r="N144" s="23">
        <f>-131.1+21</f>
        <v>-110.1</v>
      </c>
      <c r="O144" s="23">
        <f>-87.4+16.4</f>
        <v>-71</v>
      </c>
      <c r="P144" s="23">
        <v>-33.299999999999997</v>
      </c>
      <c r="Q144" s="23">
        <v>-58.4</v>
      </c>
      <c r="R144" s="23">
        <v>-209.00000000000003</v>
      </c>
      <c r="S144" s="23">
        <v>-81.899999999999977</v>
      </c>
      <c r="T144" s="23">
        <v>927</v>
      </c>
      <c r="U144" s="23">
        <v>-120</v>
      </c>
      <c r="V144" s="23">
        <f>-56+251</f>
        <v>195</v>
      </c>
      <c r="W144" s="23">
        <f>140-83</f>
        <v>57</v>
      </c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</row>
    <row r="145" spans="2:66" x14ac:dyDescent="0.25">
      <c r="B145" t="s">
        <v>98</v>
      </c>
      <c r="C145" s="23"/>
      <c r="D145" s="23"/>
      <c r="E145" s="23">
        <v>30</v>
      </c>
      <c r="F145" s="23"/>
      <c r="G145" s="23"/>
      <c r="H145" s="23"/>
      <c r="I145" s="23"/>
      <c r="J145" s="23"/>
      <c r="K145" s="23"/>
      <c r="L145" s="23"/>
      <c r="M145" s="23"/>
      <c r="N145" s="23">
        <v>12.4</v>
      </c>
      <c r="O145" s="23">
        <v>14</v>
      </c>
      <c r="P145" s="23">
        <v>5.2</v>
      </c>
      <c r="Q145" s="23">
        <v>5.4</v>
      </c>
      <c r="R145" s="23">
        <v>19.11</v>
      </c>
      <c r="S145" s="23">
        <v>6.9</v>
      </c>
      <c r="T145" s="23">
        <v>37</v>
      </c>
      <c r="U145" s="23">
        <v>17</v>
      </c>
      <c r="V145" s="23">
        <v>76</v>
      </c>
      <c r="W145" s="23">
        <v>70</v>
      </c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</row>
    <row r="146" spans="2:66" x14ac:dyDescent="0.25">
      <c r="B146" s="1" t="s">
        <v>109</v>
      </c>
      <c r="C146" s="25">
        <f t="shared" ref="C146:D146" si="145">+SUM(C142:C145)</f>
        <v>0</v>
      </c>
      <c r="D146" s="25">
        <f t="shared" si="145"/>
        <v>0</v>
      </c>
      <c r="E146" s="25">
        <f>+SUM(E142:E145)</f>
        <v>-1322</v>
      </c>
      <c r="F146" s="25">
        <f t="shared" ref="F146:H146" si="146">+SUM(F142:F145)</f>
        <v>0</v>
      </c>
      <c r="G146" s="25">
        <f t="shared" si="146"/>
        <v>0</v>
      </c>
      <c r="H146" s="25">
        <f t="shared" si="146"/>
        <v>0</v>
      </c>
      <c r="I146" s="23"/>
      <c r="J146" s="23"/>
      <c r="K146" s="23"/>
      <c r="L146" s="23"/>
      <c r="M146" s="25">
        <f t="shared" ref="M146:N146" si="147">+SUM(M142:M145)</f>
        <v>0</v>
      </c>
      <c r="N146" s="25">
        <f t="shared" si="147"/>
        <v>-758.7</v>
      </c>
      <c r="O146" s="25">
        <f>+SUM(O142:O145)</f>
        <v>-669.7</v>
      </c>
      <c r="P146" s="25">
        <v>-594.09999999999991</v>
      </c>
      <c r="Q146" s="25">
        <v>-891.59999999999991</v>
      </c>
      <c r="R146" s="25">
        <v>-1186.0900000000001</v>
      </c>
      <c r="S146" s="25">
        <v>-196.49999999999997</v>
      </c>
      <c r="T146" s="25">
        <v>-452</v>
      </c>
      <c r="U146" s="25">
        <v>-2770</v>
      </c>
      <c r="V146" s="25">
        <f>SUM(V142:V145)</f>
        <v>-7298</v>
      </c>
      <c r="W146" s="25">
        <f>SUM(W142:W145)</f>
        <v>-3185</v>
      </c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</row>
    <row r="147" spans="2:66" x14ac:dyDescent="0.25">
      <c r="B147" t="s">
        <v>99</v>
      </c>
      <c r="C147" s="23"/>
      <c r="D147" s="23"/>
      <c r="E147" s="23">
        <v>0</v>
      </c>
      <c r="F147" s="23"/>
      <c r="G147" s="23"/>
      <c r="H147" s="23"/>
      <c r="I147" s="23"/>
      <c r="J147" s="23"/>
      <c r="K147" s="23"/>
      <c r="L147" s="23"/>
      <c r="M147" s="23"/>
      <c r="N147" s="23">
        <v>2.1</v>
      </c>
      <c r="O147" s="23">
        <v>-0.2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38</v>
      </c>
      <c r="V147" s="23">
        <v>0</v>
      </c>
      <c r="W147" s="23">
        <v>0</v>
      </c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</row>
    <row r="148" spans="2:66" x14ac:dyDescent="0.25">
      <c r="B148" t="s">
        <v>100</v>
      </c>
      <c r="C148" s="23"/>
      <c r="D148" s="23"/>
      <c r="E148" s="23">
        <f>-1716-6</f>
        <v>-1722</v>
      </c>
      <c r="F148" s="23"/>
      <c r="G148" s="23"/>
      <c r="H148" s="23"/>
      <c r="I148" s="23"/>
      <c r="J148" s="23"/>
      <c r="K148" s="23"/>
      <c r="L148" s="23"/>
      <c r="M148" s="23"/>
      <c r="N148" s="23">
        <v>-504.9</v>
      </c>
      <c r="O148" s="23">
        <v>-504.9</v>
      </c>
      <c r="P148" s="23">
        <v>-597.29999999999995</v>
      </c>
      <c r="Q148" s="23">
        <v>-780.4</v>
      </c>
      <c r="R148" s="23">
        <v>-1342</v>
      </c>
      <c r="S148" s="23">
        <v>-1009.4</v>
      </c>
      <c r="T148" s="23">
        <v>-1025</v>
      </c>
      <c r="U148" s="23">
        <v>-1528</v>
      </c>
      <c r="V148" s="23">
        <f>-1712-42</f>
        <v>-1754</v>
      </c>
      <c r="W148" s="23">
        <f>-1716-24</f>
        <v>-1740</v>
      </c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</row>
    <row r="149" spans="2:66" x14ac:dyDescent="0.25">
      <c r="B149" t="s">
        <v>101</v>
      </c>
      <c r="C149" s="23"/>
      <c r="D149" s="23"/>
      <c r="E149" s="23">
        <v>-3</v>
      </c>
      <c r="F149" s="23"/>
      <c r="G149" s="23"/>
      <c r="H149" s="23"/>
      <c r="I149" s="23"/>
      <c r="J149" s="23"/>
      <c r="K149" s="23"/>
      <c r="L149" s="23"/>
      <c r="M149" s="23"/>
      <c r="N149" s="23">
        <v>-56.6</v>
      </c>
      <c r="O149" s="23">
        <v>-36.5</v>
      </c>
      <c r="P149" s="23">
        <v>-27.8</v>
      </c>
      <c r="Q149" s="23">
        <v>-2.7</v>
      </c>
      <c r="R149" s="23">
        <v>-19.2</v>
      </c>
      <c r="S149" s="23">
        <v>-27.5</v>
      </c>
      <c r="T149" s="23">
        <v>2</v>
      </c>
      <c r="U149" s="23">
        <v>317</v>
      </c>
      <c r="V149" s="23">
        <v>-24</v>
      </c>
      <c r="W149" s="23">
        <v>-73</v>
      </c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</row>
    <row r="150" spans="2:66" x14ac:dyDescent="0.25">
      <c r="B150" t="s">
        <v>346</v>
      </c>
      <c r="C150" s="23"/>
      <c r="D150" s="23"/>
      <c r="E150" s="23">
        <v>3</v>
      </c>
      <c r="F150" s="23"/>
      <c r="G150" s="23"/>
      <c r="H150" s="23"/>
      <c r="I150" s="23"/>
      <c r="J150" s="23"/>
      <c r="K150" s="23"/>
      <c r="L150" s="23"/>
      <c r="M150" s="23"/>
      <c r="N150" s="23">
        <v>-7.3</v>
      </c>
      <c r="O150" s="23">
        <v>0.5</v>
      </c>
      <c r="P150" s="23">
        <v>0.2</v>
      </c>
      <c r="Q150" s="23">
        <v>-167.9</v>
      </c>
      <c r="R150" s="23">
        <v>-402.1</v>
      </c>
      <c r="S150" s="23">
        <v>-54.1</v>
      </c>
      <c r="T150" s="23">
        <v>-538</v>
      </c>
      <c r="U150" s="23">
        <v>-1030</v>
      </c>
      <c r="V150" s="23">
        <v>-10</v>
      </c>
      <c r="W150" s="23">
        <v>2</v>
      </c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</row>
    <row r="151" spans="2:66" x14ac:dyDescent="0.25">
      <c r="B151" t="s">
        <v>102</v>
      </c>
      <c r="C151" s="23"/>
      <c r="D151" s="23"/>
      <c r="E151" s="23">
        <v>1750</v>
      </c>
      <c r="F151" s="23"/>
      <c r="G151" s="23"/>
      <c r="H151" s="23"/>
      <c r="I151" s="23"/>
      <c r="J151" s="23"/>
      <c r="K151" s="23"/>
      <c r="L151" s="23"/>
      <c r="M151" s="23"/>
      <c r="N151" s="23">
        <v>1070.4000000000001</v>
      </c>
      <c r="O151" s="23">
        <v>570.5</v>
      </c>
      <c r="P151" s="23">
        <v>299.39999999999998</v>
      </c>
      <c r="Q151" s="23">
        <v>73.099999999999994</v>
      </c>
      <c r="R151" s="23">
        <v>644.6</v>
      </c>
      <c r="S151" s="23">
        <v>1443.1</v>
      </c>
      <c r="T151" s="23">
        <v>63</v>
      </c>
      <c r="U151" s="23">
        <v>1742</v>
      </c>
      <c r="V151" s="23">
        <v>6205</v>
      </c>
      <c r="W151" s="23">
        <v>2493</v>
      </c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</row>
    <row r="152" spans="2:66" x14ac:dyDescent="0.25">
      <c r="B152" t="s">
        <v>103</v>
      </c>
      <c r="C152" s="23"/>
      <c r="D152" s="23"/>
      <c r="E152" s="23">
        <v>-512</v>
      </c>
      <c r="F152" s="23"/>
      <c r="G152" s="23"/>
      <c r="H152" s="23"/>
      <c r="I152" s="23"/>
      <c r="J152" s="23"/>
      <c r="K152" s="23"/>
      <c r="L152" s="23"/>
      <c r="M152" s="23"/>
      <c r="N152" s="23">
        <v>-756.7</v>
      </c>
      <c r="O152" s="23">
        <v>-51.9</v>
      </c>
      <c r="P152" s="23">
        <v>-410.1</v>
      </c>
      <c r="Q152" s="23">
        <v>-1404.5</v>
      </c>
      <c r="R152" s="23">
        <v>-287.60000000000002</v>
      </c>
      <c r="S152" s="23">
        <v>-642.29999999999995</v>
      </c>
      <c r="T152" s="23">
        <v>-583</v>
      </c>
      <c r="U152" s="23">
        <v>-904</v>
      </c>
      <c r="V152" s="23">
        <v>-957</v>
      </c>
      <c r="W152" s="23">
        <v>-525</v>
      </c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</row>
    <row r="153" spans="2:66" x14ac:dyDescent="0.25">
      <c r="B153" t="s">
        <v>104</v>
      </c>
      <c r="C153" s="23"/>
      <c r="D153" s="23"/>
      <c r="E153" s="23">
        <v>153</v>
      </c>
      <c r="F153" s="23"/>
      <c r="G153" s="23"/>
      <c r="H153" s="23"/>
      <c r="I153" s="23"/>
      <c r="J153" s="23"/>
      <c r="K153" s="23"/>
      <c r="L153" s="23"/>
      <c r="M153" s="23"/>
      <c r="N153" s="23">
        <v>87.3</v>
      </c>
      <c r="O153" s="23">
        <v>-1054.7</v>
      </c>
      <c r="P153" s="23">
        <v>-364.6</v>
      </c>
      <c r="Q153" s="23">
        <v>-27.9</v>
      </c>
      <c r="R153" s="23">
        <v>798.8</v>
      </c>
      <c r="S153" s="23">
        <v>-258.60000000000002</v>
      </c>
      <c r="T153" s="23">
        <v>152</v>
      </c>
      <c r="U153" s="23">
        <v>343</v>
      </c>
      <c r="V153" s="23">
        <v>174</v>
      </c>
      <c r="W153" s="23">
        <v>-394</v>
      </c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</row>
    <row r="154" spans="2:66" x14ac:dyDescent="0.25">
      <c r="B154" t="s">
        <v>105</v>
      </c>
      <c r="C154" s="23"/>
      <c r="D154" s="23"/>
      <c r="E154" s="23">
        <v>-530</v>
      </c>
      <c r="F154" s="23"/>
      <c r="G154" s="23"/>
      <c r="H154" s="23"/>
      <c r="I154" s="23"/>
      <c r="J154" s="23"/>
      <c r="K154" s="23"/>
      <c r="L154" s="23"/>
      <c r="M154" s="23"/>
      <c r="N154" s="23">
        <v>0</v>
      </c>
      <c r="O154" s="23">
        <v>0</v>
      </c>
      <c r="P154" s="23">
        <v>0</v>
      </c>
      <c r="Q154" s="23">
        <v>0</v>
      </c>
      <c r="R154" s="23">
        <v>639.6</v>
      </c>
      <c r="S154" s="23">
        <v>787.3</v>
      </c>
      <c r="T154" s="23">
        <v>776</v>
      </c>
      <c r="U154" s="23">
        <v>824</v>
      </c>
      <c r="V154" s="23">
        <v>-880</v>
      </c>
      <c r="W154" s="23">
        <v>-1049</v>
      </c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</row>
    <row r="155" spans="2:66" x14ac:dyDescent="0.25">
      <c r="B155" t="s">
        <v>106</v>
      </c>
      <c r="C155" s="23"/>
      <c r="D155" s="23"/>
      <c r="E155" s="23">
        <v>-254</v>
      </c>
      <c r="F155" s="23"/>
      <c r="G155" s="23"/>
      <c r="H155" s="23"/>
      <c r="I155" s="23"/>
      <c r="J155" s="23"/>
      <c r="K155" s="23"/>
      <c r="L155" s="23"/>
      <c r="M155" s="23"/>
      <c r="N155" s="23">
        <v>-178.8</v>
      </c>
      <c r="O155" s="23">
        <v>-186.6</v>
      </c>
      <c r="P155" s="23">
        <v>184.7</v>
      </c>
      <c r="Q155" s="23">
        <v>192.4</v>
      </c>
      <c r="R155" s="23">
        <v>289.89999999999998</v>
      </c>
      <c r="S155" s="23">
        <v>287</v>
      </c>
      <c r="T155" s="23">
        <v>222</v>
      </c>
      <c r="U155" s="23">
        <v>298</v>
      </c>
      <c r="V155" s="23">
        <v>-377</v>
      </c>
      <c r="W155" s="23">
        <v>-610</v>
      </c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</row>
    <row r="156" spans="2:66" x14ac:dyDescent="0.25">
      <c r="B156" s="1" t="s">
        <v>110</v>
      </c>
      <c r="C156" s="23"/>
      <c r="D156" s="23"/>
      <c r="E156" s="23">
        <f>+SUM(E147:E155)</f>
        <v>-1115</v>
      </c>
      <c r="F156" s="23"/>
      <c r="G156" s="23"/>
      <c r="H156" s="23"/>
      <c r="I156" s="23"/>
      <c r="J156" s="23"/>
      <c r="K156" s="23"/>
      <c r="L156" s="23"/>
      <c r="M156" s="25">
        <f t="shared" ref="M156:N156" si="148">+SUM(M147:M155)</f>
        <v>0</v>
      </c>
      <c r="N156" s="25">
        <f t="shared" si="148"/>
        <v>-344.49999999999989</v>
      </c>
      <c r="O156" s="25">
        <f>+SUM(O147:O155)</f>
        <v>-1263.8</v>
      </c>
      <c r="P156" s="25">
        <v>-1284.8999999999999</v>
      </c>
      <c r="Q156" s="25">
        <v>-2502.7000000000003</v>
      </c>
      <c r="R156" s="25">
        <v>-1537.0000000000005</v>
      </c>
      <c r="S156" s="25">
        <v>-1623.1</v>
      </c>
      <c r="T156" s="25">
        <v>-2927</v>
      </c>
      <c r="U156" s="25">
        <v>-2144</v>
      </c>
      <c r="V156" s="25">
        <f>SUM(V147:V155)</f>
        <v>2377</v>
      </c>
      <c r="W156" s="25">
        <f>SUM(W147:W155)</f>
        <v>-1896</v>
      </c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</row>
    <row r="157" spans="2:66" x14ac:dyDescent="0.25">
      <c r="B157" t="s">
        <v>348</v>
      </c>
      <c r="C157" s="23"/>
      <c r="D157" s="23"/>
      <c r="E157" s="23">
        <v>0</v>
      </c>
      <c r="F157" s="23"/>
      <c r="G157" s="23"/>
      <c r="H157" s="23"/>
      <c r="I157" s="23"/>
      <c r="J157" s="23"/>
      <c r="K157" s="23"/>
      <c r="L157" s="23"/>
      <c r="M157" s="23"/>
      <c r="N157" s="23">
        <v>4.5</v>
      </c>
      <c r="O157" s="23">
        <v>-17.7</v>
      </c>
      <c r="P157" s="23">
        <v>87.7</v>
      </c>
      <c r="Q157" s="23">
        <v>-379.1</v>
      </c>
      <c r="R157" s="23">
        <v>132.69999999999999</v>
      </c>
      <c r="S157" s="23">
        <v>-4.3</v>
      </c>
      <c r="T157" s="23">
        <v>-2</v>
      </c>
      <c r="U157" s="23">
        <v>-8</v>
      </c>
      <c r="V157" s="23">
        <v>0</v>
      </c>
      <c r="W157" s="23">
        <v>0</v>
      </c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</row>
    <row r="158" spans="2:66" x14ac:dyDescent="0.25">
      <c r="B158" t="s">
        <v>347</v>
      </c>
      <c r="C158" s="23"/>
      <c r="D158" s="23"/>
      <c r="E158" s="23">
        <v>37</v>
      </c>
      <c r="F158" s="23"/>
      <c r="G158" s="23"/>
      <c r="H158" s="23"/>
      <c r="I158" s="23"/>
      <c r="J158" s="23"/>
      <c r="K158" s="23"/>
      <c r="L158" s="23"/>
      <c r="M158" s="23"/>
      <c r="N158" s="23">
        <v>-98.4</v>
      </c>
      <c r="O158" s="23">
        <v>13.9</v>
      </c>
      <c r="P158" s="23">
        <v>159.80000000000001</v>
      </c>
      <c r="Q158" s="23">
        <v>-67.599999999999994</v>
      </c>
      <c r="R158" s="23">
        <v>116.4</v>
      </c>
      <c r="S158" s="23">
        <v>97.8</v>
      </c>
      <c r="T158" s="23">
        <v>21</v>
      </c>
      <c r="U158" s="23">
        <v>222</v>
      </c>
      <c r="V158" s="23">
        <v>18</v>
      </c>
      <c r="W158" s="23">
        <v>31</v>
      </c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</row>
    <row r="159" spans="2:66" x14ac:dyDescent="0.25">
      <c r="B159" s="1" t="s">
        <v>107</v>
      </c>
      <c r="C159" s="23"/>
      <c r="D159" s="23"/>
      <c r="E159" s="25">
        <f>+E158+E156+E146+E141</f>
        <v>46</v>
      </c>
      <c r="F159" s="23"/>
      <c r="G159" s="23"/>
      <c r="H159" s="23"/>
      <c r="I159" s="23"/>
      <c r="J159" s="23"/>
      <c r="K159" s="23"/>
      <c r="L159" s="23"/>
      <c r="M159" s="23"/>
      <c r="N159" s="23">
        <f t="shared" ref="N159" si="149">+N157+N158+N156+N146+N141</f>
        <v>98.5</v>
      </c>
      <c r="O159" s="23">
        <f>+O157+O158+O156+O146+O141</f>
        <v>-145.40000000000032</v>
      </c>
      <c r="P159" s="23">
        <v>1141.6000000000006</v>
      </c>
      <c r="Q159" s="23">
        <v>-63.000000000000199</v>
      </c>
      <c r="R159" s="23">
        <v>1.3100000000004854</v>
      </c>
      <c r="S159" s="23">
        <v>1162.5</v>
      </c>
      <c r="T159" s="23">
        <v>1516</v>
      </c>
      <c r="U159" s="23">
        <v>-422</v>
      </c>
      <c r="V159" s="23">
        <f>V141+V146+V156+V157+V158</f>
        <v>-444</v>
      </c>
      <c r="W159" s="23">
        <f>W141+W146+W156+W157+W158</f>
        <v>-341</v>
      </c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</row>
    <row r="160" spans="2:66" x14ac:dyDescent="0.25">
      <c r="B160" t="s">
        <v>349</v>
      </c>
      <c r="C160" s="23"/>
      <c r="D160" s="23"/>
      <c r="E160" s="23">
        <v>3650</v>
      </c>
      <c r="F160" s="23"/>
      <c r="G160" s="23"/>
      <c r="H160" s="23"/>
      <c r="I160" s="23"/>
      <c r="J160" s="23"/>
      <c r="K160" s="23"/>
      <c r="L160" s="23"/>
      <c r="M160" s="23"/>
      <c r="N160" s="23">
        <v>805.4</v>
      </c>
      <c r="O160" s="23">
        <v>902.9</v>
      </c>
      <c r="P160" s="23">
        <v>757.5</v>
      </c>
      <c r="Q160" s="23">
        <v>1899.1000000000006</v>
      </c>
      <c r="R160" s="23">
        <v>1836.3</v>
      </c>
      <c r="S160" s="23">
        <v>1837.6100000000004</v>
      </c>
      <c r="T160" s="23">
        <v>3000</v>
      </c>
      <c r="U160" s="23">
        <v>4516</v>
      </c>
      <c r="V160" s="23">
        <f>U161</f>
        <v>4094</v>
      </c>
      <c r="W160" s="23">
        <f>+V161</f>
        <v>3650</v>
      </c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</row>
    <row r="161" spans="2:66" x14ac:dyDescent="0.25">
      <c r="B161" t="s">
        <v>350</v>
      </c>
      <c r="C161" s="23"/>
      <c r="D161" s="23"/>
      <c r="E161" s="23">
        <f>+E159+E160</f>
        <v>3696</v>
      </c>
      <c r="F161" s="23"/>
      <c r="G161" s="23"/>
      <c r="H161" s="23"/>
      <c r="I161" s="23"/>
      <c r="J161" s="23"/>
      <c r="K161" s="23"/>
      <c r="L161" s="23"/>
      <c r="M161" s="23"/>
      <c r="N161" s="23">
        <v>902.9</v>
      </c>
      <c r="O161" s="23">
        <v>757.5</v>
      </c>
      <c r="P161" s="23">
        <v>1899.1000000000006</v>
      </c>
      <c r="Q161" s="23">
        <v>1836.1000000000004</v>
      </c>
      <c r="R161" s="23">
        <v>1837.6100000000004</v>
      </c>
      <c r="S161" s="23">
        <v>3000.1100000000006</v>
      </c>
      <c r="T161" s="23">
        <v>4516</v>
      </c>
      <c r="U161" s="23">
        <v>4094</v>
      </c>
      <c r="V161" s="23">
        <f>V160+V159</f>
        <v>3650</v>
      </c>
      <c r="W161" s="23">
        <f>+W160+W159</f>
        <v>3309</v>
      </c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</row>
    <row r="162" spans="2:66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</row>
    <row r="163" spans="2:66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</row>
    <row r="164" spans="2:66" x14ac:dyDescent="0.25"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</row>
    <row r="165" spans="2:66" x14ac:dyDescent="0.25"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</row>
    <row r="166" spans="2:66" x14ac:dyDescent="0.25"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</row>
    <row r="167" spans="2:66" x14ac:dyDescent="0.25"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</row>
    <row r="168" spans="2:66" x14ac:dyDescent="0.25"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</row>
    <row r="169" spans="2:66" x14ac:dyDescent="0.25"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</row>
    <row r="170" spans="2:66" x14ac:dyDescent="0.25"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</row>
    <row r="171" spans="2:66" x14ac:dyDescent="0.25"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</row>
    <row r="172" spans="2:66" x14ac:dyDescent="0.25"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</row>
    <row r="173" spans="2:66" x14ac:dyDescent="0.25"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</row>
    <row r="174" spans="2:66" x14ac:dyDescent="0.25"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</row>
    <row r="175" spans="2:66" x14ac:dyDescent="0.25"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</row>
    <row r="176" spans="2:66" x14ac:dyDescent="0.25"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</row>
    <row r="177" spans="23:65" x14ac:dyDescent="0.25"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</row>
    <row r="178" spans="23:65" x14ac:dyDescent="0.25"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</row>
    <row r="179" spans="23:65" x14ac:dyDescent="0.25"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</row>
    <row r="180" spans="23:65" x14ac:dyDescent="0.25"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</row>
    <row r="181" spans="23:65" x14ac:dyDescent="0.25"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1" sqref="O1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483</v>
      </c>
      <c r="D2" s="16" t="s">
        <v>485</v>
      </c>
      <c r="E2" s="16" t="s">
        <v>484</v>
      </c>
      <c r="F2" s="16" t="s">
        <v>486</v>
      </c>
      <c r="G2" s="16" t="s">
        <v>475</v>
      </c>
      <c r="H2" s="16" t="s">
        <v>476</v>
      </c>
      <c r="I2" s="16" t="s">
        <v>477</v>
      </c>
      <c r="J2" s="16" t="s">
        <v>478</v>
      </c>
      <c r="K2" s="16" t="s">
        <v>474</v>
      </c>
      <c r="L2" s="16" t="s">
        <v>53</v>
      </c>
      <c r="M2" s="16" t="s">
        <v>472</v>
      </c>
      <c r="N2" s="16" t="s">
        <v>479</v>
      </c>
      <c r="O2" s="16" t="s">
        <v>518</v>
      </c>
      <c r="P2" s="16" t="s">
        <v>519</v>
      </c>
      <c r="Q2" s="16" t="s">
        <v>520</v>
      </c>
      <c r="R2" s="16" t="s">
        <v>521</v>
      </c>
    </row>
    <row r="3" spans="1:38" x14ac:dyDescent="0.25">
      <c r="A3" s="27" t="s">
        <v>52</v>
      </c>
      <c r="B3" s="2" t="s">
        <v>487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+Model!U38-SUM(Quart!C4:E4)</f>
        <v>2733</v>
      </c>
      <c r="G4" s="23">
        <v>2616</v>
      </c>
      <c r="H4" s="23">
        <v>2512</v>
      </c>
      <c r="I4" s="23">
        <v>2217</v>
      </c>
      <c r="J4" s="23">
        <f>+Model!V38-SUM(Quart!G4:I4)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480</v>
      </c>
      <c r="C5" s="23">
        <v>739</v>
      </c>
      <c r="D5" s="23">
        <v>742</v>
      </c>
      <c r="E5" s="23">
        <v>916</v>
      </c>
      <c r="F5" s="23">
        <f>+Model!U39-SUM(Quart!C5:E5)</f>
        <v>903</v>
      </c>
      <c r="G5" s="23">
        <v>806</v>
      </c>
      <c r="H5" s="23">
        <v>770</v>
      </c>
      <c r="I5" s="23">
        <v>768</v>
      </c>
      <c r="J5" s="23">
        <f>+Model!V39-SUM(Quart!G5:I5)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+Model!U40-SUM(Quart!C6:E6)</f>
        <v>469</v>
      </c>
      <c r="G6" s="23">
        <v>395</v>
      </c>
      <c r="H6" s="23">
        <v>438</v>
      </c>
      <c r="I6" s="23">
        <v>381</v>
      </c>
      <c r="J6" s="23">
        <f>+Model!V40-SUM(Quart!G6:I6)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+Model!U41-SUM(Quart!C7:E7)</f>
        <v>924</v>
      </c>
      <c r="G7" s="23">
        <v>890</v>
      </c>
      <c r="H7" s="23">
        <v>966</v>
      </c>
      <c r="I7" s="23">
        <v>805</v>
      </c>
      <c r="J7" s="23">
        <f>+Model!V41-SUM(Quart!G7:I7)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+Model!U42-SUM(Quart!C8:E8)</f>
        <v>295</v>
      </c>
      <c r="G8" s="23">
        <v>433</v>
      </c>
      <c r="H8" s="23">
        <v>436</v>
      </c>
      <c r="I8" s="23">
        <v>333</v>
      </c>
      <c r="J8" s="23">
        <f>+Model!V42-SUM(Quart!G8:I8)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473</v>
      </c>
      <c r="C9" s="23">
        <v>-51</v>
      </c>
      <c r="D9" s="23">
        <v>-53</v>
      </c>
      <c r="E9" s="23">
        <v>-45</v>
      </c>
      <c r="F9" s="23">
        <f>+Model!U43-SUM(Quart!C9:E9)</f>
        <v>-40</v>
      </c>
      <c r="G9" s="23">
        <v>-63</v>
      </c>
      <c r="H9" s="23">
        <v>-64</v>
      </c>
      <c r="I9" s="23">
        <v>-40</v>
      </c>
      <c r="J9" s="23">
        <f>+Model!V43-SUM(Quart!G9:I9)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488</v>
      </c>
      <c r="C12" s="23"/>
      <c r="D12" s="23"/>
      <c r="E12" s="23"/>
      <c r="F12" s="23"/>
      <c r="G12" s="111">
        <f t="shared" ref="G12:H18" si="6">+G4/C4-1</f>
        <v>9.6487842531840506E-3</v>
      </c>
      <c r="H12" s="111">
        <f t="shared" si="6"/>
        <v>-2.7110766847405099E-2</v>
      </c>
      <c r="I12" s="111">
        <f>+I4/E4-1</f>
        <v>-0.14103060829135994</v>
      </c>
      <c r="J12" s="111">
        <f t="shared" ref="J12:L18" si="7">+J4/F4-1</f>
        <v>-7.5009147457006931E-2</v>
      </c>
      <c r="K12" s="111">
        <f t="shared" si="7"/>
        <v>-0.20527522935779818</v>
      </c>
      <c r="L12" s="111">
        <f t="shared" si="7"/>
        <v>-0.20143312101910826</v>
      </c>
      <c r="M12" s="111">
        <f>+M4/I4-1</f>
        <v>-0.2598105548037889</v>
      </c>
      <c r="N12" s="111">
        <f>+N4/J4-1</f>
        <v>-0.23892405063291144</v>
      </c>
      <c r="O12" s="111">
        <f>+O4/K4-1</f>
        <v>-0.24434824434824431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11">
        <f t="shared" si="6"/>
        <v>9.0663058186738921E-2</v>
      </c>
      <c r="H13" s="111">
        <f t="shared" si="6"/>
        <v>3.7735849056603765E-2</v>
      </c>
      <c r="I13" s="111">
        <f t="shared" ref="I13:I18" si="8">+I5/E5-1</f>
        <v>-0.16157205240174677</v>
      </c>
      <c r="J13" s="111">
        <f t="shared" si="7"/>
        <v>-7.5304540420819466E-2</v>
      </c>
      <c r="K13" s="111">
        <f t="shared" si="7"/>
        <v>-8.1885856079404462E-2</v>
      </c>
      <c r="L13" s="111">
        <f t="shared" si="7"/>
        <v>-8.9610389610389585E-2</v>
      </c>
      <c r="M13" s="111">
        <f t="shared" ref="M13:N18" si="9">+M5/I5-1</f>
        <v>-0.12760416666666663</v>
      </c>
      <c r="N13" s="111">
        <f t="shared" si="9"/>
        <v>-7.7844311377245456E-2</v>
      </c>
      <c r="O13" s="111">
        <f t="shared" ref="O13:O17" si="10">+O5/K5-1</f>
        <v>-8.2432432432432479E-2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480</v>
      </c>
      <c r="C14" s="23"/>
      <c r="D14" s="23"/>
      <c r="E14" s="23"/>
      <c r="F14" s="23"/>
      <c r="G14" s="111">
        <f t="shared" si="6"/>
        <v>-2.525252525252486E-3</v>
      </c>
      <c r="H14" s="111">
        <f t="shared" si="6"/>
        <v>0</v>
      </c>
      <c r="I14" s="111">
        <f t="shared" si="8"/>
        <v>-0.12814645308924488</v>
      </c>
      <c r="J14" s="111">
        <f t="shared" si="7"/>
        <v>-8.102345415778256E-2</v>
      </c>
      <c r="K14" s="111">
        <f t="shared" si="7"/>
        <v>-1.7721518987341756E-2</v>
      </c>
      <c r="L14" s="111">
        <f t="shared" si="7"/>
        <v>2.2831050228310446E-2</v>
      </c>
      <c r="M14" s="111">
        <f t="shared" si="9"/>
        <v>4.1994750656167978E-2</v>
      </c>
      <c r="N14" s="111">
        <f t="shared" si="9"/>
        <v>0.11368909512761016</v>
      </c>
      <c r="O14" s="111">
        <f t="shared" si="10"/>
        <v>4.3814432989690788E-2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11">
        <f t="shared" si="6"/>
        <v>-8.5303186022610444E-2</v>
      </c>
      <c r="H15" s="111">
        <f t="shared" si="6"/>
        <v>-1.6293279022403295E-2</v>
      </c>
      <c r="I15" s="111">
        <f t="shared" si="8"/>
        <v>-0.19095477386934678</v>
      </c>
      <c r="J15" s="111">
        <f t="shared" si="7"/>
        <v>-7.6839826839826819E-2</v>
      </c>
      <c r="K15" s="111">
        <f t="shared" si="7"/>
        <v>-7.415730337078652E-2</v>
      </c>
      <c r="L15" s="111">
        <f t="shared" si="7"/>
        <v>-7.556935817805388E-2</v>
      </c>
      <c r="M15" s="111">
        <f t="shared" si="9"/>
        <v>-0.14782608695652177</v>
      </c>
      <c r="N15" s="111">
        <f t="shared" si="9"/>
        <v>-4.1031652989448997E-2</v>
      </c>
      <c r="O15" s="111">
        <f t="shared" si="10"/>
        <v>-0.1104368932038835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11">
        <f t="shared" si="6"/>
        <v>0.4058441558441559</v>
      </c>
      <c r="H16" s="111">
        <f t="shared" si="6"/>
        <v>0.54063604240282692</v>
      </c>
      <c r="I16" s="111">
        <f t="shared" si="8"/>
        <v>0.3162055335968379</v>
      </c>
      <c r="J16" s="111">
        <f t="shared" si="7"/>
        <v>0.2406779661016949</v>
      </c>
      <c r="K16" s="111">
        <f t="shared" si="7"/>
        <v>0.23787528868360286</v>
      </c>
      <c r="L16" s="111">
        <f t="shared" si="7"/>
        <v>0.21788990825688082</v>
      </c>
      <c r="M16" s="111">
        <f t="shared" si="9"/>
        <v>0.3213213213213213</v>
      </c>
      <c r="N16" s="111">
        <f t="shared" si="9"/>
        <v>0.18579234972677594</v>
      </c>
      <c r="O16" s="111">
        <f t="shared" si="10"/>
        <v>4.1044776119403048E-2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11">
        <f t="shared" si="6"/>
        <v>0.23529411764705888</v>
      </c>
      <c r="H17" s="111">
        <f t="shared" si="6"/>
        <v>0.20754716981132071</v>
      </c>
      <c r="I17" s="111">
        <f t="shared" si="8"/>
        <v>-0.11111111111111116</v>
      </c>
      <c r="J17" s="111">
        <f t="shared" si="7"/>
        <v>0.14999999999999991</v>
      </c>
      <c r="K17" s="111">
        <f t="shared" si="7"/>
        <v>0</v>
      </c>
      <c r="L17" s="111">
        <f t="shared" si="7"/>
        <v>1.5625E-2</v>
      </c>
      <c r="M17" s="111">
        <f t="shared" si="9"/>
        <v>0.19999999999999996</v>
      </c>
      <c r="N17" s="111">
        <f t="shared" si="9"/>
        <v>-0.21739130434782605</v>
      </c>
      <c r="O17" s="111">
        <f t="shared" si="10"/>
        <v>0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11">
        <f t="shared" si="6"/>
        <v>2.4414850686037104E-2</v>
      </c>
      <c r="H18" s="111">
        <f t="shared" si="6"/>
        <v>1.6887816646562026E-2</v>
      </c>
      <c r="I18" s="111">
        <f t="shared" si="8"/>
        <v>-0.13101031730582047</v>
      </c>
      <c r="J18" s="111">
        <f t="shared" si="7"/>
        <v>-5.9992429977289929E-2</v>
      </c>
      <c r="K18" s="111">
        <f t="shared" si="7"/>
        <v>-0.11286192633444947</v>
      </c>
      <c r="L18" s="111">
        <f t="shared" si="7"/>
        <v>-0.1075523922499011</v>
      </c>
      <c r="M18" s="111">
        <f t="shared" si="9"/>
        <v>-0.1518817204301075</v>
      </c>
      <c r="N18" s="111">
        <f t="shared" si="9"/>
        <v>-0.11616670022146169</v>
      </c>
      <c r="O18" s="111">
        <f>+O10/K10-1</f>
        <v>-0.1378774422735346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394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Model!P69</f>
        <v>125.999511</v>
      </c>
      <c r="D4" s="24">
        <f>Model!Q69</f>
        <v>125.95603800000001</v>
      </c>
      <c r="E4" s="24">
        <f>Model!R69</f>
        <v>125.498766</v>
      </c>
      <c r="F4" s="24">
        <f>Model!S69</f>
        <v>125.011945</v>
      </c>
      <c r="G4" s="24">
        <f>Model!T69</f>
        <v>124.584509</v>
      </c>
      <c r="H4" s="24">
        <f>Model!U69</f>
        <v>122.38293</v>
      </c>
      <c r="I4" s="24">
        <f>Model!V69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+Model!P111+Model!P113+Model!P119+Model!P121-Model!P104-Model!P102</f>
        <v>3261.3</v>
      </c>
      <c r="D6" s="23">
        <f>+Model!Q111+Model!Q113+Model!Q119+Model!Q121-Model!Q104-Model!Q102</f>
        <v>1667.6</v>
      </c>
      <c r="E6" s="23">
        <f>+Model!R111+Model!R113+Model!R119+Model!R121-Model!R104-Model!R102</f>
        <v>3318.7999999999997</v>
      </c>
      <c r="F6" s="23">
        <f>+Model!S111+Model!S113+Model!S119+Model!S121-Model!S104-Model!S102</f>
        <v>2408.2000000000007</v>
      </c>
      <c r="G6" s="23">
        <f>+Model!T111+Model!T113+Model!T119+Model!T121-Model!T104-Model!T102</f>
        <v>871</v>
      </c>
      <c r="H6" s="23">
        <f>+Model!U111+Model!U113+Model!U119+Model!U121-Model!U104-Model!U102</f>
        <v>2802</v>
      </c>
      <c r="I6" s="23">
        <f>+Model!V111+Model!V113+Model!V119+Model!V121-Model!V104-Model!V102</f>
        <v>8969</v>
      </c>
      <c r="J6" s="23">
        <f>+Main!H6-Main!H5</f>
        <v>10517</v>
      </c>
      <c r="K6" s="23"/>
      <c r="L6" s="23"/>
      <c r="M6" s="23"/>
      <c r="N6" s="23">
        <f t="shared" si="1"/>
        <v>4226.8625000000002</v>
      </c>
      <c r="O6" s="23">
        <f t="shared" si="2"/>
        <v>3031.65</v>
      </c>
      <c r="P6" s="23"/>
    </row>
    <row r="7" spans="1:20" x14ac:dyDescent="0.25">
      <c r="B7" t="s">
        <v>8</v>
      </c>
      <c r="C7" s="23">
        <f t="shared" ref="C7:H7" si="4">+C6+C5</f>
        <v>49167.961837739997</v>
      </c>
      <c r="D7" s="23">
        <f t="shared" si="4"/>
        <v>52150.780030400005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62648.28212984249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+Model!P98+SUM(Model!P99:P103)-Model!P122-SUM(Model!P120,Model!P122:P126)</f>
        <v>17744.799999999996</v>
      </c>
      <c r="D10" s="23">
        <f>+Model!Q98+SUM(Model!Q99:Q103)-Model!Q122-SUM(Model!Q120,Model!Q122:Q126)</f>
        <v>12765.1</v>
      </c>
      <c r="E10" s="23">
        <f>+Model!R98+SUM(Model!R99:R103)-Model!R122-SUM(Model!R120,Model!R122:R126)</f>
        <v>18379.099999999995</v>
      </c>
      <c r="F10" s="23">
        <f>+Model!S98+SUM(Model!S99:S103)-Model!S122-SUM(Model!S120,Model!S122:S126)</f>
        <v>19275.600000000002</v>
      </c>
      <c r="G10" s="23">
        <f>+Model!T98+SUM(Model!T99:T103)-Model!T122-SUM(Model!T120,Model!T122:T126)</f>
        <v>18468</v>
      </c>
      <c r="H10" s="23">
        <f>+Model!U98+SUM(Model!U99:U103)-Model!U122-SUM(Model!U120,Model!U122:U126)</f>
        <v>21794</v>
      </c>
      <c r="I10" s="23">
        <f>+Model!V98+SUM(Model!V99:V103)-Model!V122-SUM(Model!V120,Model!V122:V126)</f>
        <v>29602</v>
      </c>
      <c r="J10" s="23">
        <f>+Model!W98+SUM(Model!W99:W103)-Model!W122-SUM(Model!W120,Model!W122:W126)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+Model!P93+Model!P90+Model!P91+Model!P96+SUM(Model!P99:P103)-SUM(Model!P122:P126)</f>
        <v>18537.2</v>
      </c>
      <c r="D11" s="23">
        <f>+Model!Q93+Model!Q90+Model!Q91+Model!Q96+SUM(Model!Q99:Q103)-SUM(Model!Q122:Q126)</f>
        <v>12065.699999999999</v>
      </c>
      <c r="E11" s="23">
        <f>+Model!R93+Model!R90+Model!R91+Model!R96+SUM(Model!R99:R103)-SUM(Model!R122:R126)</f>
        <v>14078.6</v>
      </c>
      <c r="F11" s="23">
        <f>+Model!S93+Model!S90+Model!S91+Model!S96+SUM(Model!S99:S103)-SUM(Model!S122:S126)</f>
        <v>14780.600000000002</v>
      </c>
      <c r="G11" s="23">
        <f>+Model!T93+Model!T90+Model!T91+Model!T96+SUM(Model!T99:T103)-SUM(Model!T122:T126)</f>
        <v>15492</v>
      </c>
      <c r="H11" s="23">
        <f>+Model!U93+Model!U90+Model!U91+Model!U96+SUM(Model!U99:U103)-SUM(Model!U122:U126)</f>
        <v>19028</v>
      </c>
      <c r="I11" s="23">
        <f>+Model!V93+Model!V90+Model!V91+Model!V96+SUM(Model!V99:V103)-SUM(Model!V122:V126)</f>
        <v>25400</v>
      </c>
      <c r="J11" s="23">
        <f>+Model!W93+Model!W90+Model!W91+Model!W96+SUM(Model!W99:W103)-SUM(Model!W122:W126)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393</v>
      </c>
      <c r="C12" s="23">
        <f>+Model!P93+Model!P96+SUM(Model!P99:P103)-SUM(Model!P122:P126)</f>
        <v>3956.9999999999991</v>
      </c>
      <c r="D12" s="23">
        <f>+Model!Q93+Model!Q96+SUM(Model!Q99:Q103)-SUM(Model!Q122:Q126)</f>
        <v>2272.8999999999996</v>
      </c>
      <c r="E12" s="23">
        <f>+Model!R93+Model!R96+SUM(Model!R99:R103)-SUM(Model!R122:R126)</f>
        <v>4292.1999999999989</v>
      </c>
      <c r="F12" s="23">
        <f>+Model!S93+Model!S96+SUM(Model!S99:S103)-SUM(Model!S122:S126)</f>
        <v>5342.5999999999995</v>
      </c>
      <c r="G12" s="23">
        <f>+Model!T93+Model!T96+SUM(Model!T99:T103)-SUM(Model!T122:T126)</f>
        <v>5569</v>
      </c>
      <c r="H12" s="23">
        <f>+Model!U93+Model!U96+SUM(Model!U99:U103)-SUM(Model!U122:U126)</f>
        <v>7618</v>
      </c>
      <c r="I12" s="23">
        <f>+Model!V93+Model!V96+SUM(Model!V99:V103)-SUM(Model!V122:V126)</f>
        <v>10110</v>
      </c>
      <c r="J12" s="23">
        <f>+Model!W93+Model!W96+SUM(Model!W99:W103)-SUM(Model!W122:W126)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+C11+Model!P92+Model!P94+Model!P97+Model!P104</f>
        <v>20757.8</v>
      </c>
      <c r="D13" s="23">
        <f>+D11+Model!Q92+Model!Q94+Model!Q97+Model!Q104</f>
        <v>15930.3</v>
      </c>
      <c r="E13" s="23">
        <f>+E11+Model!R92+Model!R94+Model!R97+Model!R104</f>
        <v>21741.399999999998</v>
      </c>
      <c r="F13" s="23">
        <f>+F11+Model!S92+Model!S94+Model!S97+Model!S104</f>
        <v>22234.500000000004</v>
      </c>
      <c r="G13" s="23">
        <f>+G11+Model!T92+Model!T94+Model!T97+Model!T104</f>
        <v>25099</v>
      </c>
      <c r="H13" s="23">
        <f>+H11+Model!U92+Model!U94+Model!U97+Model!U104</f>
        <v>28350</v>
      </c>
      <c r="I13" s="23">
        <f>+I11+Model!V92+Model!V94+Model!V97+Model!V104</f>
        <v>36072</v>
      </c>
      <c r="J13" s="23">
        <f>+J11+Model!W92+Model!W94+Model!W97+Model!W104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+Model!P56*(1-Model!P86)</f>
        <v>2240.8246133863699</v>
      </c>
      <c r="D14" s="23">
        <f>+Model!Q56*(1-Model!Q86)</f>
        <v>2969.9986682223043</v>
      </c>
      <c r="E14" s="23">
        <f>+Model!R56*(1-Model!R86)</f>
        <v>2407.4285003371861</v>
      </c>
      <c r="F14" s="23">
        <f>+Model!S56*(1-Model!S86)</f>
        <v>2330.1116049382713</v>
      </c>
      <c r="G14" s="23">
        <f>+Model!T56*(1-Model!T86)</f>
        <v>3597.0692307692311</v>
      </c>
      <c r="H14" s="23">
        <f>+Model!U56*(1-Model!U86)</f>
        <v>4043.4537487828629</v>
      </c>
      <c r="I14" s="23">
        <f>+Model!V56*(1-Model!V86)</f>
        <v>3442.0552799433021</v>
      </c>
      <c r="J14" s="23">
        <f>+Model!W56*(1-Model!W86)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+D14-D15+Model!Q134+Model!Q135</f>
        <v>5139.3986682223031</v>
      </c>
      <c r="E16" s="23">
        <f>+E14-E15+Model!R134+Model!R135</f>
        <v>1241.0285003371869</v>
      </c>
      <c r="F16" s="23">
        <f>+F14-F15+Model!S134+Model!S135</f>
        <v>2435.9116049382706</v>
      </c>
      <c r="G16" s="23">
        <f>+G14-G15+Model!T134+Model!T135</f>
        <v>4841.6692307692301</v>
      </c>
      <c r="H16" s="23">
        <f>+H14-H15+Model!U134+Model!U135</f>
        <v>3326.4537487828629</v>
      </c>
      <c r="I16" s="23">
        <f>+I14-I15+Model!V134+Model!V135</f>
        <v>2867.0552799433021</v>
      </c>
      <c r="J16" s="23">
        <f>+J14-J15+Model!W134+Model!W135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+Model!P44/Model!P129</f>
        <v>0.60513187423272108</v>
      </c>
      <c r="D21" s="85">
        <f>+Model!Q44/Model!Q129</f>
        <v>0.63953199953199957</v>
      </c>
      <c r="E21" s="85">
        <f>+Model!R44/Model!R129</f>
        <v>0.58506641324286701</v>
      </c>
      <c r="F21" s="85">
        <f>+Model!S44/Model!S129</f>
        <v>0.46777407214322947</v>
      </c>
      <c r="G21" s="85">
        <f>+Model!T44/Model!T129</f>
        <v>0.56794772756534051</v>
      </c>
      <c r="H21" s="85">
        <f>+Model!U44/Model!U129</f>
        <v>0.59959930467576084</v>
      </c>
      <c r="I21" s="85">
        <f>+Model!V44/Model!V129</f>
        <v>0.4729857132496918</v>
      </c>
      <c r="J21" s="85">
        <f>+Model!W44/Model!W129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+Model!Q66/AVERAGE(Model!P108:Q108)</f>
        <v>0.33997281974549404</v>
      </c>
      <c r="E22" s="18">
        <f>+Model!R66/AVERAGE(Model!Q108:R108)</f>
        <v>0.22875544986127633</v>
      </c>
      <c r="F22" s="18">
        <f>+Model!S66/AVERAGE(Model!R108:S108)</f>
        <v>0.19461514095660437</v>
      </c>
      <c r="G22" s="18">
        <f>+Model!T66/AVERAGE(Model!S108:T108)</f>
        <v>0.25236908919695328</v>
      </c>
      <c r="H22" s="18">
        <f>+Model!U66/AVERAGE(Model!T108:U108)</f>
        <v>0.26432620223075515</v>
      </c>
      <c r="I22" s="18">
        <f>+Model!V66/AVERAGE(Model!U108:V108)</f>
        <v>0.20424512153372132</v>
      </c>
      <c r="J22" s="18">
        <f>+Model!W66/AVERAGE(Model!V108:W108)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+Model!Q58/AVERAGE(Ratios!C10:D10)</f>
        <v>0.24394704669631831</v>
      </c>
      <c r="E23" s="18">
        <f>+Model!R58/AVERAGE(Ratios!D10:E10)</f>
        <v>0.29602943726279696</v>
      </c>
      <c r="F23" s="18">
        <f>+Model!S58/AVERAGE(Ratios!E10:F10)</f>
        <v>0.17518131866672687</v>
      </c>
      <c r="G23" s="18">
        <f>+Model!T58/AVERAGE(Ratios!F10:G10)</f>
        <v>0.25418878962261149</v>
      </c>
      <c r="H23" s="18">
        <f>+Model!U58/AVERAGE(Ratios!G10:H10)</f>
        <v>0.26799463513983407</v>
      </c>
      <c r="I23" s="18">
        <f>+Model!V58/AVERAGE(Ratios!H10:I10)</f>
        <v>0.18067553895244767</v>
      </c>
      <c r="J23" s="18">
        <f>+Model!W58/AVERAGE(Ratios!I10:J10)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1-(-Model!Q148)/Model!Q66</f>
        <v>0.78992705052625911</v>
      </c>
      <c r="E28" s="18">
        <f>1-(-Model!R148)/Model!R66</f>
        <v>0.4186953131768173</v>
      </c>
      <c r="F28" s="18">
        <f>1-(-Model!S148)/Model!S66</f>
        <v>0.53059895833333337</v>
      </c>
      <c r="G28" s="18">
        <f>1-(-Model!T148)/Model!T66</f>
        <v>0.67724667800239313</v>
      </c>
      <c r="H28" s="18">
        <f>1-(-Model!U148)/Model!U66</f>
        <v>0.57719977863862759</v>
      </c>
      <c r="I28" s="18">
        <f>1-(-Model!V148)/Model!V66</f>
        <v>0.41200134093194773</v>
      </c>
      <c r="J28" s="18">
        <f>1-(-Model!W148)/Model!W66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-(Model!Q139+Model!Q142)/Ratios!D14</f>
        <v>0.29441090642756851</v>
      </c>
      <c r="E29" s="18">
        <f>-(Model!R139+Model!R142)/Ratios!E14</f>
        <v>0.6280975737340545</v>
      </c>
      <c r="F29" s="18">
        <f>-(Model!S139+Model!S142)/Ratios!F14</f>
        <v>0.31740968906062045</v>
      </c>
      <c r="G29" s="18">
        <f>-(Model!T139+Model!T142)/Ratios!G14</f>
        <v>0.26855196217433419</v>
      </c>
      <c r="H29" s="18">
        <f>-(Model!U139+Model!U142)/Ratios!H14</f>
        <v>0.48770188124288549</v>
      </c>
      <c r="I29" s="18">
        <f>-(Model!V139+Model!V142)/Ratios!I14</f>
        <v>0.83438520489052337</v>
      </c>
      <c r="J29" s="18">
        <f>-(Model!W139+Model!W142)/Ratios!J14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395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+Model!P110/SUM(Model!P119,Model!P121,Model!P111,Model!P113)</f>
        <v>2.2735932294949133</v>
      </c>
      <c r="D35" s="18">
        <f>+Model!Q110/SUM(Model!Q119,Model!Q121,Model!Q111,Model!Q113)</f>
        <v>2.2437893046697295</v>
      </c>
      <c r="E35" s="18">
        <f>+Model!R110/SUM(Model!R119,Model!R121,Model!R111,Model!R113)</f>
        <v>1.8478014586136093</v>
      </c>
      <c r="F35" s="18">
        <f>+Model!S110/SUM(Model!S119,Model!S121,Model!S111,Model!S113)</f>
        <v>2.0025958034510873</v>
      </c>
      <c r="G35" s="18">
        <f>+Model!T110/SUM(Model!T119,Model!T121,Model!T111,Model!T113)</f>
        <v>2.2295081967213113</v>
      </c>
      <c r="H35" s="18">
        <f>+Model!U110/SUM(Model!U119,Model!U121,Model!U111,Model!U113)</f>
        <v>2.0236824093086927</v>
      </c>
      <c r="I35" s="18">
        <f>+Model!V110/SUM(Model!V119,Model!V121,Model!V111,Model!V113)</f>
        <v>1.2289859522530129</v>
      </c>
      <c r="J35" s="18">
        <f>+Model!W110/SUM(Model!W119,Model!W121,Model!W111,Model!W113)</f>
        <v>1.0930442637759712</v>
      </c>
      <c r="N35" s="22">
        <f>+AVERAGE(C35:I35)</f>
        <v>1.9785651935017652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+C6/Model!P110</f>
        <v>0.25829214978141035</v>
      </c>
      <c r="D36" s="18">
        <f>+D6/Model!Q110</f>
        <v>0.16573904746759957</v>
      </c>
      <c r="E36" s="18">
        <f>+E6/Model!R110</f>
        <v>0.31793535531584693</v>
      </c>
      <c r="F36" s="18">
        <f>+F6/Model!S110</f>
        <v>0.20009970918155387</v>
      </c>
      <c r="G36" s="18">
        <f>+G6/Model!T110</f>
        <v>6.3410017472335475E-2</v>
      </c>
      <c r="H36" s="18">
        <f>+H6/Model!U110</f>
        <v>0.18954204153419468</v>
      </c>
      <c r="I36" s="18">
        <f>+I6/Model!V110</f>
        <v>0.56021236727045598</v>
      </c>
      <c r="J36" s="18">
        <f>+J6/Model!W110</f>
        <v>0.66859504132231407</v>
      </c>
      <c r="N36" s="22">
        <f t="shared" ref="N36:N39" si="18">+AVERAGE(C36:I36)</f>
        <v>0.25074724114619956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+Model!P58/(-Model!P59)</f>
        <v>11.155399835119539</v>
      </c>
      <c r="D37" s="18">
        <f>+Model!Q58/(-Model!Q59)</f>
        <v>17.951760733236853</v>
      </c>
      <c r="E37" s="18">
        <f>+Model!R58/(-Model!R59)</f>
        <v>14.894345718901455</v>
      </c>
      <c r="F37" s="18">
        <f>+Model!S58/(-Model!S59)</f>
        <v>9.6523266022827041</v>
      </c>
      <c r="G37" s="18">
        <f>+Model!T58/(-Model!T59)</f>
        <v>17.571428571428573</v>
      </c>
      <c r="H37" s="18">
        <f>+Model!U58/(-Model!U59)</f>
        <v>20.75</v>
      </c>
      <c r="I37" s="18">
        <f>+Model!V58/(-Model!V59)</f>
        <v>11.324390243902439</v>
      </c>
      <c r="J37" s="18">
        <f>+Model!W58/(-Model!W59)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+C6/(Model!P58+Model!P134)</f>
        <v>1.0391600815702269</v>
      </c>
      <c r="D38" s="18">
        <f>+D6/(Model!Q58+Model!Q134)</f>
        <v>0.39579427052429206</v>
      </c>
      <c r="E38" s="18">
        <f>+E6/(Model!R58+Model!R134)</f>
        <v>0.56682208672780987</v>
      </c>
      <c r="F38" s="18">
        <f>+F6/(Model!S58+Model!S134)</f>
        <v>0.50835936840327633</v>
      </c>
      <c r="G38" s="18">
        <f>+G6/(Model!T58+Model!T134)</f>
        <v>0.13936000000000001</v>
      </c>
      <c r="H38" s="18">
        <f>+H6/(Model!U58+Model!U134)</f>
        <v>0.39682764480951704</v>
      </c>
      <c r="I38" s="18">
        <f>+I6/(Model!V58+Model!V134)</f>
        <v>1.3871017630683575</v>
      </c>
      <c r="J38" s="18">
        <f>+J6/(Model!W58+Model!W134)</f>
        <v>2.3767231638418078</v>
      </c>
      <c r="K38" s="22"/>
      <c r="L38" s="22"/>
      <c r="N38" s="22">
        <f t="shared" si="18"/>
        <v>0.63334645930049704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+Model!P100/Model!P44*360</f>
        <v>31.783792165502621</v>
      </c>
      <c r="D42" s="85">
        <f>+Model!Q100/Model!Q44*360</f>
        <v>22.379474870473903</v>
      </c>
      <c r="E42" s="85">
        <f>+Model!R100/Model!R44*360</f>
        <v>22.57436962886014</v>
      </c>
      <c r="F42" s="85">
        <f>+Model!S100/Model!S44*360</f>
        <v>22.649425199615273</v>
      </c>
      <c r="G42" s="85">
        <f>+Model!T100/Model!T44*360</f>
        <v>19.933125531311987</v>
      </c>
      <c r="H42" s="85">
        <f>+Model!U100/Model!U44*360</f>
        <v>20.873667141663802</v>
      </c>
      <c r="I42" s="85">
        <f>+Model!V100/Model!V44*360</f>
        <v>21.177552897884084</v>
      </c>
      <c r="J42" s="85">
        <f>+Model!W100/Model!W44*360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+Model!P122/Model!P44*360</f>
        <v>28.857776026153758</v>
      </c>
      <c r="D43" s="85">
        <f>+Model!Q122/Model!Q44*360</f>
        <v>19.64757193454907</v>
      </c>
      <c r="E43" s="85">
        <f>+Model!R122/Model!R44*360</f>
        <v>18.329209557087545</v>
      </c>
      <c r="F43" s="85">
        <f>+Model!S122/Model!S44*360</f>
        <v>18.302010656325859</v>
      </c>
      <c r="G43" s="85">
        <f>+Model!T122/Model!T44*360</f>
        <v>35.540946443751771</v>
      </c>
      <c r="H43" s="85">
        <f>+Model!U122/Model!U44*360</f>
        <v>40.031448086089135</v>
      </c>
      <c r="I43" s="85">
        <f>+Model!V122/Model!V44*360</f>
        <v>40.478380864765406</v>
      </c>
      <c r="J43" s="85">
        <f>+Model!W122/Model!W44*360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+Model!P99/Model!P107</f>
        <v>0.10552675408759296</v>
      </c>
      <c r="D44" s="18">
        <f>+Model!Q99/Model!Q107</f>
        <v>0.113008073008073</v>
      </c>
      <c r="E44" s="18">
        <f>+Model!R99/Model!R107</f>
        <v>0.10900170177028312</v>
      </c>
      <c r="F44" s="18">
        <f>+Model!S99/Model!S107</f>
        <v>0.10160540467195611</v>
      </c>
      <c r="G44" s="18">
        <f>+Model!T99/Model!T107</f>
        <v>0.10843955195056006</v>
      </c>
      <c r="H44" s="18">
        <f>+Model!U99/Model!U107</f>
        <v>0.13155181049468195</v>
      </c>
      <c r="I44" s="18">
        <f>+Model!V99/Model!V107</f>
        <v>0.10999105567239587</v>
      </c>
      <c r="J44" s="18">
        <f>+Model!W99/Model!W107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+Model!P45/Model!P99</f>
        <v>1.9801785780445333</v>
      </c>
      <c r="D45" s="85">
        <f>+Model!Q45/Model!Q99</f>
        <v>1.4357891249430572</v>
      </c>
      <c r="E45" s="85">
        <f>+Model!R45/Model!R99</f>
        <v>1.3883819951338201</v>
      </c>
      <c r="F45" s="85">
        <f>+Model!S45/Model!S99</f>
        <v>1.2618520470918995</v>
      </c>
      <c r="G45" s="85">
        <f>+Model!T45/Model!T99</f>
        <v>1.3585633719204511</v>
      </c>
      <c r="H45" s="85">
        <f>+Model!U45/Model!U99</f>
        <v>1.1540873460246361</v>
      </c>
      <c r="I45" s="85">
        <f>+Model!V45/Model!V99</f>
        <v>1.0195604395604396</v>
      </c>
      <c r="J45" s="85">
        <f>+Model!W45/Model!W99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+C5/Model!P66</f>
        <v>25.709376029200261</v>
      </c>
      <c r="D51" s="85">
        <f>+D5/Model!Q66</f>
        <v>13.589377918759592</v>
      </c>
      <c r="E51" s="85">
        <f>+E5/Model!R66</f>
        <v>31.839481610586493</v>
      </c>
      <c r="F51" s="85">
        <f>+F5/Model!S66</f>
        <v>34.177140283435634</v>
      </c>
      <c r="G51" s="85">
        <f>+G5/Model!T66</f>
        <v>27.731213997134578</v>
      </c>
      <c r="H51" s="85">
        <f>+H5/Model!U66</f>
        <v>16.254512008854455</v>
      </c>
      <c r="I51" s="85">
        <f>+I5/Model!V66</f>
        <v>16.409933707475695</v>
      </c>
      <c r="J51" s="85">
        <f>+J5/Model!W66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+D51/(100*(Model!Q64/Model!P64-1))</f>
        <v>0.13421705547700977</v>
      </c>
      <c r="E52" s="85">
        <f>+E51/(100*(Model!R64/Model!Q64-1))</f>
        <v>-0.84179400031933826</v>
      </c>
      <c r="F52" s="85">
        <f>+F51/(100*(Model!S64/Model!R64-1))</f>
        <v>-5.1827556850865388</v>
      </c>
      <c r="G52" s="85">
        <f>+G51/(100*(Model!T64/Model!S64-1))</f>
        <v>0.56176260005904355</v>
      </c>
      <c r="H52" s="85">
        <f>+H51/(100*(Model!U64/Model!T64-1))</f>
        <v>1.1455560844335519</v>
      </c>
      <c r="I52" s="85">
        <f>+I51/(100*(Model!V64/Model!U64-1))</f>
        <v>-0.94739337770799126</v>
      </c>
      <c r="J52" s="85">
        <f>+J51/(100*(Model!W64/Model!V64-1))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+C5/Model!P110</f>
        <v>3.6357680603925102</v>
      </c>
      <c r="D53" s="85">
        <f>+D5/Model!Q110</f>
        <v>5.0174107528027356</v>
      </c>
      <c r="E53" s="85">
        <f>+E5/Model!R110</f>
        <v>7.041617386067097</v>
      </c>
      <c r="F53" s="85">
        <f>+F5/Model!S110</f>
        <v>6.1067322364353958</v>
      </c>
      <c r="G53" s="85">
        <f>+G5/Model!T110</f>
        <v>6.411530970595515</v>
      </c>
      <c r="H53" s="85">
        <f>+H5/Model!U110</f>
        <v>3.9737405398092402</v>
      </c>
      <c r="I53" s="85">
        <f>+I5/Model!V110</f>
        <v>3.057516068044972</v>
      </c>
      <c r="J53" s="85">
        <f>+J5/Model!W110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+C5/(Model!P110-Model!P90-Model!P91)</f>
        <v>-23.496090612007375</v>
      </c>
      <c r="D54" s="85">
        <f>+D5/(Model!Q110-Model!Q90-Model!Q91)</f>
        <v>187.80944951785705</v>
      </c>
      <c r="E54" s="85">
        <f>+E5/(Model!R110-Model!R90-Model!R91)</f>
        <v>112.70258700735958</v>
      </c>
      <c r="F54" s="85">
        <f>+F5/(Model!S110-Model!S90-Model!S91)</f>
        <v>28.299777614747793</v>
      </c>
      <c r="G54" s="85">
        <f>+G5/(Model!T110-Model!T90-Model!T91)</f>
        <v>23.096981225308156</v>
      </c>
      <c r="H54" s="85">
        <f>+H5/(Model!U110-Model!U90-Model!U91)</f>
        <v>17.415892795730805</v>
      </c>
      <c r="I54" s="85">
        <f>+I5/(Model!V110-Model!V90-Model!V91)</f>
        <v>67.987267013055558</v>
      </c>
      <c r="J54" s="85">
        <f>+J5/(Model!W110-Model!W90-Model!W91)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+C5/Model!P141</f>
        <v>16.554275661800869</v>
      </c>
      <c r="D55" s="85">
        <f>+D5/Model!Q141</f>
        <v>13.362408689888833</v>
      </c>
      <c r="E55" s="85">
        <f>+E5/Model!R141</f>
        <v>29.695239868379581</v>
      </c>
      <c r="F55" s="85">
        <f>+F5/Model!S141</f>
        <v>25.4429559182649</v>
      </c>
      <c r="G55" s="85">
        <f>+G5/Model!T141</f>
        <v>18.061687738330598</v>
      </c>
      <c r="H55" s="85">
        <f>+H5/Model!U141</f>
        <v>13.73160504908836</v>
      </c>
      <c r="I55" s="85">
        <f>+I5/Model!V141</f>
        <v>10.977984357344697</v>
      </c>
      <c r="J55" s="85">
        <f>+J5/Model!W141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+C5/Model!P44</f>
        <v>2.9659873132144949</v>
      </c>
      <c r="D56" s="85">
        <f>+D5/Model!Q44</f>
        <v>3.6942876818780555</v>
      </c>
      <c r="E56" s="85">
        <f>+E5/Model!R44</f>
        <v>4.6277348976107282</v>
      </c>
      <c r="F56" s="85">
        <f>+F5/Model!S44</f>
        <v>5.6101832388436819</v>
      </c>
      <c r="G56" s="85">
        <f>+G5/Model!T44</f>
        <v>4.9911470338396144</v>
      </c>
      <c r="H56" s="85">
        <f>+H5/Model!U44</f>
        <v>2.8865316888604982</v>
      </c>
      <c r="I56" s="85">
        <f>+I5/Model!V44</f>
        <v>2.5018313528263314</v>
      </c>
      <c r="J56" s="85">
        <f>+J5/Model!W44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+C7/(Model!P134+Model!P58)</f>
        <v>15.66656953789829</v>
      </c>
      <c r="D58" s="85">
        <f>+D7/(Model!Q134+Model!Q58)</f>
        <v>12.377656476016424</v>
      </c>
      <c r="E58" s="85">
        <f>+E7/(Model!R134+Model!R58)</f>
        <v>13.120771164659869</v>
      </c>
      <c r="F58" s="85">
        <f>+F7/(Model!S134+Model!S58)</f>
        <v>16.022697472240985</v>
      </c>
      <c r="G58" s="85">
        <f>+G7/(Model!T134+Model!T58)</f>
        <v>14.230366305936</v>
      </c>
      <c r="H58" s="85">
        <f>+H7/(Model!U134+Model!U58)</f>
        <v>8.7163017136382948</v>
      </c>
      <c r="I58" s="85">
        <f>+I7/(Model!V134+Model!V58)</f>
        <v>8.9575985538818443</v>
      </c>
      <c r="J58" s="85">
        <f>+J7/(Model!W134+Model!W58)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+C7/Model!P58</f>
        <v>18.167964319454605</v>
      </c>
      <c r="D59" s="85">
        <f>+D7/Model!Q58</f>
        <v>14.013752896866771</v>
      </c>
      <c r="E59" s="85">
        <f>+E7/Model!R58</f>
        <v>16.665240844765499</v>
      </c>
      <c r="F59" s="85">
        <f>+F7/Model!S58</f>
        <v>23.013377741040564</v>
      </c>
      <c r="G59" s="85">
        <f>+G7/Model!T58</f>
        <v>18.540710738399</v>
      </c>
      <c r="H59" s="85">
        <f>+H7/Model!U58</f>
        <v>11.407934457831326</v>
      </c>
      <c r="I59" s="85">
        <f>+I7/Model!V58</f>
        <v>12.474656956579798</v>
      </c>
      <c r="J59" s="85">
        <f>+J7/Model!W58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-30.966557823407175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+C7/Model!P44</f>
        <v>3.1766969147702819</v>
      </c>
      <c r="D61" s="85">
        <f>+D7/Model!Q44</f>
        <v>3.8163202902555398</v>
      </c>
      <c r="E61" s="85">
        <f>+E7/Model!R44</f>
        <v>4.8366812885195332</v>
      </c>
      <c r="F61" s="85">
        <f>+F7/Model!S44</f>
        <v>5.7940124933588795</v>
      </c>
      <c r="G61" s="85">
        <f>+G7/Model!T44</f>
        <v>5.0405094594559365</v>
      </c>
      <c r="H61" s="85">
        <f>+H7/Model!U44</f>
        <v>3.0242153407694956</v>
      </c>
      <c r="I61" s="85">
        <f>+I7/Model!V44</f>
        <v>2.9602285724931003</v>
      </c>
      <c r="J61" s="85">
        <f>+J7/Model!W44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zoomScale="96" zoomScaleNormal="96" workbookViewId="0">
      <selection activeCell="F23" sqref="F23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174</v>
      </c>
      <c r="L3" t="s">
        <v>154</v>
      </c>
      <c r="O3" s="57">
        <f>Main!H2</f>
        <v>174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471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3.113622036419823</v>
      </c>
      <c r="L5" t="s">
        <v>157</v>
      </c>
      <c r="O5" s="60">
        <f>O4/O3-1</f>
        <v>0.96126436781609215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Model!Q44</f>
        <v>13665.2</v>
      </c>
      <c r="H25" s="23">
        <f>Model!R44</f>
        <v>15883.5</v>
      </c>
      <c r="I25" s="23">
        <f>Model!S44</f>
        <v>13100.199999999999</v>
      </c>
      <c r="J25" s="23">
        <f>Model!T44</f>
        <v>17645</v>
      </c>
      <c r="K25" s="23">
        <f>Model!U44</f>
        <v>20351</v>
      </c>
      <c r="L25" s="23">
        <f>Model!V44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Model!Q56</f>
        <v>3943.8</v>
      </c>
      <c r="H31" s="23">
        <f>Model!R56</f>
        <v>4778.3</v>
      </c>
      <c r="I31" s="23">
        <f>Model!S56</f>
        <v>3135.2</v>
      </c>
      <c r="J31" s="23">
        <f>Model!T56</f>
        <v>5017</v>
      </c>
      <c r="K31" s="23">
        <f>Model!U56</f>
        <v>5589</v>
      </c>
      <c r="L31" s="23">
        <f>Model!V56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Model!Q61</f>
        <v>867.7</v>
      </c>
      <c r="H37" s="13">
        <f>Model!R61</f>
        <v>2133.6999999999998</v>
      </c>
      <c r="I37" s="13">
        <f>Model!S61</f>
        <v>759.2</v>
      </c>
      <c r="J37" s="13">
        <f>Model!T61</f>
        <v>1280.4000000000001</v>
      </c>
      <c r="K37" s="13">
        <f>Model!U61</f>
        <v>1420</v>
      </c>
      <c r="L37" s="13">
        <f>Model!V61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Model!Q134</f>
        <v>491.9</v>
      </c>
      <c r="H42" s="23">
        <f>Model!R134</f>
        <v>1245.3</v>
      </c>
      <c r="I42" s="23">
        <f>Model!S134</f>
        <v>1439</v>
      </c>
      <c r="J42" s="23">
        <f>Model!T134</f>
        <v>1453</v>
      </c>
      <c r="K42" s="23">
        <f>Model!U134</f>
        <v>1666</v>
      </c>
      <c r="L42" s="23">
        <f>Model!V134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+Model!Q142</f>
        <v>-822.8</v>
      </c>
      <c r="H45" s="23">
        <f>+Model!R142</f>
        <v>-954.59999999999991</v>
      </c>
      <c r="I45" s="23">
        <f>+Model!S142</f>
        <v>-784</v>
      </c>
      <c r="J45" s="23">
        <f>+Model!T142</f>
        <v>-928</v>
      </c>
      <c r="K45" s="23">
        <f>+Model!U142</f>
        <v>-1070</v>
      </c>
      <c r="L45" s="23">
        <f>+Model!V142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Model!Q139</f>
        <v>-51.6</v>
      </c>
      <c r="H48" s="23">
        <f>Model!R139</f>
        <v>-557.5</v>
      </c>
      <c r="I48" s="23">
        <f>Model!S139</f>
        <v>44.4</v>
      </c>
      <c r="J48" s="23">
        <f>Model!T139</f>
        <v>-38</v>
      </c>
      <c r="K48" s="23">
        <f>Model!U139</f>
        <v>-902</v>
      </c>
      <c r="L48" s="23">
        <f>Model!V139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+Main!H5+Model!E94+Model!E95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+Main!H6+Model!E114+Model!E115+Model!E116+Model!E117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21335.461878000002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35370.461878000002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2.8076640278432048E-2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69" bottom="1" rank="5"/>
    <cfRule type="top10" dxfId="78" priority="79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68" bottom="1" rank="5"/>
    <cfRule type="top10" dxfId="71" priority="78" rank="5"/>
  </conditionalFormatting>
  <conditionalFormatting sqref="K11">
    <cfRule type="top10" dxfId="70" priority="43" rank="10"/>
    <cfRule type="top10" dxfId="69" priority="44" bottom="1" rank="5"/>
    <cfRule type="top10" dxfId="68" priority="45" rank="5"/>
    <cfRule type="top10" dxfId="67" priority="46" percent="1" rank="10"/>
  </conditionalFormatting>
  <conditionalFormatting sqref="K15:K16">
    <cfRule type="top10" dxfId="66" priority="47" rank="10"/>
    <cfRule type="top10" dxfId="65" priority="48" bottom="1" rank="5"/>
    <cfRule type="top10" dxfId="64" priority="49" rank="5"/>
    <cfRule type="top10" dxfId="63" priority="50" percent="1" rank="10"/>
  </conditionalFormatting>
  <conditionalFormatting sqref="K6:L6">
    <cfRule type="top10" dxfId="62" priority="39" rank="10"/>
    <cfRule type="top10" dxfId="61" priority="40" bottom="1" rank="5"/>
    <cfRule type="top10" dxfId="60" priority="41" rank="5"/>
    <cfRule type="top10" dxfId="59" priority="42" percent="1" rank="10"/>
  </conditionalFormatting>
  <conditionalFormatting sqref="K18:N18">
    <cfRule type="top10" dxfId="58" priority="59" rank="10"/>
    <cfRule type="top10" dxfId="57" priority="60" bottom="1" rank="5"/>
    <cfRule type="top10" dxfId="56" priority="61" rank="5"/>
    <cfRule type="top10" dxfId="55" priority="62" percent="1" rank="10"/>
  </conditionalFormatting>
  <conditionalFormatting sqref="L7:L8 L10:L12 L14:L17 L19:L20">
    <cfRule type="cellIs" dxfId="54" priority="67" operator="between">
      <formula>0</formula>
      <formula>1.1</formula>
    </cfRule>
    <cfRule type="cellIs" dxfId="53" priority="77" operator="lessThan">
      <formula>0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0" bottom="1" rank="5"/>
    <cfRule type="top10" dxfId="42" priority="75" rank="5"/>
  </conditionalFormatting>
  <conditionalFormatting sqref="M11">
    <cfRule type="top10" dxfId="41" priority="23" rank="10"/>
    <cfRule type="top10" dxfId="40" priority="24" bottom="1" rank="5"/>
    <cfRule type="top10" dxfId="39" priority="25" rank="5"/>
    <cfRule type="top10" dxfId="38" priority="26" percent="1" rank="10"/>
  </conditionalFormatting>
  <conditionalFormatting sqref="M14">
    <cfRule type="top10" dxfId="37" priority="27" rank="10"/>
    <cfRule type="top10" dxfId="36" priority="28" bottom="1" rank="5"/>
    <cfRule type="top10" dxfId="35" priority="29" rank="5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19" rank="10"/>
    <cfRule type="top10" dxfId="26" priority="20" bottom="1" rank="5"/>
    <cfRule type="top10" dxfId="25" priority="21" rank="5"/>
    <cfRule type="top10" dxfId="24" priority="22" percent="1" rank="10"/>
  </conditionalFormatting>
  <conditionalFormatting sqref="N16">
    <cfRule type="top10" dxfId="23" priority="15" rank="10"/>
    <cfRule type="top10" dxfId="22" priority="16" bottom="1" rank="5"/>
    <cfRule type="top10" dxfId="21" priority="17" rank="5"/>
    <cfRule type="top10" dxfId="20" priority="18" percent="1" rank="10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1" rank="10"/>
    <cfRule type="top10" dxfId="12" priority="2" bottom="1" rank="5"/>
    <cfRule type="top10" dxfId="11" priority="3" rank="5"/>
    <cfRule type="top10" dxfId="10" priority="4" percent="1" rank="10"/>
  </conditionalFormatting>
  <conditionalFormatting sqref="O19">
    <cfRule type="top10" dxfId="9" priority="51" rank="10"/>
    <cfRule type="top10" dxfId="8" priority="52" bottom="1" rank="5"/>
    <cfRule type="top10" dxfId="7" priority="53" rank="5"/>
    <cfRule type="top10" dxfId="6" priority="54" percent="1" rank="10"/>
  </conditionalFormatting>
  <conditionalFormatting sqref="O6:P6">
    <cfRule type="top10" dxfId="5" priority="7" rank="10"/>
    <cfRule type="top10" dxfId="4" priority="8" bottom="1" rank="5"/>
    <cfRule type="top10" dxfId="3" priority="9" rank="5"/>
    <cfRule type="top10" dxfId="2" priority="10" percent="1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2025-07-25T13:21:49Z</dcterms:modified>
</cp:coreProperties>
</file>