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4B8E2E7-C0A1-4281-BB0B-BAA8E5EB92FA}" xr6:coauthVersionLast="47" xr6:coauthVersionMax="47" xr10:uidLastSave="{00000000-0000-0000-0000-000000000000}"/>
  <bookViews>
    <workbookView xWindow="-120" yWindow="-120" windowWidth="38640" windowHeight="21060" xr2:uid="{139B0E69-D4C6-42BA-824B-D7880A74E282}"/>
  </bookViews>
  <sheets>
    <sheet name="Main" sheetId="1" r:id="rId1"/>
    <sheet name="Quarters" sheetId="6" r:id="rId2"/>
    <sheet name="Model" sheetId="2" r:id="rId3"/>
    <sheet name="Ratios" sheetId="3" r:id="rId4"/>
    <sheet name="DCF" sheetId="4" r:id="rId5"/>
    <sheet name="WACC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2" l="1"/>
  <c r="I29" i="2"/>
  <c r="I30" i="2" s="1"/>
  <c r="H7" i="1"/>
  <c r="J15" i="6"/>
  <c r="I15" i="6"/>
  <c r="H15" i="6"/>
  <c r="G15" i="6"/>
  <c r="F15" i="6"/>
  <c r="E15" i="6"/>
  <c r="D15" i="6"/>
  <c r="C15" i="6"/>
  <c r="H47" i="3"/>
  <c r="G47" i="3"/>
  <c r="F47" i="3"/>
  <c r="I47" i="3"/>
  <c r="H46" i="3"/>
  <c r="G46" i="3"/>
  <c r="F46" i="3"/>
  <c r="I46" i="3"/>
  <c r="H45" i="3"/>
  <c r="G45" i="3"/>
  <c r="F45" i="3"/>
  <c r="I45" i="3"/>
  <c r="H44" i="3"/>
  <c r="G44" i="3"/>
  <c r="F44" i="3"/>
  <c r="I44" i="3"/>
  <c r="H43" i="3"/>
  <c r="G43" i="3"/>
  <c r="F43" i="3"/>
  <c r="H42" i="3"/>
  <c r="G42" i="3"/>
  <c r="F42" i="3"/>
  <c r="I43" i="3"/>
  <c r="I42" i="3"/>
  <c r="H25" i="3"/>
  <c r="G25" i="3"/>
  <c r="F25" i="3"/>
  <c r="I25" i="3"/>
  <c r="H24" i="3"/>
  <c r="G24" i="3"/>
  <c r="F24" i="3"/>
  <c r="E24" i="3"/>
  <c r="D24" i="3"/>
  <c r="C24" i="3"/>
  <c r="I24" i="3"/>
  <c r="H23" i="3"/>
  <c r="G23" i="3"/>
  <c r="F23" i="3"/>
  <c r="E23" i="3"/>
  <c r="I23" i="3"/>
  <c r="H22" i="3"/>
  <c r="G22" i="3"/>
  <c r="F22" i="3"/>
  <c r="E22" i="3"/>
  <c r="D22" i="3"/>
  <c r="C22" i="3"/>
  <c r="I22" i="3" l="1"/>
  <c r="H18" i="3"/>
  <c r="G18" i="3"/>
  <c r="I18" i="3"/>
  <c r="H17" i="3"/>
  <c r="G17" i="3"/>
  <c r="I17" i="3"/>
  <c r="H16" i="3"/>
  <c r="G16" i="3"/>
  <c r="I16" i="3"/>
  <c r="H15" i="3"/>
  <c r="G15" i="3"/>
  <c r="F15" i="3"/>
  <c r="E15" i="3"/>
  <c r="D15" i="3"/>
  <c r="I15" i="3"/>
  <c r="H14" i="3"/>
  <c r="G14" i="3"/>
  <c r="F14" i="3"/>
  <c r="I14" i="3"/>
  <c r="H11" i="3"/>
  <c r="G11" i="3"/>
  <c r="F11" i="3"/>
  <c r="H12" i="3"/>
  <c r="G12" i="3"/>
  <c r="F12" i="3"/>
  <c r="H13" i="3"/>
  <c r="G13" i="3"/>
  <c r="F13" i="3"/>
  <c r="I13" i="3"/>
  <c r="I12" i="3"/>
  <c r="I11" i="3"/>
  <c r="H8" i="3"/>
  <c r="G8" i="3"/>
  <c r="F8" i="3"/>
  <c r="I8" i="3"/>
  <c r="H7" i="3"/>
  <c r="G7" i="3"/>
  <c r="F7" i="3"/>
  <c r="I7" i="3"/>
  <c r="J6" i="3"/>
  <c r="I6" i="3"/>
  <c r="H6" i="3"/>
  <c r="G6" i="3"/>
  <c r="F6" i="3"/>
  <c r="E6" i="3"/>
  <c r="D6" i="3"/>
  <c r="C6" i="3"/>
  <c r="I4" i="3"/>
  <c r="H4" i="3"/>
  <c r="G4" i="3"/>
  <c r="F4" i="3"/>
  <c r="E4" i="3"/>
  <c r="D4" i="3"/>
  <c r="C4" i="3"/>
  <c r="H5" i="3"/>
  <c r="G5" i="3"/>
  <c r="F5" i="3"/>
  <c r="E5" i="3"/>
  <c r="D5" i="3"/>
  <c r="C5" i="3"/>
  <c r="I5" i="3"/>
  <c r="I51" i="4"/>
  <c r="H51" i="4"/>
  <c r="G51" i="4"/>
  <c r="L49" i="4"/>
  <c r="K49" i="4"/>
  <c r="J49" i="4"/>
  <c r="I49" i="4"/>
  <c r="H49" i="4"/>
  <c r="G49" i="4"/>
  <c r="L46" i="4"/>
  <c r="K46" i="4"/>
  <c r="J46" i="4"/>
  <c r="I46" i="4"/>
  <c r="H46" i="4"/>
  <c r="G46" i="4"/>
  <c r="L43" i="4"/>
  <c r="K43" i="4"/>
  <c r="J43" i="4"/>
  <c r="I43" i="4"/>
  <c r="H43" i="4"/>
  <c r="G43" i="4"/>
  <c r="L40" i="4"/>
  <c r="L51" i="4" s="1"/>
  <c r="K40" i="4"/>
  <c r="K51" i="4" s="1"/>
  <c r="J40" i="4"/>
  <c r="J51" i="4" s="1"/>
  <c r="I40" i="4"/>
  <c r="H40" i="4"/>
  <c r="G40" i="4"/>
  <c r="L38" i="4"/>
  <c r="K38" i="4"/>
  <c r="J38" i="4"/>
  <c r="I38" i="4"/>
  <c r="H38" i="4"/>
  <c r="G38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/>
  <c r="K32" i="4"/>
  <c r="J32" i="4"/>
  <c r="I32" i="4"/>
  <c r="H32" i="4"/>
  <c r="G32" i="4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M25" i="4" s="1"/>
  <c r="L26" i="4"/>
  <c r="K26" i="4"/>
  <c r="J26" i="4"/>
  <c r="I26" i="4"/>
  <c r="H26" i="4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O5" i="4" s="1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M31" i="4" l="1"/>
  <c r="M37" i="4" s="1"/>
  <c r="N25" i="4"/>
  <c r="N31" i="4" s="1"/>
  <c r="M45" i="4"/>
  <c r="M48" i="4"/>
  <c r="M42" i="4"/>
  <c r="F41" i="5"/>
  <c r="M40" i="4" l="1"/>
  <c r="M51" i="4" s="1"/>
  <c r="M52" i="4" s="1"/>
  <c r="N37" i="4"/>
  <c r="N40" i="4" s="1"/>
  <c r="N45" i="4"/>
  <c r="N48" i="4"/>
  <c r="N42" i="4"/>
  <c r="O25" i="4"/>
  <c r="N51" i="4" l="1"/>
  <c r="N52" i="4" s="1"/>
  <c r="O45" i="4"/>
  <c r="O48" i="4"/>
  <c r="O42" i="4"/>
  <c r="P25" i="4"/>
  <c r="O31" i="4"/>
  <c r="O37" i="4" l="1"/>
  <c r="O40" i="4" s="1"/>
  <c r="O51" i="4" s="1"/>
  <c r="O52" i="4" s="1"/>
  <c r="P42" i="4"/>
  <c r="P48" i="4"/>
  <c r="P45" i="4"/>
  <c r="Q25" i="4"/>
  <c r="P31" i="4"/>
  <c r="Q48" i="4" l="1"/>
  <c r="Q42" i="4"/>
  <c r="R25" i="4"/>
  <c r="Q45" i="4"/>
  <c r="Q31" i="4"/>
  <c r="P37" i="4"/>
  <c r="P40" i="4" s="1"/>
  <c r="P51" i="4" s="1"/>
  <c r="P52" i="4" s="1"/>
  <c r="Q37" i="4" l="1"/>
  <c r="Q40" i="4" s="1"/>
  <c r="Q51" i="4" s="1"/>
  <c r="Q52" i="4" s="1"/>
  <c r="R42" i="4"/>
  <c r="R48" i="4"/>
  <c r="S25" i="4"/>
  <c r="R45" i="4"/>
  <c r="R31" i="4"/>
  <c r="R37" i="4" l="1"/>
  <c r="R40" i="4" s="1"/>
  <c r="R51" i="4" s="1"/>
  <c r="R52" i="4" s="1"/>
  <c r="S48" i="4"/>
  <c r="S42" i="4"/>
  <c r="T25" i="4"/>
  <c r="S45" i="4"/>
  <c r="S31" i="4"/>
  <c r="T48" i="4" l="1"/>
  <c r="T42" i="4"/>
  <c r="U25" i="4"/>
  <c r="T45" i="4"/>
  <c r="T31" i="4"/>
  <c r="S37" i="4"/>
  <c r="S40" i="4" s="1"/>
  <c r="S51" i="4" s="1"/>
  <c r="S52" i="4" s="1"/>
  <c r="T37" i="4" l="1"/>
  <c r="T40" i="4" s="1"/>
  <c r="T51" i="4" s="1"/>
  <c r="T52" i="4" s="1"/>
  <c r="U48" i="4"/>
  <c r="U42" i="4"/>
  <c r="V25" i="4"/>
  <c r="U45" i="4"/>
  <c r="U31" i="4"/>
  <c r="U37" i="4" l="1"/>
  <c r="U40" i="4" s="1"/>
  <c r="U51" i="4" s="1"/>
  <c r="U52" i="4" s="1"/>
  <c r="V48" i="4"/>
  <c r="V42" i="4"/>
  <c r="V45" i="4"/>
  <c r="V31" i="4"/>
  <c r="V37" i="4" l="1"/>
  <c r="V40" i="4" s="1"/>
  <c r="V51" i="4" l="1"/>
  <c r="V52" i="4" s="1"/>
  <c r="V54" i="4" s="1"/>
  <c r="V55" i="4"/>
  <c r="V56" i="4" s="1"/>
  <c r="V57" i="4" l="1"/>
  <c r="V60" i="4" s="1"/>
  <c r="V62" i="4" s="1"/>
  <c r="J4" i="4" s="1"/>
  <c r="C69" i="4" l="1"/>
  <c r="N69" i="4"/>
  <c r="J5" i="4"/>
  <c r="O133" i="2"/>
  <c r="O134" i="2"/>
  <c r="P133" i="2"/>
  <c r="P134" i="2"/>
  <c r="L132" i="2"/>
  <c r="P132" i="2"/>
  <c r="O132" i="2"/>
  <c r="N132" i="2"/>
  <c r="M132" i="2"/>
  <c r="O121" i="2"/>
  <c r="O118" i="2"/>
  <c r="P121" i="2"/>
  <c r="P118" i="2"/>
  <c r="P122" i="2" s="1"/>
  <c r="L78" i="2"/>
  <c r="P78" i="2"/>
  <c r="Q133" i="2"/>
  <c r="Q134" i="2"/>
  <c r="Q132" i="2"/>
  <c r="R134" i="2"/>
  <c r="R132" i="2"/>
  <c r="Q129" i="2"/>
  <c r="Q130" i="2"/>
  <c r="P130" i="2"/>
  <c r="O130" i="2"/>
  <c r="N130" i="2"/>
  <c r="M130" i="2"/>
  <c r="L130" i="2"/>
  <c r="R130" i="2"/>
  <c r="Q122" i="2"/>
  <c r="O122" i="2"/>
  <c r="N122" i="2"/>
  <c r="M122" i="2"/>
  <c r="L122" i="2"/>
  <c r="R122" i="2"/>
  <c r="Q112" i="2"/>
  <c r="P112" i="2"/>
  <c r="O112" i="2"/>
  <c r="N112" i="2"/>
  <c r="M112" i="2"/>
  <c r="L112" i="2"/>
  <c r="R112" i="2"/>
  <c r="Q94" i="2"/>
  <c r="P94" i="2"/>
  <c r="O94" i="2"/>
  <c r="N94" i="2"/>
  <c r="M94" i="2"/>
  <c r="L94" i="2"/>
  <c r="L95" i="2"/>
  <c r="L97" i="2" s="1"/>
  <c r="R94" i="2"/>
  <c r="R95" i="2" s="1"/>
  <c r="R97" i="2" s="1"/>
  <c r="Q86" i="2"/>
  <c r="P86" i="2"/>
  <c r="O86" i="2"/>
  <c r="N86" i="2"/>
  <c r="M86" i="2"/>
  <c r="M95" i="2" s="1"/>
  <c r="M97" i="2" s="1"/>
  <c r="L86" i="2"/>
  <c r="R86" i="2"/>
  <c r="Q77" i="2"/>
  <c r="P77" i="2"/>
  <c r="O77" i="2"/>
  <c r="O78" i="2" s="1"/>
  <c r="N77" i="2"/>
  <c r="M77" i="2"/>
  <c r="L77" i="2"/>
  <c r="Q68" i="2"/>
  <c r="P68" i="2"/>
  <c r="O68" i="2"/>
  <c r="N68" i="2"/>
  <c r="M68" i="2"/>
  <c r="L68" i="2"/>
  <c r="R77" i="2"/>
  <c r="R78" i="2" s="1"/>
  <c r="R68" i="2"/>
  <c r="F36" i="2"/>
  <c r="F34" i="2"/>
  <c r="F32" i="2"/>
  <c r="F31" i="2"/>
  <c r="F29" i="2"/>
  <c r="F28" i="2"/>
  <c r="F27" i="2"/>
  <c r="F26" i="2"/>
  <c r="F24" i="2"/>
  <c r="F22" i="2"/>
  <c r="F21" i="2"/>
  <c r="F20" i="2"/>
  <c r="F23" i="2" s="1"/>
  <c r="F19" i="2"/>
  <c r="F52" i="2" s="1"/>
  <c r="F18" i="2"/>
  <c r="F51" i="2" s="1"/>
  <c r="F17" i="2"/>
  <c r="F50" i="2" s="1"/>
  <c r="F16" i="2"/>
  <c r="F49" i="2" s="1"/>
  <c r="F15" i="2"/>
  <c r="F48" i="2" s="1"/>
  <c r="F14" i="2"/>
  <c r="F47" i="2" s="1"/>
  <c r="F13" i="2"/>
  <c r="F46" i="2" s="1"/>
  <c r="F12" i="2"/>
  <c r="H45" i="2" s="1"/>
  <c r="F11" i="2"/>
  <c r="F44" i="2" s="1"/>
  <c r="H44" i="2"/>
  <c r="I43" i="2"/>
  <c r="G43" i="2"/>
  <c r="F43" i="2"/>
  <c r="E43" i="2"/>
  <c r="H36" i="2"/>
  <c r="H34" i="2"/>
  <c r="H32" i="2"/>
  <c r="H31" i="2"/>
  <c r="H29" i="2"/>
  <c r="H28" i="2"/>
  <c r="H27" i="2"/>
  <c r="H26" i="2"/>
  <c r="H24" i="2"/>
  <c r="H22" i="2"/>
  <c r="J55" i="2" s="1"/>
  <c r="H21" i="2"/>
  <c r="H20" i="2"/>
  <c r="H19" i="2"/>
  <c r="H18" i="2"/>
  <c r="H17" i="2"/>
  <c r="J50" i="2" s="1"/>
  <c r="H16" i="2"/>
  <c r="J49" i="2" s="1"/>
  <c r="H15" i="2"/>
  <c r="J48" i="2" s="1"/>
  <c r="H14" i="2"/>
  <c r="H13" i="2"/>
  <c r="H12" i="2"/>
  <c r="H11" i="2"/>
  <c r="J44" i="2" s="1"/>
  <c r="D9" i="2"/>
  <c r="D7" i="2"/>
  <c r="D6" i="2"/>
  <c r="D5" i="2"/>
  <c r="D4" i="2"/>
  <c r="D3" i="2"/>
  <c r="F9" i="2"/>
  <c r="F7" i="2"/>
  <c r="F6" i="2"/>
  <c r="F5" i="2"/>
  <c r="F4" i="2"/>
  <c r="F3" i="2"/>
  <c r="F8" i="2" s="1"/>
  <c r="H9" i="2"/>
  <c r="H43" i="2" s="1"/>
  <c r="H7" i="2"/>
  <c r="H6" i="2"/>
  <c r="H5" i="2"/>
  <c r="H4" i="2"/>
  <c r="H3" i="2"/>
  <c r="H3" i="1"/>
  <c r="H5" i="1" s="1"/>
  <c r="O58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L19" i="2"/>
  <c r="M52" i="2" s="1"/>
  <c r="R8" i="2"/>
  <c r="Q8" i="2"/>
  <c r="P8" i="2"/>
  <c r="P42" i="2" s="1"/>
  <c r="O8" i="2"/>
  <c r="O42" i="2" s="1"/>
  <c r="N8" i="2"/>
  <c r="N42" i="2" s="1"/>
  <c r="M8" i="2"/>
  <c r="M42" i="2" s="1"/>
  <c r="L8" i="2"/>
  <c r="R23" i="2"/>
  <c r="Q23" i="2"/>
  <c r="Q56" i="2" s="1"/>
  <c r="P23" i="2"/>
  <c r="P25" i="2" s="1"/>
  <c r="O23" i="2"/>
  <c r="O25" i="2" s="1"/>
  <c r="O30" i="2" s="1"/>
  <c r="O33" i="2" s="1"/>
  <c r="O35" i="2" s="1"/>
  <c r="O37" i="2" s="1"/>
  <c r="O39" i="2" s="1"/>
  <c r="N23" i="2"/>
  <c r="N25" i="2" s="1"/>
  <c r="M23" i="2"/>
  <c r="M25" i="2" s="1"/>
  <c r="L23" i="2"/>
  <c r="L25" i="2" s="1"/>
  <c r="L30" i="2" s="1"/>
  <c r="L33" i="2" s="1"/>
  <c r="G23" i="2"/>
  <c r="G25" i="2" s="1"/>
  <c r="G30" i="2" s="1"/>
  <c r="J58" i="2"/>
  <c r="J57" i="2"/>
  <c r="J54" i="2"/>
  <c r="J53" i="2"/>
  <c r="J52" i="2"/>
  <c r="J51" i="2"/>
  <c r="I55" i="2"/>
  <c r="I54" i="2"/>
  <c r="I53" i="2"/>
  <c r="I52" i="2"/>
  <c r="I51" i="2"/>
  <c r="I50" i="2"/>
  <c r="I49" i="2"/>
  <c r="I48" i="2"/>
  <c r="I47" i="2"/>
  <c r="I46" i="2"/>
  <c r="I45" i="2"/>
  <c r="I44" i="2"/>
  <c r="F55" i="2"/>
  <c r="E55" i="2"/>
  <c r="F54" i="2"/>
  <c r="E54" i="2"/>
  <c r="F53" i="2"/>
  <c r="E53" i="2"/>
  <c r="E52" i="2"/>
  <c r="E51" i="2"/>
  <c r="E50" i="2"/>
  <c r="E49" i="2"/>
  <c r="E48" i="2"/>
  <c r="E47" i="2"/>
  <c r="E46" i="2"/>
  <c r="E45" i="2"/>
  <c r="E44" i="2"/>
  <c r="G55" i="2"/>
  <c r="G54" i="2"/>
  <c r="G53" i="2"/>
  <c r="G52" i="2"/>
  <c r="G51" i="2"/>
  <c r="G50" i="2"/>
  <c r="G49" i="2"/>
  <c r="G48" i="2"/>
  <c r="G47" i="2"/>
  <c r="G46" i="2"/>
  <c r="G45" i="2"/>
  <c r="G44" i="2"/>
  <c r="G8" i="2"/>
  <c r="G42" i="2" s="1"/>
  <c r="J8" i="2"/>
  <c r="I8" i="2"/>
  <c r="I42" i="2" s="1"/>
  <c r="E8" i="2"/>
  <c r="E42" i="2" s="1"/>
  <c r="C8" i="2"/>
  <c r="J23" i="2"/>
  <c r="J25" i="2" s="1"/>
  <c r="J30" i="2" s="1"/>
  <c r="J33" i="2" s="1"/>
  <c r="J35" i="2" s="1"/>
  <c r="J37" i="2" s="1"/>
  <c r="J39" i="2" s="1"/>
  <c r="I23" i="2"/>
  <c r="I25" i="2" s="1"/>
  <c r="I33" i="2" s="1"/>
  <c r="I35" i="2" s="1"/>
  <c r="I37" i="2" s="1"/>
  <c r="I39" i="2" s="1"/>
  <c r="E23" i="2"/>
  <c r="E25" i="2" s="1"/>
  <c r="E30" i="2" s="1"/>
  <c r="E33" i="2" s="1"/>
  <c r="E35" i="2" s="1"/>
  <c r="D23" i="2"/>
  <c r="D25" i="2" s="1"/>
  <c r="D30" i="2" s="1"/>
  <c r="D33" i="2" s="1"/>
  <c r="D35" i="2" s="1"/>
  <c r="D37" i="2" s="1"/>
  <c r="D39" i="2" s="1"/>
  <c r="C23" i="2"/>
  <c r="C25" i="2" s="1"/>
  <c r="C30" i="2" s="1"/>
  <c r="C33" i="2" s="1"/>
  <c r="C35" i="2" s="1"/>
  <c r="C37" i="2" s="1"/>
  <c r="C39" i="2" s="1"/>
  <c r="I57" i="2" l="1"/>
  <c r="N95" i="2"/>
  <c r="N97" i="2" s="1"/>
  <c r="M78" i="2"/>
  <c r="N78" i="2"/>
  <c r="P57" i="2"/>
  <c r="P30" i="2"/>
  <c r="M30" i="2"/>
  <c r="M57" i="2"/>
  <c r="N30" i="2"/>
  <c r="N57" i="2"/>
  <c r="L35" i="2"/>
  <c r="L37" i="2" s="1"/>
  <c r="L39" i="2" s="1"/>
  <c r="L99" i="2"/>
  <c r="L115" i="2" s="1"/>
  <c r="O59" i="2"/>
  <c r="D8" i="2"/>
  <c r="F42" i="2" s="1"/>
  <c r="O95" i="2"/>
  <c r="O97" i="2" s="1"/>
  <c r="Q95" i="2"/>
  <c r="Q97" i="2" s="1"/>
  <c r="P95" i="2"/>
  <c r="P97" i="2" s="1"/>
  <c r="J43" i="2"/>
  <c r="R56" i="2"/>
  <c r="F45" i="2"/>
  <c r="H50" i="2"/>
  <c r="H51" i="2"/>
  <c r="R42" i="2"/>
  <c r="O99" i="2"/>
  <c r="O115" i="2" s="1"/>
  <c r="Q25" i="2"/>
  <c r="Q78" i="2"/>
  <c r="H8" i="2"/>
  <c r="O57" i="2"/>
  <c r="H23" i="2"/>
  <c r="H25" i="2" s="1"/>
  <c r="E37" i="2"/>
  <c r="E39" i="2" s="1"/>
  <c r="F25" i="2"/>
  <c r="F30" i="2" s="1"/>
  <c r="F33" i="2" s="1"/>
  <c r="H46" i="2"/>
  <c r="H47" i="2"/>
  <c r="H52" i="2"/>
  <c r="H54" i="2"/>
  <c r="H55" i="2"/>
  <c r="H48" i="2"/>
  <c r="H49" i="2"/>
  <c r="H30" i="2"/>
  <c r="H33" i="2" s="1"/>
  <c r="H35" i="2" s="1"/>
  <c r="H37" i="2" s="1"/>
  <c r="H39" i="2" s="1"/>
  <c r="H57" i="2"/>
  <c r="H53" i="2"/>
  <c r="J45" i="2"/>
  <c r="J46" i="2"/>
  <c r="J47" i="2"/>
  <c r="R25" i="2"/>
  <c r="R57" i="2" s="1"/>
  <c r="H8" i="1"/>
  <c r="G33" i="2"/>
  <c r="G58" i="2"/>
  <c r="G56" i="2"/>
  <c r="I59" i="2"/>
  <c r="J59" i="2"/>
  <c r="E56" i="2"/>
  <c r="F56" i="2"/>
  <c r="C57" i="2"/>
  <c r="D57" i="2"/>
  <c r="E59" i="2"/>
  <c r="I58" i="2"/>
  <c r="E57" i="2"/>
  <c r="F57" i="2"/>
  <c r="C58" i="2"/>
  <c r="H56" i="2"/>
  <c r="D58" i="2"/>
  <c r="I56" i="2"/>
  <c r="E58" i="2"/>
  <c r="C59" i="2"/>
  <c r="D59" i="2"/>
  <c r="G57" i="2"/>
  <c r="H42" i="2" l="1"/>
  <c r="J42" i="2"/>
  <c r="Q57" i="2"/>
  <c r="Q30" i="2"/>
  <c r="N33" i="2"/>
  <c r="N58" i="2"/>
  <c r="F35" i="2"/>
  <c r="F37" i="2" s="1"/>
  <c r="F39" i="2" s="1"/>
  <c r="M33" i="2"/>
  <c r="M58" i="2"/>
  <c r="P33" i="2"/>
  <c r="P58" i="2"/>
  <c r="J56" i="2"/>
  <c r="F59" i="2"/>
  <c r="F58" i="2"/>
  <c r="H59" i="2"/>
  <c r="H58" i="2"/>
  <c r="R30" i="2"/>
  <c r="G35" i="2"/>
  <c r="G37" i="2" s="1"/>
  <c r="G39" i="2" s="1"/>
  <c r="G59" i="2"/>
  <c r="R58" i="2" l="1"/>
  <c r="R33" i="2"/>
  <c r="P35" i="2"/>
  <c r="P37" i="2" s="1"/>
  <c r="P39" i="2" s="1"/>
  <c r="P99" i="2"/>
  <c r="P115" i="2" s="1"/>
  <c r="P59" i="2"/>
  <c r="M35" i="2"/>
  <c r="M37" i="2" s="1"/>
  <c r="M39" i="2" s="1"/>
  <c r="M99" i="2"/>
  <c r="M115" i="2" s="1"/>
  <c r="M59" i="2"/>
  <c r="N35" i="2"/>
  <c r="N37" i="2" s="1"/>
  <c r="N39" i="2" s="1"/>
  <c r="N99" i="2"/>
  <c r="N115" i="2" s="1"/>
  <c r="N59" i="2"/>
  <c r="Q33" i="2"/>
  <c r="Q58" i="2"/>
  <c r="Q35" i="2" l="1"/>
  <c r="Q37" i="2" s="1"/>
  <c r="Q39" i="2" s="1"/>
  <c r="Q99" i="2"/>
  <c r="Q115" i="2" s="1"/>
  <c r="Q59" i="2"/>
  <c r="R35" i="2"/>
  <c r="R37" i="2" s="1"/>
  <c r="R39" i="2" s="1"/>
  <c r="R59" i="2"/>
  <c r="R99" i="2"/>
  <c r="R1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<sst xmlns="http://schemas.openxmlformats.org/spreadsheetml/2006/main" count="472" uniqueCount="382">
  <si>
    <t xml:space="preserve">Prada </t>
  </si>
  <si>
    <t>Shares</t>
  </si>
  <si>
    <t>MC</t>
  </si>
  <si>
    <t xml:space="preserve">Cash </t>
  </si>
  <si>
    <t>Debt</t>
  </si>
  <si>
    <t>EV</t>
  </si>
  <si>
    <t>Main</t>
  </si>
  <si>
    <t>Busines Model</t>
  </si>
  <si>
    <t>Brands</t>
  </si>
  <si>
    <t>Products</t>
  </si>
  <si>
    <t>Costumers</t>
  </si>
  <si>
    <t>Prada</t>
  </si>
  <si>
    <t>Chruchs</t>
  </si>
  <si>
    <t>Car Shoe</t>
  </si>
  <si>
    <t>Marchesi 1824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</si>
  <si>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</si>
  <si>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</si>
  <si>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</si>
  <si>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</si>
  <si>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</si>
  <si>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</si>
  <si>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</si>
  <si>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</si>
  <si>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</si>
  <si>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</si>
  <si>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 xml:space="preserve">Interest Income </t>
  </si>
  <si>
    <t>Other Income</t>
  </si>
  <si>
    <t>Pretax Income</t>
  </si>
  <si>
    <t>Income Tax Expense</t>
  </si>
  <si>
    <t>Net Income</t>
  </si>
  <si>
    <t>Minorities</t>
  </si>
  <si>
    <t>Net Income to Group</t>
  </si>
  <si>
    <t>EPS</t>
  </si>
  <si>
    <t>numbers in mio EUR</t>
  </si>
  <si>
    <t>1913.HK</t>
  </si>
  <si>
    <t>IR</t>
  </si>
  <si>
    <t>H122</t>
  </si>
  <si>
    <t>H222</t>
  </si>
  <si>
    <t>H123</t>
  </si>
  <si>
    <t>H223</t>
  </si>
  <si>
    <t>H124</t>
  </si>
  <si>
    <t>H224</t>
  </si>
  <si>
    <t>H125</t>
  </si>
  <si>
    <t>H225</t>
  </si>
  <si>
    <t>Retail Revenue</t>
  </si>
  <si>
    <t>Wholesale Revenue</t>
  </si>
  <si>
    <t>Royalties Revenue</t>
  </si>
  <si>
    <t>Operating Income</t>
  </si>
  <si>
    <t>Selling</t>
  </si>
  <si>
    <t>Marketing</t>
  </si>
  <si>
    <t>Product Development</t>
  </si>
  <si>
    <t>G&amp;A</t>
  </si>
  <si>
    <t>Miu Miu</t>
  </si>
  <si>
    <t>Church's</t>
  </si>
  <si>
    <t>Other</t>
  </si>
  <si>
    <t>Prada Stores</t>
  </si>
  <si>
    <t>Miu Miu Stores</t>
  </si>
  <si>
    <t>Church's Stores</t>
  </si>
  <si>
    <t>Car Shoe Stores</t>
  </si>
  <si>
    <t>Marchesi 1824 Stores</t>
  </si>
  <si>
    <t>Total Stores</t>
  </si>
  <si>
    <t>Franchises</t>
  </si>
  <si>
    <t>Asia Pacific</t>
  </si>
  <si>
    <t>Europe</t>
  </si>
  <si>
    <t>America</t>
  </si>
  <si>
    <t>Japan</t>
  </si>
  <si>
    <t>Middle East</t>
  </si>
  <si>
    <t>Store Growth</t>
  </si>
  <si>
    <t>Franchise Growth</t>
  </si>
  <si>
    <t>Revenue Growth</t>
  </si>
  <si>
    <t>Retail Growth</t>
  </si>
  <si>
    <t>Wholesale Growth</t>
  </si>
  <si>
    <t>Royalties Growth</t>
  </si>
  <si>
    <t>Middle East Growth</t>
  </si>
  <si>
    <t>Asia Pacific Growth</t>
  </si>
  <si>
    <t>Europe Grwoth</t>
  </si>
  <si>
    <t>America Growth</t>
  </si>
  <si>
    <t>Japan Growth</t>
  </si>
  <si>
    <t>Prada Growth</t>
  </si>
  <si>
    <t>Miu Miu Growth</t>
  </si>
  <si>
    <t>Church's Growth</t>
  </si>
  <si>
    <t>Other Growth</t>
  </si>
  <si>
    <t>Gross Margin</t>
  </si>
  <si>
    <t xml:space="preserve">Operating Margin </t>
  </si>
  <si>
    <t>Tax Rate</t>
  </si>
  <si>
    <t>Notes</t>
  </si>
  <si>
    <t>Close to a deal with Capri to acquire Versace for 1.6 Billion USD</t>
  </si>
  <si>
    <t>Emplyoe Count: 14.876</t>
  </si>
  <si>
    <t>Factories: 26 (23 in italy)</t>
  </si>
  <si>
    <t>Founded 1913 by Mario Prada</t>
  </si>
  <si>
    <t>History</t>
  </si>
  <si>
    <t>1913 founded by Mario Prada -&gt; store selling leather goodsin Milans Galleria Vitoorie Emanuele II.</t>
  </si>
  <si>
    <t>1919 Prada obtained title of Official supplier to the Italian Royal Family</t>
  </si>
  <si>
    <t>1975 Mario Prada's granddaughter Miuccia Prada began collobaration with the entrepreneur Patrizio Bertelli</t>
  </si>
  <si>
    <t>1977 Bertelli founded IPI S.p.A. -&gt;distributed Prada leather goods</t>
  </si>
  <si>
    <t xml:space="preserve">1979 First women's footwear collection </t>
  </si>
  <si>
    <t>1983 Second Store in Milan -&gt; showcasing a special shade of light green "Prada Green"</t>
  </si>
  <si>
    <t>1988 Prada's fist woman clothing collection in Milan</t>
  </si>
  <si>
    <t>1993 debut in menswear and established a new women's brand Miu Miu</t>
  </si>
  <si>
    <t>1999 Prada group acquired the class English footwear brand Church's</t>
  </si>
  <si>
    <t>2003 licensing agreement with Luxottica to produce Prada and Miu Miu eyewear</t>
  </si>
  <si>
    <t>2007 launch of the Prada phone by LG</t>
  </si>
  <si>
    <t>2011 Prada S.p.A. was listed on the Hong Kong Stock Exchange</t>
  </si>
  <si>
    <t>2015 first Miu Miu fregrance in partnerhsip with Coty</t>
  </si>
  <si>
    <t>2020 Raf Simons joined Miuccia Prada as co-creative director</t>
  </si>
  <si>
    <t>2023 entrance in cosmetic industy in collaboration with L´Oréal</t>
  </si>
  <si>
    <t>1997 foundation of Prada sailing team and ist Linea Rossa activewear collection</t>
  </si>
  <si>
    <t>Luna Rossa</t>
  </si>
  <si>
    <t xml:space="preserve">woman </t>
  </si>
  <si>
    <t>men &amp; woman</t>
  </si>
  <si>
    <t>shpes</t>
  </si>
  <si>
    <t>loafers and other shoes</t>
  </si>
  <si>
    <t>Italian sailing team</t>
  </si>
  <si>
    <t>patisserie</t>
  </si>
  <si>
    <t>Creative Director Miuccia Prada &amp; Co Crative Director. Raf Simon</t>
  </si>
  <si>
    <t>CEO: Andrea Guerra</t>
  </si>
  <si>
    <t>leather products, clothing, shoes</t>
  </si>
  <si>
    <t>clothing</t>
  </si>
  <si>
    <t>Q424</t>
  </si>
  <si>
    <t>Price EUR</t>
  </si>
  <si>
    <t>Price HKD</t>
  </si>
  <si>
    <t>HKD/EUR</t>
  </si>
  <si>
    <t>CFO: Andrea Bonini</t>
  </si>
  <si>
    <t>Cash</t>
  </si>
  <si>
    <t>Trade Receivables</t>
  </si>
  <si>
    <t>Inventories</t>
  </si>
  <si>
    <t>Financial instruments</t>
  </si>
  <si>
    <t>Receivables from subsidaries</t>
  </si>
  <si>
    <t>Other Current Assets</t>
  </si>
  <si>
    <t>Total Current Assets</t>
  </si>
  <si>
    <t>PP&amp;E</t>
  </si>
  <si>
    <t>Inangibles</t>
  </si>
  <si>
    <t>Leases</t>
  </si>
  <si>
    <t>Equity Investments</t>
  </si>
  <si>
    <t>Deferred Tax Assets</t>
  </si>
  <si>
    <t>Total Non-current Assets</t>
  </si>
  <si>
    <t>Total Assets</t>
  </si>
  <si>
    <t>Other Non-current Assets</t>
  </si>
  <si>
    <t>Lease Liabilites</t>
  </si>
  <si>
    <t>Financial Payables/Overdrafts</t>
  </si>
  <si>
    <t>Payables to subsidaries</t>
  </si>
  <si>
    <t>Trade Paybles</t>
  </si>
  <si>
    <t>Tax Payables</t>
  </si>
  <si>
    <t>Other Current Liabilties</t>
  </si>
  <si>
    <t>Total Current Liabilies</t>
  </si>
  <si>
    <t>Financial Payables</t>
  </si>
  <si>
    <t>Employee Benefits</t>
  </si>
  <si>
    <t>Provisions</t>
  </si>
  <si>
    <t>Deffered Tax Liabilties</t>
  </si>
  <si>
    <t>Other Non-current Liabilties</t>
  </si>
  <si>
    <t>Total Non-current Liabilties</t>
  </si>
  <si>
    <t>Total Liabilties</t>
  </si>
  <si>
    <t>Equity</t>
  </si>
  <si>
    <t>Total Equity &amp; Liabilties</t>
  </si>
  <si>
    <t>Depreciation of Leases</t>
  </si>
  <si>
    <t>D&amp;A of PP&amp;E &amp; Intangibles</t>
  </si>
  <si>
    <t>Impairment of Assets</t>
  </si>
  <si>
    <t>Impairment of Leases</t>
  </si>
  <si>
    <t>Non-cash financial expenses</t>
  </si>
  <si>
    <t>Interest on Leases</t>
  </si>
  <si>
    <t>Other non-cash expenses</t>
  </si>
  <si>
    <t>Change in other nc- A/L</t>
  </si>
  <si>
    <t>Change in Trade Receivables</t>
  </si>
  <si>
    <t>Change in Inventories</t>
  </si>
  <si>
    <t>Change in Trade Payables</t>
  </si>
  <si>
    <t>Change in other c - A/L</t>
  </si>
  <si>
    <t>Change in WC</t>
  </si>
  <si>
    <t>Interest paid</t>
  </si>
  <si>
    <t>Tax Epense</t>
  </si>
  <si>
    <t>CFFO</t>
  </si>
  <si>
    <t>CFFI</t>
  </si>
  <si>
    <t>CapEx</t>
  </si>
  <si>
    <t>Sale of Assets</t>
  </si>
  <si>
    <t>Sale of Equity Investments</t>
  </si>
  <si>
    <t>Pruchase of Equity Investments</t>
  </si>
  <si>
    <t>Dividends Equity Investments</t>
  </si>
  <si>
    <t>Pruchase of minority share</t>
  </si>
  <si>
    <t>Dividends to Shareholder</t>
  </si>
  <si>
    <t>Dividends to minority Interest</t>
  </si>
  <si>
    <t>Repayment of Borrowings</t>
  </si>
  <si>
    <t>Iussance of Borrowings</t>
  </si>
  <si>
    <t>Change in current borrowings</t>
  </si>
  <si>
    <t>CFFF</t>
  </si>
  <si>
    <t>FX effexts</t>
  </si>
  <si>
    <t>Change in Cash</t>
  </si>
  <si>
    <t>Cash BOP</t>
  </si>
  <si>
    <t>Cash EOP</t>
  </si>
  <si>
    <t>Repayment of Leases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</si>
  <si>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</si>
  <si>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</si>
  <si>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</si>
  <si>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</si>
  <si>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</si>
  <si>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</si>
  <si>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</si>
  <si>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</si>
  <si>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</si>
  <si>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</si>
  <si>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</si>
  <si>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</si>
  <si>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</si>
  <si>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</si>
  <si>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</si>
  <si>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</si>
  <si>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</si>
  <si>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</si>
  <si>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</si>
  <si>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</si>
  <si>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</si>
  <si>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</si>
  <si>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</si>
  <si>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</si>
  <si>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</si>
  <si>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</si>
  <si>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</si>
  <si>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</si>
  <si>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</si>
  <si>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</si>
  <si>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</si>
  <si>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</si>
  <si>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</si>
  <si>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</si>
  <si>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</si>
  <si>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</si>
  <si>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</si>
  <si>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</si>
  <si>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</si>
  <si>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</si>
  <si>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</si>
  <si>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</si>
  <si>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</si>
  <si>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</si>
  <si>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</si>
  <si>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</si>
  <si>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</si>
  <si>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</si>
  <si>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</si>
  <si>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</si>
  <si>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</si>
  <si>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</si>
  <si>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</si>
  <si>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</si>
  <si>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</si>
  <si>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</si>
  <si>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</si>
  <si>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</si>
  <si>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</si>
  <si>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</si>
  <si>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</si>
  <si>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</si>
  <si>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</si>
  <si>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</si>
  <si>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</si>
  <si>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</si>
  <si>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</si>
  <si>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</si>
  <si>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</si>
  <si>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</si>
  <si>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</si>
  <si>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</si>
  <si>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</si>
  <si>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</si>
  <si>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</si>
  <si>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</si>
  <si>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</si>
  <si>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</si>
  <si>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</si>
  <si>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</si>
  <si>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</si>
  <si>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</si>
  <si>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</si>
  <si>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</si>
  <si>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</si>
  <si>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</si>
  <si>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</si>
  <si>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</si>
  <si>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</si>
  <si>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</si>
  <si>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</si>
  <si>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</si>
  <si>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</si>
  <si>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</si>
  <si>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</si>
  <si>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</si>
  <si>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</si>
  <si>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</si>
  <si>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</si>
  <si>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</si>
  <si>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</si>
  <si>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</si>
  <si>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</si>
  <si>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</si>
  <si>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</si>
  <si>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</si>
  <si>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</si>
  <si>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</si>
  <si>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</si>
  <si>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</si>
  <si>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</si>
  <si>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</si>
  <si>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</si>
  <si>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</si>
  <si>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</si>
  <si>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</si>
  <si>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</si>
  <si>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</si>
  <si>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</si>
  <si>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</si>
  <si>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</si>
  <si>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</si>
  <si>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</si>
  <si>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</si>
  <si>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</si>
  <si>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</si>
  <si>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</si>
  <si>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</si>
  <si>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</si>
  <si>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</si>
  <si>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</si>
  <si>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</si>
  <si>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</si>
  <si>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</si>
  <si>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</si>
  <si>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</si>
  <si>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</si>
  <si>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</si>
  <si>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</si>
  <si>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</si>
  <si>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</si>
  <si>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</si>
  <si>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</si>
  <si>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</si>
  <si>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</si>
  <si>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</si>
  <si>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</si>
  <si>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</si>
  <si>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</si>
  <si>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</si>
  <si>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</si>
  <si>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</si>
  <si>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</si>
  <si>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</si>
  <si>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</si>
  <si>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</si>
  <si>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</si>
  <si>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</si>
  <si>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</si>
  <si>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</si>
  <si>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</si>
  <si>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</si>
  <si>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</si>
  <si>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</si>
  <si>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</si>
  <si>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</si>
  <si>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</si>
  <si>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</si>
  <si>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</si>
  <si>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</si>
  <si>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</si>
  <si>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</si>
  <si>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</si>
  <si>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</si>
  <si>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</si>
  <si>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Revenue / Equity</t>
  </si>
  <si>
    <t>10-04-25: Acquistion of Versace for 1.25 Billion EUR</t>
  </si>
  <si>
    <t>Q125</t>
  </si>
  <si>
    <t>Q124</t>
  </si>
  <si>
    <t>Q224</t>
  </si>
  <si>
    <t>Q324</t>
  </si>
  <si>
    <t>Q225</t>
  </si>
  <si>
    <t>Q325</t>
  </si>
  <si>
    <t>Q425</t>
  </si>
  <si>
    <t>Retail Sales</t>
  </si>
  <si>
    <t>Wholesale Sales</t>
  </si>
  <si>
    <t>Royalties</t>
  </si>
  <si>
    <t>APAC Retail</t>
  </si>
  <si>
    <t>Europe Retail</t>
  </si>
  <si>
    <t>Americas Retail</t>
  </si>
  <si>
    <t>Japan Retail</t>
  </si>
  <si>
    <t>Middle East Retail</t>
  </si>
  <si>
    <t>MiuMiu</t>
  </si>
  <si>
    <t>Chuchs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</si>
</sst>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;\(#,##0\)"/>
    <numFmt numFmtId="166" formatCode="#,##0.00;\(#,##0.00\)"/>
    <numFmt numFmtId="167" formatCode="0.0%"/>
    <numFmt numFmtId="168" formatCode="#,##0.0"/>
    <numFmt numFmtId="169" formatCode="\F\Y#,##0"/>
    <numFmt numFmtId="170" formatCode="#,##0.0;[Red]#,##0.0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ptos Narrow"/>
      <family val="2"/>
      <scheme val="minor"/>
    </font>
    <font>
      <u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2">
    <xf numFmtId="0" fontId="0" fillId="0" borderId="0" xfId="0"/>
    <xf numFmtId="0" fontId="5" fillId="0" borderId="0" xfId="0" applyFont="1"/>
    <xf numFmtId="0" fontId="1" fillId="0" borderId="0" xfId="0" applyFont="1"/>
    <xf numFmtId="0" fontId="7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8" fillId="0" borderId="0" xfId="0" applyFont="1"/>
    <xf numFmtId="0" fontId="9" fillId="0" borderId="0" xfId="1" applyFont="1"/>
    <xf numFmtId="164" fontId="1" fillId="0" borderId="0" xfId="0" applyNumberFormat="1" applyFont="1"/>
    <xf numFmtId="0" fontId="10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65" fontId="7" fillId="0" borderId="0" xfId="0" applyNumberFormat="1" applyFont="1"/>
    <xf numFmtId="165" fontId="5" fillId="0" borderId="0" xfId="0" applyNumberFormat="1" applyFont="1"/>
    <xf numFmtId="164" fontId="7" fillId="0" borderId="0" xfId="0" applyNumberFormat="1" applyFo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5" fillId="0" borderId="0" xfId="0" applyNumberFormat="1" applyFont="1"/>
    <xf numFmtId="166" fontId="1" fillId="0" borderId="0" xfId="0" applyNumberFormat="1" applyFont="1"/>
    <xf numFmtId="9" fontId="1" fillId="0" borderId="0" xfId="2" applyFont="1"/>
    <xf numFmtId="167" fontId="1" fillId="0" borderId="0" xfId="2" applyNumberFormat="1" applyFont="1"/>
    <xf numFmtId="9" fontId="5" fillId="0" borderId="0" xfId="2" applyFont="1"/>
    <xf numFmtId="167" fontId="5" fillId="0" borderId="0" xfId="2" applyNumberFormat="1" applyFont="1"/>
    <xf numFmtId="0" fontId="11" fillId="0" borderId="0" xfId="0" applyFont="1"/>
    <xf numFmtId="169" fontId="12" fillId="0" borderId="0" xfId="0" applyNumberFormat="1" applyFont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9" fillId="0" borderId="10" xfId="1" applyFont="1" applyBorder="1"/>
    <xf numFmtId="0" fontId="5" fillId="0" borderId="10" xfId="0" applyFont="1" applyBorder="1"/>
    <xf numFmtId="0" fontId="1" fillId="0" borderId="12" xfId="0" applyFont="1" applyBorder="1"/>
    <xf numFmtId="0" fontId="1" fillId="3" borderId="13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168" fontId="1" fillId="3" borderId="14" xfId="2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9" fontId="1" fillId="3" borderId="14" xfId="2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/>
    <xf numFmtId="0" fontId="4" fillId="4" borderId="0" xfId="0" applyFont="1" applyFill="1"/>
    <xf numFmtId="0" fontId="6" fillId="4" borderId="0" xfId="0" applyFont="1" applyFill="1"/>
    <xf numFmtId="167" fontId="1" fillId="3" borderId="14" xfId="2" applyNumberFormat="1" applyFont="1" applyFill="1" applyBorder="1" applyAlignment="1">
      <alignment horizontal="center"/>
    </xf>
    <xf numFmtId="171" fontId="4" fillId="2" borderId="0" xfId="0" applyNumberFormat="1" applyFont="1" applyFill="1"/>
    <xf numFmtId="0" fontId="13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3" fillId="0" borderId="0" xfId="0" applyFont="1"/>
    <xf numFmtId="9" fontId="13" fillId="0" borderId="0" xfId="2" applyFont="1"/>
    <xf numFmtId="167" fontId="1" fillId="3" borderId="14" xfId="2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5" borderId="2" xfId="0" applyFont="1" applyFill="1" applyBorder="1"/>
    <xf numFmtId="165" fontId="5" fillId="5" borderId="2" xfId="0" applyNumberFormat="1" applyFont="1" applyFill="1" applyBorder="1"/>
    <xf numFmtId="165" fontId="5" fillId="5" borderId="3" xfId="0" applyNumberFormat="1" applyFont="1" applyFill="1" applyBorder="1"/>
    <xf numFmtId="167" fontId="13" fillId="0" borderId="0" xfId="2" applyNumberFormat="1" applyFont="1"/>
    <xf numFmtId="167" fontId="13" fillId="0" borderId="0" xfId="0" applyNumberFormat="1" applyFont="1"/>
    <xf numFmtId="170" fontId="5" fillId="5" borderId="4" xfId="0" applyNumberFormat="1" applyFont="1" applyFill="1" applyBorder="1"/>
    <xf numFmtId="170" fontId="5" fillId="5" borderId="5" xfId="0" applyNumberFormat="1" applyFont="1" applyFill="1" applyBorder="1"/>
    <xf numFmtId="165" fontId="5" fillId="5" borderId="5" xfId="0" applyNumberFormat="1" applyFont="1" applyFill="1" applyBorder="1"/>
    <xf numFmtId="165" fontId="5" fillId="5" borderId="6" xfId="0" applyNumberFormat="1" applyFont="1" applyFill="1" applyBorder="1"/>
    <xf numFmtId="170" fontId="5" fillId="5" borderId="9" xfId="0" applyNumberFormat="1" applyFont="1" applyFill="1" applyBorder="1"/>
    <xf numFmtId="170" fontId="5" fillId="5" borderId="10" xfId="0" applyNumberFormat="1" applyFont="1" applyFill="1" applyBorder="1"/>
    <xf numFmtId="165" fontId="5" fillId="5" borderId="10" xfId="0" applyNumberFormat="1" applyFont="1" applyFill="1" applyBorder="1"/>
    <xf numFmtId="165" fontId="5" fillId="5" borderId="11" xfId="0" applyNumberFormat="1" applyFont="1" applyFill="1" applyBorder="1"/>
    <xf numFmtId="170" fontId="1" fillId="0" borderId="0" xfId="0" applyNumberFormat="1" applyFont="1"/>
    <xf numFmtId="170" fontId="1" fillId="0" borderId="10" xfId="0" applyNumberFormat="1" applyFont="1" applyBorder="1"/>
    <xf numFmtId="170" fontId="1" fillId="0" borderId="10" xfId="0" applyNumberFormat="1" applyFont="1" applyBorder="1" applyAlignment="1">
      <alignment horizontal="right"/>
    </xf>
    <xf numFmtId="0" fontId="1" fillId="0" borderId="2" xfId="0" applyFont="1" applyBorder="1"/>
    <xf numFmtId="170" fontId="1" fillId="0" borderId="2" xfId="0" applyNumberFormat="1" applyFont="1" applyBorder="1"/>
    <xf numFmtId="170" fontId="1" fillId="0" borderId="2" xfId="0" applyNumberFormat="1" applyFont="1" applyBorder="1" applyAlignment="1">
      <alignment horizontal="right"/>
    </xf>
    <xf numFmtId="170" fontId="1" fillId="0" borderId="0" xfId="0" applyNumberFormat="1" applyFont="1" applyAlignment="1">
      <alignment horizontal="right"/>
    </xf>
    <xf numFmtId="0" fontId="1" fillId="6" borderId="4" xfId="0" applyFont="1" applyFill="1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 vertical="center" textRotation="90"/>
    </xf>
    <xf numFmtId="2" fontId="14" fillId="6" borderId="5" xfId="0" applyNumberFormat="1" applyFont="1" applyFill="1" applyBorder="1"/>
    <xf numFmtId="167" fontId="4" fillId="6" borderId="5" xfId="0" applyNumberFormat="1" applyFont="1" applyFill="1" applyBorder="1"/>
    <xf numFmtId="167" fontId="4" fillId="6" borderId="0" xfId="0" applyNumberFormat="1" applyFont="1" applyFill="1"/>
    <xf numFmtId="172" fontId="1" fillId="0" borderId="0" xfId="0" applyNumberFormat="1" applyFont="1"/>
    <xf numFmtId="172" fontId="5" fillId="0" borderId="0" xfId="0" applyNumberFormat="1" applyFont="1"/>
    <xf numFmtId="0" fontId="5" fillId="6" borderId="16" xfId="0" applyFont="1" applyFill="1" applyBorder="1" applyAlignment="1">
      <alignment horizontal="center" vertical="center" textRotation="90"/>
    </xf>
    <xf numFmtId="0" fontId="1" fillId="0" borderId="1" xfId="0" applyFont="1" applyBorder="1"/>
    <xf numFmtId="0" fontId="1" fillId="0" borderId="3" xfId="0" applyFont="1" applyBorder="1"/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dagroup.com/en/investors/investor-relatio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0F8B-85CE-4E9E-B0DA-DDDF938814DF}">
  <dimension ref="A1:AB41"/>
  <sheetViews>
    <sheetView tabSelected="1" zoomScale="200" zoomScaleNormal="200" workbookViewId="0">
      <selection activeCell="H8" sqref="H8"/>
    </sheetView>
  </sheetViews>
  <sheetFormatPr defaultRowHeight="13.5" x14ac:dyDescent="0.25"/>
  <cols>
    <col min="1" max="1" width="5.28515625" style="3" customWidth="1"/>
    <col min="2" max="2" width="14.28515625" style="3" customWidth="1"/>
    <col min="3" max="3" width="28.7109375" style="3" customWidth="1"/>
    <col min="4" max="4" width="13" style="3" customWidth="1"/>
    <col min="5" max="6" width="9.140625" style="3"/>
    <col min="7" max="7" width="9.7109375" style="3" customWidth="1"/>
    <col min="8" max="9" width="9.140625" style="3"/>
    <col min="10" max="10" width="9.5703125" style="3" customWidth="1"/>
    <col min="11" max="16384" width="9.140625" style="3"/>
  </cols>
  <sheetData>
    <row r="1" spans="1:2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 t="s">
        <v>33</v>
      </c>
      <c r="B2" s="2"/>
      <c r="C2" s="2"/>
      <c r="D2" s="2"/>
      <c r="E2" s="2"/>
      <c r="F2" s="2"/>
      <c r="G2" s="2" t="s">
        <v>120</v>
      </c>
      <c r="H2" s="2">
        <v>40.6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 t="s">
        <v>119</v>
      </c>
      <c r="H3" s="2">
        <f>+H2*H10</f>
        <v>4.8719999999999999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 t="s">
        <v>34</v>
      </c>
      <c r="C4" s="2"/>
      <c r="D4" s="2"/>
      <c r="E4" s="2"/>
      <c r="F4" s="2"/>
      <c r="G4" s="2" t="s">
        <v>1</v>
      </c>
      <c r="H4" s="4">
        <v>2558.8240000000001</v>
      </c>
      <c r="I4" s="5" t="s">
        <v>369</v>
      </c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7" t="s">
        <v>35</v>
      </c>
      <c r="C5" s="2"/>
      <c r="D5" s="2"/>
      <c r="E5" s="2"/>
      <c r="F5" s="2"/>
      <c r="G5" s="2" t="s">
        <v>2</v>
      </c>
      <c r="H5" s="8">
        <f>+H3*H4</f>
        <v>12466.590528000001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 t="s">
        <v>3</v>
      </c>
      <c r="H6" s="8">
        <v>597.99199999999996</v>
      </c>
      <c r="I6" s="5" t="s">
        <v>369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9" t="s">
        <v>7</v>
      </c>
      <c r="C7" s="2"/>
      <c r="D7" s="2"/>
      <c r="E7" s="2"/>
      <c r="F7" s="2"/>
      <c r="G7" s="2" t="s">
        <v>4</v>
      </c>
      <c r="H7" s="8">
        <f>47.816+195.727</f>
        <v>243.54300000000001</v>
      </c>
      <c r="I7" s="5" t="s">
        <v>369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10" t="s">
        <v>8</v>
      </c>
      <c r="C8" s="11" t="s">
        <v>9</v>
      </c>
      <c r="D8" s="11" t="s">
        <v>10</v>
      </c>
      <c r="E8" s="12"/>
      <c r="F8" s="2"/>
      <c r="G8" s="2" t="s">
        <v>5</v>
      </c>
      <c r="H8" s="8">
        <f>+H5-H6+H7</f>
        <v>12112.141528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13" t="s">
        <v>11</v>
      </c>
      <c r="C9" s="14" t="s">
        <v>116</v>
      </c>
      <c r="D9" s="14" t="s">
        <v>109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16" t="s">
        <v>52</v>
      </c>
      <c r="C10" s="2" t="s">
        <v>117</v>
      </c>
      <c r="D10" s="2" t="s">
        <v>108</v>
      </c>
      <c r="E10" s="17"/>
      <c r="F10" s="2"/>
      <c r="G10" s="2" t="s">
        <v>121</v>
      </c>
      <c r="H10" s="2">
        <v>0.12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16" t="s">
        <v>12</v>
      </c>
      <c r="C11" s="2" t="s">
        <v>110</v>
      </c>
      <c r="D11" s="2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16" t="s">
        <v>13</v>
      </c>
      <c r="C12" s="2" t="s">
        <v>111</v>
      </c>
      <c r="D12" s="2"/>
      <c r="E12" s="17"/>
      <c r="F12" s="2"/>
      <c r="G12" s="2" t="s">
        <v>115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16" t="s">
        <v>14</v>
      </c>
      <c r="C13" s="2" t="s">
        <v>113</v>
      </c>
      <c r="D13" s="2"/>
      <c r="E13" s="17"/>
      <c r="F13" s="2"/>
      <c r="G13" s="2" t="s">
        <v>114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18" t="s">
        <v>107</v>
      </c>
      <c r="C14" s="19" t="s">
        <v>112</v>
      </c>
      <c r="D14" s="19"/>
      <c r="E14" s="20"/>
      <c r="F14" s="2"/>
      <c r="G14" s="2" t="s">
        <v>122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6" t="s">
        <v>85</v>
      </c>
      <c r="C16" s="2"/>
      <c r="D16" s="2"/>
      <c r="E16" s="2"/>
      <c r="F16" s="2"/>
      <c r="G16" s="2" t="s">
        <v>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 t="s">
        <v>86</v>
      </c>
      <c r="C17" s="2"/>
      <c r="D17" s="2"/>
      <c r="E17" s="2"/>
      <c r="F17" s="2"/>
      <c r="G17" s="2" t="s">
        <v>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 t="s">
        <v>364</v>
      </c>
      <c r="C18" s="2"/>
      <c r="D18" s="2"/>
      <c r="E18" s="2"/>
      <c r="F18" s="2"/>
      <c r="G18" s="2" t="s">
        <v>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6" t="s">
        <v>90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" t="s">
        <v>91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 t="s">
        <v>92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 t="s">
        <v>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 t="s">
        <v>94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 t="s">
        <v>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 t="s">
        <v>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 t="s">
        <v>97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 t="s">
        <v>98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 t="s">
        <v>106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 t="s">
        <v>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 t="s">
        <v>100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 t="s">
        <v>101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 t="s">
        <v>102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 t="s">
        <v>103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 t="s">
        <v>104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 t="s">
        <v>105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hyperlinks>
    <hyperlink ref="B5" r:id="rId1" display="Investors" xr:uid="{AD20AEB2-4F32-49E3-B1F8-BAC495EB9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A2C-A229-4768-A965-623A6F5437DC}">
  <dimension ref="A1:AG223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3.5" x14ac:dyDescent="0.25"/>
  <cols>
    <col min="1" max="1" width="5.42578125" style="3" bestFit="1" customWidth="1"/>
    <col min="2" max="2" width="34.85546875" style="3" customWidth="1"/>
    <col min="3" max="16384" width="9.140625" style="3"/>
  </cols>
  <sheetData>
    <row r="1" spans="1:33" x14ac:dyDescent="0.25">
      <c r="A1" s="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3" x14ac:dyDescent="0.25">
      <c r="A2" s="2"/>
      <c r="B2" s="2"/>
      <c r="C2" s="5" t="s">
        <v>366</v>
      </c>
      <c r="D2" s="5" t="s">
        <v>367</v>
      </c>
      <c r="E2" s="5" t="s">
        <v>368</v>
      </c>
      <c r="F2" s="5" t="s">
        <v>118</v>
      </c>
      <c r="G2" s="5" t="s">
        <v>365</v>
      </c>
      <c r="H2" s="5" t="s">
        <v>369</v>
      </c>
      <c r="I2" s="5" t="s">
        <v>370</v>
      </c>
      <c r="J2" s="5" t="s">
        <v>371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3" x14ac:dyDescent="0.25">
      <c r="A3" s="2"/>
      <c r="B3" s="2" t="s">
        <v>11</v>
      </c>
      <c r="C3" s="5">
        <v>826</v>
      </c>
      <c r="D3" s="5"/>
      <c r="E3" s="5"/>
      <c r="F3" s="5"/>
      <c r="G3" s="5">
        <v>827</v>
      </c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3" x14ac:dyDescent="0.25">
      <c r="A4" s="2"/>
      <c r="B4" s="2" t="s">
        <v>380</v>
      </c>
      <c r="C4" s="5">
        <v>233</v>
      </c>
      <c r="D4" s="5"/>
      <c r="E4" s="5"/>
      <c r="F4" s="5"/>
      <c r="G4" s="5">
        <v>377</v>
      </c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3" x14ac:dyDescent="0.25">
      <c r="A5" s="2"/>
      <c r="B5" s="2" t="s">
        <v>381</v>
      </c>
      <c r="C5" s="5">
        <v>7</v>
      </c>
      <c r="D5" s="5"/>
      <c r="E5" s="5"/>
      <c r="F5" s="5"/>
      <c r="G5" s="5">
        <v>7</v>
      </c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3" x14ac:dyDescent="0.25">
      <c r="A6" s="2"/>
      <c r="B6" s="2" t="s">
        <v>54</v>
      </c>
      <c r="C6" s="5">
        <v>5</v>
      </c>
      <c r="D6" s="5"/>
      <c r="E6" s="5"/>
      <c r="F6" s="5"/>
      <c r="G6" s="5">
        <v>5</v>
      </c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3" x14ac:dyDescent="0.25">
      <c r="A7" s="2"/>
      <c r="B7" s="2" t="s">
        <v>375</v>
      </c>
      <c r="C7" s="4">
        <v>396</v>
      </c>
      <c r="D7" s="4"/>
      <c r="E7" s="4"/>
      <c r="F7" s="4"/>
      <c r="G7" s="4">
        <v>438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1"/>
      <c r="AG7" s="21"/>
    </row>
    <row r="8" spans="1:33" x14ac:dyDescent="0.25">
      <c r="A8" s="2"/>
      <c r="B8" s="2" t="s">
        <v>376</v>
      </c>
      <c r="C8" s="4">
        <v>295</v>
      </c>
      <c r="D8" s="4"/>
      <c r="E8" s="4"/>
      <c r="F8" s="4"/>
      <c r="G8" s="4">
        <v>334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1"/>
      <c r="AG8" s="21"/>
    </row>
    <row r="9" spans="1:33" x14ac:dyDescent="0.25">
      <c r="A9" s="2"/>
      <c r="B9" s="2" t="s">
        <v>377</v>
      </c>
      <c r="C9" s="4">
        <v>181</v>
      </c>
      <c r="D9" s="4"/>
      <c r="E9" s="4"/>
      <c r="F9" s="4"/>
      <c r="G9" s="4">
        <v>201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1"/>
      <c r="AG9" s="21"/>
    </row>
    <row r="10" spans="1:33" x14ac:dyDescent="0.25">
      <c r="A10" s="2"/>
      <c r="B10" s="2" t="s">
        <v>378</v>
      </c>
      <c r="C10" s="4">
        <v>145</v>
      </c>
      <c r="D10" s="4"/>
      <c r="E10" s="4"/>
      <c r="F10" s="4"/>
      <c r="G10" s="4">
        <v>172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21"/>
      <c r="AG10" s="21"/>
    </row>
    <row r="11" spans="1:33" x14ac:dyDescent="0.25">
      <c r="A11" s="2"/>
      <c r="B11" s="2" t="s">
        <v>379</v>
      </c>
      <c r="C11" s="4">
        <v>54</v>
      </c>
      <c r="D11" s="4"/>
      <c r="E11" s="4"/>
      <c r="F11" s="4"/>
      <c r="G11" s="4">
        <v>70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21"/>
      <c r="AG11" s="21"/>
    </row>
    <row r="12" spans="1:33" x14ac:dyDescent="0.25">
      <c r="A12" s="2"/>
      <c r="B12" s="2" t="s">
        <v>372</v>
      </c>
      <c r="C12" s="4">
        <v>1071</v>
      </c>
      <c r="D12" s="4"/>
      <c r="E12" s="4"/>
      <c r="F12" s="4"/>
      <c r="G12" s="4">
        <v>1216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1"/>
      <c r="AG12" s="21"/>
    </row>
    <row r="13" spans="1:33" x14ac:dyDescent="0.25">
      <c r="A13" s="2"/>
      <c r="B13" s="2" t="s">
        <v>373</v>
      </c>
      <c r="C13" s="4">
        <v>90</v>
      </c>
      <c r="D13" s="4"/>
      <c r="E13" s="4"/>
      <c r="F13" s="4"/>
      <c r="G13" s="4">
        <v>96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1"/>
      <c r="AG13" s="21"/>
    </row>
    <row r="14" spans="1:33" x14ac:dyDescent="0.25">
      <c r="A14" s="2"/>
      <c r="B14" s="2" t="s">
        <v>374</v>
      </c>
      <c r="C14" s="4">
        <v>25</v>
      </c>
      <c r="D14" s="4"/>
      <c r="E14" s="4"/>
      <c r="F14" s="4"/>
      <c r="G14" s="4">
        <v>29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1"/>
      <c r="AG14" s="21"/>
    </row>
    <row r="15" spans="1:33" x14ac:dyDescent="0.25">
      <c r="A15" s="2"/>
      <c r="B15" s="1" t="s">
        <v>22</v>
      </c>
      <c r="C15" s="22">
        <f>+SUM(C12:C14)</f>
        <v>1186</v>
      </c>
      <c r="D15" s="22">
        <f t="shared" ref="D15:J15" si="0">+SUM(D12:D14)</f>
        <v>0</v>
      </c>
      <c r="E15" s="22">
        <f t="shared" si="0"/>
        <v>0</v>
      </c>
      <c r="F15" s="22">
        <f t="shared" si="0"/>
        <v>0</v>
      </c>
      <c r="G15" s="22">
        <f t="shared" si="0"/>
        <v>1341</v>
      </c>
      <c r="H15" s="22">
        <f t="shared" si="0"/>
        <v>0</v>
      </c>
      <c r="I15" s="22">
        <f t="shared" si="0"/>
        <v>0</v>
      </c>
      <c r="J15" s="22">
        <f t="shared" si="0"/>
        <v>0</v>
      </c>
      <c r="K15" s="22"/>
      <c r="L15" s="22"/>
      <c r="M15" s="22"/>
      <c r="N15" s="2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1"/>
      <c r="AG15" s="21"/>
    </row>
    <row r="16" spans="1:33" x14ac:dyDescent="0.25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21"/>
      <c r="AG16" s="21"/>
    </row>
    <row r="17" spans="1:33" x14ac:dyDescent="0.25">
      <c r="A17" s="2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21"/>
      <c r="AG17" s="21"/>
    </row>
    <row r="18" spans="1:33" x14ac:dyDescent="0.25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1"/>
      <c r="AG18" s="21"/>
    </row>
    <row r="19" spans="1:33" x14ac:dyDescent="0.25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21"/>
      <c r="AG19" s="21"/>
    </row>
    <row r="20" spans="1:33" x14ac:dyDescent="0.25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1"/>
      <c r="AG20" s="21"/>
    </row>
    <row r="21" spans="1:33" x14ac:dyDescent="0.25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1"/>
      <c r="AG21" s="21"/>
    </row>
    <row r="22" spans="1:33" x14ac:dyDescent="0.25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21"/>
      <c r="AG22" s="21"/>
    </row>
    <row r="23" spans="1:33" x14ac:dyDescent="0.25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21"/>
      <c r="AG23" s="21"/>
    </row>
    <row r="24" spans="1:33" x14ac:dyDescent="0.25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21"/>
      <c r="AG24" s="21"/>
    </row>
    <row r="25" spans="1:33" x14ac:dyDescent="0.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21"/>
      <c r="AG25" s="21"/>
    </row>
    <row r="26" spans="1:33" x14ac:dyDescent="0.25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21"/>
      <c r="AG26" s="21"/>
    </row>
    <row r="27" spans="1:33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21"/>
      <c r="AG27" s="21"/>
    </row>
    <row r="28" spans="1:33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21"/>
      <c r="AG28" s="21"/>
    </row>
    <row r="29" spans="1:33" x14ac:dyDescent="0.25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21"/>
      <c r="AG29" s="21"/>
    </row>
    <row r="30" spans="1:33" x14ac:dyDescent="0.25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21"/>
      <c r="AG30" s="21"/>
    </row>
    <row r="31" spans="1:33" x14ac:dyDescent="0.25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21"/>
      <c r="AG31" s="21"/>
    </row>
    <row r="32" spans="1:33" x14ac:dyDescent="0.25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21"/>
      <c r="AG32" s="21"/>
    </row>
    <row r="33" spans="1:33" x14ac:dyDescent="0.25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21"/>
      <c r="AG33" s="21"/>
    </row>
    <row r="34" spans="1:33" x14ac:dyDescent="0.25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21"/>
      <c r="AG34" s="21"/>
    </row>
    <row r="35" spans="1:33" x14ac:dyDescent="0.25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21"/>
      <c r="AG35" s="21"/>
    </row>
    <row r="36" spans="1:33" x14ac:dyDescent="0.25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21"/>
      <c r="AG36" s="21"/>
    </row>
    <row r="37" spans="1:33" x14ac:dyDescent="0.25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21"/>
      <c r="AG37" s="21"/>
    </row>
    <row r="38" spans="1:33" x14ac:dyDescent="0.25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21"/>
      <c r="AG38" s="21"/>
    </row>
    <row r="39" spans="1:33" x14ac:dyDescent="0.25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21"/>
      <c r="AG39" s="21"/>
    </row>
    <row r="40" spans="1:33" x14ac:dyDescent="0.25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21"/>
      <c r="AG40" s="21"/>
    </row>
    <row r="41" spans="1:33" x14ac:dyDescent="0.25">
      <c r="A41" s="2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21"/>
      <c r="AG41" s="21"/>
    </row>
    <row r="42" spans="1:33" x14ac:dyDescent="0.25">
      <c r="A42" s="2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21"/>
      <c r="AG42" s="21"/>
    </row>
    <row r="43" spans="1:33" x14ac:dyDescent="0.25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21"/>
      <c r="AG43" s="21"/>
    </row>
    <row r="44" spans="1:33" x14ac:dyDescent="0.25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21"/>
      <c r="AG44" s="21"/>
    </row>
    <row r="45" spans="1:33" x14ac:dyDescent="0.2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21"/>
      <c r="AG45" s="21"/>
    </row>
    <row r="46" spans="1:33" x14ac:dyDescent="0.25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21"/>
      <c r="AG46" s="21"/>
    </row>
    <row r="47" spans="1:33" x14ac:dyDescent="0.25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21"/>
      <c r="AG47" s="21"/>
    </row>
    <row r="48" spans="1:33" x14ac:dyDescent="0.25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21"/>
      <c r="AG48" s="21"/>
    </row>
    <row r="49" spans="1:33" x14ac:dyDescent="0.25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21"/>
      <c r="AG49" s="21"/>
    </row>
    <row r="50" spans="1:33" x14ac:dyDescent="0.25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21"/>
      <c r="AG50" s="21"/>
    </row>
    <row r="51" spans="1:33" x14ac:dyDescent="0.25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21"/>
      <c r="AG51" s="21"/>
    </row>
    <row r="52" spans="1:33" x14ac:dyDescent="0.25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21"/>
      <c r="AG52" s="21"/>
    </row>
    <row r="53" spans="1:33" x14ac:dyDescent="0.25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21"/>
      <c r="AG53" s="21"/>
    </row>
    <row r="54" spans="1:33" x14ac:dyDescent="0.25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21"/>
      <c r="AG54" s="21"/>
    </row>
    <row r="55" spans="1:33" x14ac:dyDescent="0.2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21"/>
      <c r="AG55" s="21"/>
    </row>
    <row r="56" spans="1:33" x14ac:dyDescent="0.25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21"/>
      <c r="AG56" s="21"/>
    </row>
    <row r="57" spans="1:33" x14ac:dyDescent="0.2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21"/>
      <c r="AG57" s="21"/>
    </row>
    <row r="58" spans="1:33" x14ac:dyDescent="0.25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21"/>
      <c r="AG58" s="21"/>
    </row>
    <row r="59" spans="1:33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21"/>
      <c r="AG59" s="21"/>
    </row>
    <row r="60" spans="1:33" x14ac:dyDescent="0.25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21"/>
      <c r="AG60" s="21"/>
    </row>
    <row r="61" spans="1:33" x14ac:dyDescent="0.25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21"/>
      <c r="AG61" s="21"/>
    </row>
    <row r="62" spans="1:33" x14ac:dyDescent="0.25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21"/>
      <c r="AG62" s="21"/>
    </row>
    <row r="63" spans="1:33" x14ac:dyDescent="0.25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21"/>
      <c r="AG63" s="21"/>
    </row>
    <row r="64" spans="1:33" x14ac:dyDescent="0.25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21"/>
      <c r="AG64" s="21"/>
    </row>
    <row r="65" spans="1:33" x14ac:dyDescent="0.2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21"/>
      <c r="AG65" s="21"/>
    </row>
    <row r="66" spans="1:33" x14ac:dyDescent="0.25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21"/>
      <c r="AG66" s="21"/>
    </row>
    <row r="67" spans="1:33" x14ac:dyDescent="0.25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21"/>
      <c r="AG67" s="21"/>
    </row>
    <row r="68" spans="1:33" x14ac:dyDescent="0.25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21"/>
      <c r="AG68" s="21"/>
    </row>
    <row r="69" spans="1:33" x14ac:dyDescent="0.25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21"/>
      <c r="AG69" s="21"/>
    </row>
    <row r="70" spans="1:33" x14ac:dyDescent="0.25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21"/>
      <c r="AG70" s="21"/>
    </row>
    <row r="71" spans="1:33" x14ac:dyDescent="0.25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21"/>
      <c r="AG71" s="21"/>
    </row>
    <row r="72" spans="1:33" x14ac:dyDescent="0.25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21"/>
      <c r="AG72" s="21"/>
    </row>
    <row r="73" spans="1:33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21"/>
      <c r="AG73" s="21"/>
    </row>
    <row r="74" spans="1:33" x14ac:dyDescent="0.25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21"/>
      <c r="AG74" s="21"/>
    </row>
    <row r="75" spans="1:33" x14ac:dyDescent="0.2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21"/>
      <c r="AG75" s="21"/>
    </row>
    <row r="76" spans="1:33" x14ac:dyDescent="0.25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21"/>
      <c r="AG76" s="21"/>
    </row>
    <row r="77" spans="1:33" x14ac:dyDescent="0.25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21"/>
      <c r="AG77" s="21"/>
    </row>
    <row r="78" spans="1:33" x14ac:dyDescent="0.25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21"/>
      <c r="AG78" s="21"/>
    </row>
    <row r="79" spans="1:33" x14ac:dyDescent="0.2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21"/>
      <c r="AG79" s="21"/>
    </row>
    <row r="80" spans="1:33" x14ac:dyDescent="0.25">
      <c r="A80" s="2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23"/>
      <c r="AG80" s="23"/>
    </row>
    <row r="81" spans="1:33" x14ac:dyDescent="0.25">
      <c r="A81" s="2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23"/>
      <c r="AG81" s="23"/>
    </row>
    <row r="82" spans="1:33" x14ac:dyDescent="0.25">
      <c r="A82" s="2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23"/>
      <c r="AG82" s="23"/>
    </row>
    <row r="83" spans="1:33" x14ac:dyDescent="0.25">
      <c r="A83" s="2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23"/>
      <c r="AG83" s="23"/>
    </row>
    <row r="84" spans="1:33" x14ac:dyDescent="0.25">
      <c r="A84" s="2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23"/>
      <c r="AG84" s="23"/>
    </row>
    <row r="85" spans="1:33" x14ac:dyDescent="0.25">
      <c r="A85" s="2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23"/>
      <c r="AG85" s="23"/>
    </row>
    <row r="86" spans="1:33" x14ac:dyDescent="0.25">
      <c r="A86" s="2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23"/>
      <c r="AG86" s="23"/>
    </row>
    <row r="87" spans="1:33" x14ac:dyDescent="0.25">
      <c r="A87" s="2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23"/>
      <c r="AG87" s="23"/>
    </row>
    <row r="88" spans="1:33" x14ac:dyDescent="0.25">
      <c r="A88" s="2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23"/>
      <c r="AG88" s="23"/>
    </row>
    <row r="89" spans="1:33" x14ac:dyDescent="0.25">
      <c r="A89" s="2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23"/>
      <c r="AG89" s="23"/>
    </row>
    <row r="90" spans="1:33" x14ac:dyDescent="0.25">
      <c r="A90" s="2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23"/>
      <c r="AG90" s="23"/>
    </row>
    <row r="91" spans="1:33" x14ac:dyDescent="0.25">
      <c r="A91" s="2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23"/>
      <c r="AG91" s="23"/>
    </row>
    <row r="92" spans="1:33" x14ac:dyDescent="0.25">
      <c r="A92" s="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23"/>
      <c r="AG92" s="23"/>
    </row>
    <row r="93" spans="1:33" x14ac:dyDescent="0.25">
      <c r="A93" s="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23"/>
      <c r="AG93" s="23"/>
    </row>
    <row r="94" spans="1:33" x14ac:dyDescent="0.25">
      <c r="A94" s="2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23"/>
      <c r="AG94" s="23"/>
    </row>
    <row r="95" spans="1:33" x14ac:dyDescent="0.25">
      <c r="A95" s="2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23"/>
      <c r="AG95" s="23"/>
    </row>
    <row r="96" spans="1:33" x14ac:dyDescent="0.25">
      <c r="A96" s="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23"/>
      <c r="AG96" s="23"/>
    </row>
    <row r="97" spans="1:33" x14ac:dyDescent="0.25">
      <c r="A97" s="2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23"/>
      <c r="AG97" s="23"/>
    </row>
    <row r="98" spans="1:33" x14ac:dyDescent="0.25">
      <c r="A98" s="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23"/>
      <c r="AG98" s="23"/>
    </row>
    <row r="99" spans="1:33" x14ac:dyDescent="0.25">
      <c r="A99" s="2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23"/>
      <c r="AG99" s="23"/>
    </row>
    <row r="100" spans="1:33" x14ac:dyDescent="0.25">
      <c r="A100" s="2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23"/>
      <c r="AG100" s="23"/>
    </row>
    <row r="101" spans="1:33" x14ac:dyDescent="0.25">
      <c r="A101" s="2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23"/>
      <c r="AG101" s="23"/>
    </row>
    <row r="102" spans="1:33" x14ac:dyDescent="0.25">
      <c r="A102" s="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23"/>
      <c r="AG102" s="23"/>
    </row>
    <row r="103" spans="1:33" x14ac:dyDescent="0.25">
      <c r="A103" s="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23"/>
      <c r="AG103" s="23"/>
    </row>
    <row r="104" spans="1:33" x14ac:dyDescent="0.25">
      <c r="A104" s="2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23"/>
      <c r="AG104" s="23"/>
    </row>
    <row r="105" spans="1:33" x14ac:dyDescent="0.25">
      <c r="A105" s="2"/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23"/>
      <c r="AG105" s="23"/>
    </row>
    <row r="106" spans="1:33" x14ac:dyDescent="0.25">
      <c r="A106" s="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23"/>
      <c r="AG106" s="23"/>
    </row>
    <row r="107" spans="1:33" x14ac:dyDescent="0.25">
      <c r="A107" s="2"/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23"/>
      <c r="AG107" s="23"/>
    </row>
    <row r="108" spans="1:33" x14ac:dyDescent="0.25">
      <c r="A108" s="2"/>
      <c r="B108" s="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23"/>
      <c r="AG108" s="23"/>
    </row>
    <row r="109" spans="1:33" x14ac:dyDescent="0.25">
      <c r="A109" s="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23"/>
      <c r="AG109" s="23"/>
    </row>
    <row r="110" spans="1:33" x14ac:dyDescent="0.25">
      <c r="A110" s="2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23"/>
      <c r="AG110" s="23"/>
    </row>
    <row r="111" spans="1:33" x14ac:dyDescent="0.25">
      <c r="A111" s="2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23"/>
      <c r="AG111" s="23"/>
    </row>
    <row r="112" spans="1:33" x14ac:dyDescent="0.25">
      <c r="A112" s="2"/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23"/>
      <c r="AG112" s="23"/>
    </row>
    <row r="113" spans="1:33" x14ac:dyDescent="0.25">
      <c r="A113" s="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23"/>
      <c r="AG113" s="23"/>
    </row>
    <row r="114" spans="1:33" x14ac:dyDescent="0.25">
      <c r="A114" s="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23"/>
      <c r="AG114" s="23"/>
    </row>
    <row r="115" spans="1:33" x14ac:dyDescent="0.25">
      <c r="A115" s="2"/>
      <c r="B115" s="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23"/>
      <c r="AG115" s="23"/>
    </row>
    <row r="116" spans="1:33" x14ac:dyDescent="0.25">
      <c r="A116" s="2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23"/>
      <c r="AG116" s="23"/>
    </row>
    <row r="117" spans="1:33" x14ac:dyDescent="0.25">
      <c r="A117" s="2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23"/>
      <c r="AG117" s="23"/>
    </row>
    <row r="118" spans="1:33" x14ac:dyDescent="0.25">
      <c r="A118" s="2"/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23"/>
      <c r="AG118" s="23"/>
    </row>
    <row r="119" spans="1:33" x14ac:dyDescent="0.25">
      <c r="A119" s="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23"/>
      <c r="AG119" s="23"/>
    </row>
    <row r="120" spans="1:33" x14ac:dyDescent="0.25">
      <c r="A120" s="2"/>
      <c r="B120" s="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23"/>
      <c r="AG120" s="23"/>
    </row>
    <row r="121" spans="1:33" x14ac:dyDescent="0.25">
      <c r="A121" s="2"/>
      <c r="B121" s="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23"/>
      <c r="AG121" s="23"/>
    </row>
    <row r="122" spans="1:33" x14ac:dyDescent="0.25">
      <c r="A122" s="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23"/>
      <c r="AG122" s="23"/>
    </row>
    <row r="123" spans="1:33" x14ac:dyDescent="0.25">
      <c r="A123" s="2"/>
      <c r="B123" s="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23"/>
      <c r="AG123" s="23"/>
    </row>
    <row r="124" spans="1:33" x14ac:dyDescent="0.25">
      <c r="A124" s="2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23"/>
      <c r="AG124" s="23"/>
    </row>
    <row r="125" spans="1:33" x14ac:dyDescent="0.25">
      <c r="A125" s="2"/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23"/>
      <c r="AG125" s="23"/>
    </row>
    <row r="126" spans="1:33" x14ac:dyDescent="0.25">
      <c r="A126" s="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23"/>
      <c r="AG126" s="23"/>
    </row>
    <row r="127" spans="1:33" x14ac:dyDescent="0.25">
      <c r="A127" s="2"/>
      <c r="B127" s="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23"/>
      <c r="AG127" s="23"/>
    </row>
    <row r="128" spans="1:33" x14ac:dyDescent="0.25">
      <c r="A128" s="2"/>
      <c r="B128" s="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23"/>
      <c r="AG128" s="23"/>
    </row>
    <row r="129" spans="1:33" x14ac:dyDescent="0.25">
      <c r="A129" s="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23"/>
      <c r="AG129" s="23"/>
    </row>
    <row r="130" spans="1:33" x14ac:dyDescent="0.25">
      <c r="A130" s="2"/>
      <c r="B130" s="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23"/>
      <c r="AG130" s="23"/>
    </row>
    <row r="131" spans="1:33" x14ac:dyDescent="0.25">
      <c r="A131" s="2"/>
      <c r="B131" s="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23"/>
      <c r="AG131" s="23"/>
    </row>
    <row r="132" spans="1:33" x14ac:dyDescent="0.25">
      <c r="A132" s="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23"/>
      <c r="AG132" s="23"/>
    </row>
    <row r="133" spans="1:33" x14ac:dyDescent="0.25">
      <c r="A133" s="2"/>
      <c r="B133" s="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23"/>
      <c r="AG133" s="23"/>
    </row>
    <row r="134" spans="1:33" x14ac:dyDescent="0.25">
      <c r="A134" s="2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23"/>
      <c r="AG134" s="23"/>
    </row>
    <row r="135" spans="1:33" x14ac:dyDescent="0.25">
      <c r="A135" s="2"/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23"/>
      <c r="AG135" s="23"/>
    </row>
    <row r="136" spans="1:33" x14ac:dyDescent="0.25">
      <c r="A136" s="2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23"/>
      <c r="AG136" s="23"/>
    </row>
    <row r="137" spans="1:33" x14ac:dyDescent="0.25">
      <c r="A137" s="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23"/>
      <c r="AG137" s="23"/>
    </row>
    <row r="138" spans="1:33" x14ac:dyDescent="0.25">
      <c r="A138" s="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23"/>
      <c r="AG138" s="23"/>
    </row>
    <row r="139" spans="1:33" x14ac:dyDescent="0.25">
      <c r="A139" s="2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23"/>
      <c r="AG139" s="23"/>
    </row>
    <row r="140" spans="1:33" x14ac:dyDescent="0.25">
      <c r="A140" s="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23"/>
      <c r="AG140" s="23"/>
    </row>
    <row r="141" spans="1:33" x14ac:dyDescent="0.25">
      <c r="A141" s="2"/>
      <c r="B141" s="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23"/>
      <c r="AG141" s="23"/>
    </row>
    <row r="142" spans="1:33" x14ac:dyDescent="0.25">
      <c r="A142" s="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23"/>
      <c r="AG142" s="23"/>
    </row>
    <row r="143" spans="1:33" x14ac:dyDescent="0.25">
      <c r="A143" s="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23"/>
      <c r="AG143" s="23"/>
    </row>
    <row r="144" spans="1:33" x14ac:dyDescent="0.25">
      <c r="A144" s="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23"/>
      <c r="AG144" s="23"/>
    </row>
    <row r="145" spans="1:33" x14ac:dyDescent="0.25">
      <c r="A145" s="2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23"/>
      <c r="AG145" s="23"/>
    </row>
    <row r="146" spans="1:33" x14ac:dyDescent="0.25">
      <c r="A146" s="2"/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23"/>
      <c r="AG146" s="23"/>
    </row>
    <row r="147" spans="1:33" x14ac:dyDescent="0.25">
      <c r="A147" s="2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23"/>
      <c r="AG147" s="23"/>
    </row>
    <row r="148" spans="1:33" x14ac:dyDescent="0.25">
      <c r="A148" s="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23"/>
      <c r="AG148" s="23"/>
    </row>
    <row r="149" spans="1:33" x14ac:dyDescent="0.25">
      <c r="A149" s="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23"/>
      <c r="AG149" s="23"/>
    </row>
    <row r="150" spans="1:33" x14ac:dyDescent="0.25">
      <c r="A150" s="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23"/>
      <c r="AG150" s="23"/>
    </row>
    <row r="151" spans="1:33" x14ac:dyDescent="0.25">
      <c r="A151" s="2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23"/>
      <c r="AG151" s="23"/>
    </row>
    <row r="152" spans="1:33" x14ac:dyDescent="0.25">
      <c r="A152" s="2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23"/>
      <c r="AG152" s="23"/>
    </row>
    <row r="153" spans="1:33" x14ac:dyDescent="0.25">
      <c r="A153" s="2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23"/>
      <c r="AG153" s="23"/>
    </row>
    <row r="154" spans="1:33" x14ac:dyDescent="0.25">
      <c r="A154" s="2"/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23"/>
      <c r="AG154" s="23"/>
    </row>
    <row r="155" spans="1:33" x14ac:dyDescent="0.25">
      <c r="A155" s="2"/>
      <c r="B155" s="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23"/>
      <c r="AG155" s="23"/>
    </row>
    <row r="156" spans="1:33" x14ac:dyDescent="0.25">
      <c r="A156" s="2"/>
      <c r="B156" s="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23"/>
      <c r="AG156" s="23"/>
    </row>
    <row r="157" spans="1:33" x14ac:dyDescent="0.25">
      <c r="A157" s="2"/>
      <c r="B157" s="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23"/>
      <c r="AG157" s="23"/>
    </row>
    <row r="158" spans="1:33" x14ac:dyDescent="0.25">
      <c r="A158" s="2"/>
      <c r="B158" s="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23"/>
      <c r="AG158" s="23"/>
    </row>
    <row r="159" spans="1:33" x14ac:dyDescent="0.25">
      <c r="A159" s="2"/>
      <c r="B159" s="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23"/>
      <c r="AG159" s="23"/>
    </row>
    <row r="160" spans="1:33" x14ac:dyDescent="0.25">
      <c r="A160" s="2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23"/>
      <c r="AG160" s="23"/>
    </row>
    <row r="161" spans="1:33" x14ac:dyDescent="0.25">
      <c r="A161" s="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23"/>
      <c r="AG161" s="23"/>
    </row>
    <row r="162" spans="1:33" x14ac:dyDescent="0.25">
      <c r="A162" s="2"/>
      <c r="B162" s="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23"/>
      <c r="AG162" s="23"/>
    </row>
    <row r="163" spans="1:33" x14ac:dyDescent="0.25">
      <c r="A163" s="2"/>
      <c r="B163" s="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23"/>
      <c r="AG163" s="23"/>
    </row>
    <row r="164" spans="1:33" x14ac:dyDescent="0.25">
      <c r="A164" s="2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23"/>
      <c r="AG164" s="23"/>
    </row>
    <row r="165" spans="1:33" x14ac:dyDescent="0.25">
      <c r="A165" s="2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23"/>
      <c r="AG165" s="23"/>
    </row>
    <row r="166" spans="1:33" x14ac:dyDescent="0.25">
      <c r="A166" s="2"/>
      <c r="B166" s="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23"/>
      <c r="AG166" s="23"/>
    </row>
    <row r="167" spans="1:33" x14ac:dyDescent="0.25">
      <c r="A167" s="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23"/>
      <c r="AG167" s="23"/>
    </row>
    <row r="168" spans="1:33" x14ac:dyDescent="0.25">
      <c r="A168" s="2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23"/>
      <c r="AG168" s="23"/>
    </row>
    <row r="169" spans="1:33" x14ac:dyDescent="0.25">
      <c r="A169" s="2"/>
      <c r="B169" s="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23"/>
      <c r="AG169" s="23"/>
    </row>
    <row r="170" spans="1:33" x14ac:dyDescent="0.25">
      <c r="A170" s="2"/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23"/>
      <c r="AG170" s="23"/>
    </row>
    <row r="171" spans="1:33" x14ac:dyDescent="0.25">
      <c r="A171" s="2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23"/>
      <c r="AG171" s="23"/>
    </row>
    <row r="172" spans="1:33" x14ac:dyDescent="0.25">
      <c r="A172" s="2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23"/>
      <c r="AG172" s="23"/>
    </row>
    <row r="173" spans="1:33" x14ac:dyDescent="0.25">
      <c r="A173" s="2"/>
      <c r="B173" s="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23"/>
      <c r="AG173" s="23"/>
    </row>
    <row r="174" spans="1:33" x14ac:dyDescent="0.25">
      <c r="A174" s="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23"/>
      <c r="AG174" s="23"/>
    </row>
    <row r="175" spans="1:33" x14ac:dyDescent="0.25">
      <c r="A175" s="2"/>
      <c r="B175" s="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23"/>
      <c r="AG175" s="23"/>
    </row>
    <row r="176" spans="1:33" x14ac:dyDescent="0.25">
      <c r="A176" s="2"/>
      <c r="B176" s="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23"/>
      <c r="AG176" s="23"/>
    </row>
    <row r="177" spans="1:33" x14ac:dyDescent="0.25">
      <c r="A177" s="2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23"/>
      <c r="AG177" s="23"/>
    </row>
    <row r="178" spans="1:33" x14ac:dyDescent="0.25">
      <c r="A178" s="2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23"/>
      <c r="AG178" s="23"/>
    </row>
    <row r="179" spans="1:33" x14ac:dyDescent="0.25">
      <c r="A179" s="2"/>
      <c r="B179" s="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23"/>
      <c r="AG179" s="23"/>
    </row>
    <row r="180" spans="1:33" x14ac:dyDescent="0.25">
      <c r="A180" s="2"/>
      <c r="B180" s="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23"/>
      <c r="AG180" s="23"/>
    </row>
    <row r="181" spans="1:33" x14ac:dyDescent="0.25">
      <c r="A181" s="2"/>
      <c r="B181" s="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23"/>
      <c r="AG181" s="23"/>
    </row>
    <row r="182" spans="1:33" x14ac:dyDescent="0.25">
      <c r="A182" s="2"/>
      <c r="B182" s="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23"/>
      <c r="AG182" s="23"/>
    </row>
    <row r="183" spans="1:33" x14ac:dyDescent="0.25">
      <c r="A183" s="2"/>
      <c r="B183" s="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23"/>
      <c r="AG183" s="23"/>
    </row>
    <row r="184" spans="1:33" x14ac:dyDescent="0.25">
      <c r="A184" s="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23"/>
      <c r="AG184" s="23"/>
    </row>
    <row r="185" spans="1:33" x14ac:dyDescent="0.25">
      <c r="A185" s="2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23"/>
      <c r="AG185" s="23"/>
    </row>
    <row r="186" spans="1:33" x14ac:dyDescent="0.25">
      <c r="A186" s="2"/>
      <c r="B186" s="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23"/>
      <c r="AG186" s="23"/>
    </row>
    <row r="187" spans="1:33" x14ac:dyDescent="0.25">
      <c r="A187" s="2"/>
      <c r="B187" s="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23"/>
      <c r="AG187" s="23"/>
    </row>
    <row r="188" spans="1:33" x14ac:dyDescent="0.25">
      <c r="A188" s="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23"/>
      <c r="AG188" s="23"/>
    </row>
    <row r="189" spans="1:33" x14ac:dyDescent="0.25">
      <c r="A189" s="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23"/>
      <c r="AG189" s="23"/>
    </row>
    <row r="190" spans="1:33" x14ac:dyDescent="0.25">
      <c r="A190" s="2"/>
      <c r="B190" s="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23"/>
      <c r="AG190" s="23"/>
    </row>
    <row r="191" spans="1:33" x14ac:dyDescent="0.25">
      <c r="A191" s="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23"/>
      <c r="AG191" s="23"/>
    </row>
    <row r="192" spans="1:33" x14ac:dyDescent="0.25">
      <c r="A192" s="2"/>
      <c r="B192" s="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23"/>
      <c r="AG192" s="23"/>
    </row>
    <row r="193" spans="1:33" x14ac:dyDescent="0.25">
      <c r="A193" s="2"/>
      <c r="B193" s="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23"/>
      <c r="AG193" s="23"/>
    </row>
    <row r="194" spans="1:33" x14ac:dyDescent="0.25">
      <c r="A194" s="2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23"/>
      <c r="AG194" s="23"/>
    </row>
    <row r="195" spans="1:33" x14ac:dyDescent="0.25">
      <c r="A195" s="2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23"/>
      <c r="AG195" s="23"/>
    </row>
    <row r="196" spans="1:33" x14ac:dyDescent="0.25">
      <c r="A196" s="2"/>
      <c r="B196" s="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23"/>
      <c r="AG196" s="23"/>
    </row>
    <row r="197" spans="1:33" x14ac:dyDescent="0.25">
      <c r="A197" s="2"/>
      <c r="B197" s="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23"/>
      <c r="AG197" s="23"/>
    </row>
    <row r="198" spans="1:33" x14ac:dyDescent="0.25">
      <c r="A198" s="2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23"/>
      <c r="AG198" s="23"/>
    </row>
    <row r="199" spans="1:33" x14ac:dyDescent="0.25">
      <c r="A199" s="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23"/>
      <c r="AG199" s="23"/>
    </row>
    <row r="200" spans="1:33" x14ac:dyDescent="0.25">
      <c r="A200" s="2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23"/>
      <c r="AG200" s="23"/>
    </row>
    <row r="201" spans="1:33" x14ac:dyDescent="0.25">
      <c r="A201" s="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23"/>
      <c r="AG201" s="23"/>
    </row>
    <row r="202" spans="1:33" x14ac:dyDescent="0.25">
      <c r="A202" s="2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23"/>
      <c r="AG202" s="23"/>
    </row>
    <row r="203" spans="1:33" x14ac:dyDescent="0.25">
      <c r="A203" s="2"/>
      <c r="B203" s="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23"/>
      <c r="AG203" s="23"/>
    </row>
    <row r="204" spans="1:33" x14ac:dyDescent="0.25">
      <c r="A204" s="2"/>
      <c r="B204" s="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23"/>
      <c r="AG204" s="23"/>
    </row>
    <row r="205" spans="1:33" x14ac:dyDescent="0.25">
      <c r="A205" s="2"/>
      <c r="B205" s="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23"/>
      <c r="AG205" s="23"/>
    </row>
    <row r="206" spans="1:33" x14ac:dyDescent="0.25">
      <c r="A206" s="2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23"/>
      <c r="AG206" s="23"/>
    </row>
    <row r="207" spans="1:33" x14ac:dyDescent="0.25">
      <c r="A207" s="2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23"/>
      <c r="AG207" s="23"/>
    </row>
    <row r="208" spans="1:33" x14ac:dyDescent="0.25">
      <c r="A208" s="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23"/>
      <c r="AG208" s="23"/>
    </row>
    <row r="209" spans="1:33" x14ac:dyDescent="0.25">
      <c r="A209" s="2"/>
      <c r="B209" s="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23"/>
      <c r="AG209" s="23"/>
    </row>
    <row r="210" spans="1:33" x14ac:dyDescent="0.25">
      <c r="A210" s="2"/>
      <c r="B210" s="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23"/>
      <c r="AG210" s="23"/>
    </row>
    <row r="211" spans="1:33" x14ac:dyDescent="0.25">
      <c r="A211" s="2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23"/>
      <c r="AG211" s="23"/>
    </row>
    <row r="212" spans="1:33" x14ac:dyDescent="0.25">
      <c r="A212" s="2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23"/>
      <c r="AG212" s="23"/>
    </row>
    <row r="213" spans="1:33" x14ac:dyDescent="0.25">
      <c r="A213" s="2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23"/>
      <c r="AG213" s="23"/>
    </row>
    <row r="214" spans="1:33" x14ac:dyDescent="0.25">
      <c r="A214" s="2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23"/>
      <c r="AG214" s="23"/>
    </row>
    <row r="215" spans="1:33" x14ac:dyDescent="0.25">
      <c r="A215" s="2"/>
      <c r="B215" s="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23"/>
      <c r="AG215" s="23"/>
    </row>
    <row r="216" spans="1:33" x14ac:dyDescent="0.25"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 x14ac:dyDescent="0.25"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 x14ac:dyDescent="0.25"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 x14ac:dyDescent="0.25"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x14ac:dyDescent="0.25"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 x14ac:dyDescent="0.25"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 x14ac:dyDescent="0.25"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 x14ac:dyDescent="0.25"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</sheetData>
  <hyperlinks>
    <hyperlink ref="A1" location="Main!A1" display="Main" xr:uid="{1BEDD07B-5AEF-4804-88A7-EE82904B87F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E9E-6EDC-4F7B-A93D-2DF5215DDAD2}">
  <dimension ref="A1:AL24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3.5" x14ac:dyDescent="0.25"/>
  <cols>
    <col min="1" max="1" width="4.7109375" style="3" bestFit="1" customWidth="1"/>
    <col min="2" max="2" width="27.42578125" style="3" bestFit="1" customWidth="1"/>
    <col min="3" max="16384" width="9.140625" style="3"/>
  </cols>
  <sheetData>
    <row r="1" spans="1:38" x14ac:dyDescent="0.25">
      <c r="A1" s="7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8" x14ac:dyDescent="0.25">
      <c r="A2" s="2"/>
      <c r="B2" s="2"/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/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8" x14ac:dyDescent="0.25">
      <c r="A3" s="2"/>
      <c r="B3" s="2" t="s">
        <v>55</v>
      </c>
      <c r="C3" s="24"/>
      <c r="D3" s="24">
        <f>+P3</f>
        <v>422</v>
      </c>
      <c r="E3" s="24">
        <v>428</v>
      </c>
      <c r="F3" s="24">
        <f>+Q3</f>
        <v>428</v>
      </c>
      <c r="G3" s="24">
        <v>417</v>
      </c>
      <c r="H3" s="24">
        <f>+R3</f>
        <v>425</v>
      </c>
      <c r="I3" s="24">
        <v>426</v>
      </c>
      <c r="J3" s="24"/>
      <c r="K3" s="24"/>
      <c r="L3" s="24">
        <v>398</v>
      </c>
      <c r="M3" s="24">
        <v>410</v>
      </c>
      <c r="N3" s="24">
        <v>410</v>
      </c>
      <c r="O3" s="24">
        <v>420</v>
      </c>
      <c r="P3" s="24">
        <v>422</v>
      </c>
      <c r="Q3" s="24">
        <v>428</v>
      </c>
      <c r="R3" s="24">
        <v>425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21"/>
      <c r="AI3" s="21"/>
      <c r="AJ3" s="21"/>
    </row>
    <row r="4" spans="1:38" x14ac:dyDescent="0.25">
      <c r="A4" s="2"/>
      <c r="B4" s="2" t="s">
        <v>56</v>
      </c>
      <c r="C4" s="24"/>
      <c r="D4" s="24">
        <f t="shared" ref="D4:D9" si="0">+P4</f>
        <v>145</v>
      </c>
      <c r="E4" s="24">
        <v>141</v>
      </c>
      <c r="F4" s="24">
        <f t="shared" ref="F4:F7" si="1">+Q4</f>
        <v>141</v>
      </c>
      <c r="G4" s="24">
        <v>139</v>
      </c>
      <c r="H4" s="24">
        <f t="shared" ref="H4:H9" si="2">+R4</f>
        <v>147</v>
      </c>
      <c r="I4" s="24">
        <v>156</v>
      </c>
      <c r="J4" s="24"/>
      <c r="K4" s="24"/>
      <c r="L4" s="24">
        <v>166</v>
      </c>
      <c r="M4" s="24">
        <v>160</v>
      </c>
      <c r="N4" s="24">
        <v>152</v>
      </c>
      <c r="O4" s="24">
        <v>146</v>
      </c>
      <c r="P4" s="24">
        <v>145</v>
      </c>
      <c r="Q4" s="24">
        <v>141</v>
      </c>
      <c r="R4" s="24">
        <v>147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21"/>
      <c r="AI4" s="21"/>
      <c r="AJ4" s="21"/>
    </row>
    <row r="5" spans="1:38" x14ac:dyDescent="0.25">
      <c r="A5" s="2"/>
      <c r="B5" s="2" t="s">
        <v>57</v>
      </c>
      <c r="C5" s="24"/>
      <c r="D5" s="24">
        <f t="shared" si="0"/>
        <v>37</v>
      </c>
      <c r="E5" s="24">
        <v>28</v>
      </c>
      <c r="F5" s="24">
        <f t="shared" si="1"/>
        <v>28</v>
      </c>
      <c r="G5" s="24">
        <v>28</v>
      </c>
      <c r="H5" s="24">
        <f t="shared" si="2"/>
        <v>28</v>
      </c>
      <c r="I5" s="24">
        <v>28</v>
      </c>
      <c r="J5" s="24"/>
      <c r="K5" s="24"/>
      <c r="L5" s="24">
        <v>63</v>
      </c>
      <c r="M5" s="24">
        <v>62</v>
      </c>
      <c r="N5" s="24">
        <v>62</v>
      </c>
      <c r="O5" s="24">
        <v>61</v>
      </c>
      <c r="P5" s="24">
        <v>37</v>
      </c>
      <c r="Q5" s="24">
        <v>28</v>
      </c>
      <c r="R5" s="24">
        <v>28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21"/>
      <c r="AI5" s="21"/>
      <c r="AJ5" s="21"/>
    </row>
    <row r="6" spans="1:38" x14ac:dyDescent="0.25">
      <c r="A6" s="2"/>
      <c r="B6" s="2" t="s">
        <v>58</v>
      </c>
      <c r="C6" s="24"/>
      <c r="D6" s="24">
        <f t="shared" si="0"/>
        <v>2</v>
      </c>
      <c r="E6" s="24">
        <v>2</v>
      </c>
      <c r="F6" s="24">
        <f t="shared" si="1"/>
        <v>2</v>
      </c>
      <c r="G6" s="24">
        <v>2</v>
      </c>
      <c r="H6" s="24">
        <f t="shared" si="2"/>
        <v>2</v>
      </c>
      <c r="I6" s="24">
        <v>2</v>
      </c>
      <c r="J6" s="24"/>
      <c r="K6" s="24"/>
      <c r="L6" s="24">
        <v>4</v>
      </c>
      <c r="M6" s="24">
        <v>3</v>
      </c>
      <c r="N6" s="24">
        <v>3</v>
      </c>
      <c r="O6" s="24">
        <v>2</v>
      </c>
      <c r="P6" s="24">
        <v>2</v>
      </c>
      <c r="Q6" s="24">
        <v>2</v>
      </c>
      <c r="R6" s="24">
        <v>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21"/>
      <c r="AI6" s="21"/>
      <c r="AJ6" s="21"/>
    </row>
    <row r="7" spans="1:38" x14ac:dyDescent="0.25">
      <c r="A7" s="2"/>
      <c r="B7" s="2" t="s">
        <v>59</v>
      </c>
      <c r="C7" s="24"/>
      <c r="D7" s="24">
        <f t="shared" si="0"/>
        <v>6</v>
      </c>
      <c r="E7" s="24">
        <v>7</v>
      </c>
      <c r="F7" s="24">
        <f t="shared" si="1"/>
        <v>7</v>
      </c>
      <c r="G7" s="24">
        <v>7</v>
      </c>
      <c r="H7" s="24">
        <f t="shared" si="2"/>
        <v>7</v>
      </c>
      <c r="I7" s="24">
        <v>8</v>
      </c>
      <c r="J7" s="24"/>
      <c r="K7" s="24"/>
      <c r="L7" s="24">
        <v>5</v>
      </c>
      <c r="M7" s="24">
        <v>6</v>
      </c>
      <c r="N7" s="24">
        <v>6</v>
      </c>
      <c r="O7" s="24">
        <v>6</v>
      </c>
      <c r="P7" s="24">
        <v>6</v>
      </c>
      <c r="Q7" s="24">
        <v>7</v>
      </c>
      <c r="R7" s="24">
        <v>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21"/>
      <c r="AI7" s="21"/>
      <c r="AJ7" s="21"/>
    </row>
    <row r="8" spans="1:38" x14ac:dyDescent="0.25">
      <c r="A8" s="2"/>
      <c r="B8" s="2" t="s">
        <v>60</v>
      </c>
      <c r="C8" s="24">
        <f t="shared" ref="C8:R8" si="3">+SUM(C3:C7)</f>
        <v>0</v>
      </c>
      <c r="D8" s="24">
        <f t="shared" si="3"/>
        <v>612</v>
      </c>
      <c r="E8" s="24">
        <f t="shared" si="3"/>
        <v>606</v>
      </c>
      <c r="F8" s="24">
        <f t="shared" si="3"/>
        <v>606</v>
      </c>
      <c r="G8" s="24">
        <f t="shared" si="3"/>
        <v>593</v>
      </c>
      <c r="H8" s="24">
        <f t="shared" si="3"/>
        <v>609</v>
      </c>
      <c r="I8" s="24">
        <f t="shared" si="3"/>
        <v>620</v>
      </c>
      <c r="J8" s="24">
        <f t="shared" si="3"/>
        <v>0</v>
      </c>
      <c r="K8" s="24"/>
      <c r="L8" s="24">
        <f t="shared" si="3"/>
        <v>636</v>
      </c>
      <c r="M8" s="24">
        <f t="shared" si="3"/>
        <v>641</v>
      </c>
      <c r="N8" s="24">
        <f t="shared" si="3"/>
        <v>633</v>
      </c>
      <c r="O8" s="24">
        <f t="shared" si="3"/>
        <v>635</v>
      </c>
      <c r="P8" s="24">
        <f t="shared" si="3"/>
        <v>612</v>
      </c>
      <c r="Q8" s="24">
        <f t="shared" si="3"/>
        <v>606</v>
      </c>
      <c r="R8" s="24">
        <f t="shared" si="3"/>
        <v>609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21"/>
      <c r="AI8" s="21"/>
      <c r="AJ8" s="21"/>
    </row>
    <row r="9" spans="1:38" x14ac:dyDescent="0.25">
      <c r="A9" s="2"/>
      <c r="B9" s="2" t="s">
        <v>61</v>
      </c>
      <c r="C9" s="24"/>
      <c r="D9" s="24">
        <f t="shared" si="0"/>
        <v>26</v>
      </c>
      <c r="E9" s="24">
        <v>25</v>
      </c>
      <c r="F9" s="24">
        <f>+Q9</f>
        <v>25</v>
      </c>
      <c r="G9" s="24">
        <v>24</v>
      </c>
      <c r="H9" s="24">
        <f t="shared" si="2"/>
        <v>23</v>
      </c>
      <c r="I9" s="24">
        <v>22</v>
      </c>
      <c r="J9" s="24"/>
      <c r="K9" s="24"/>
      <c r="L9" s="24">
        <v>34</v>
      </c>
      <c r="M9" s="24">
        <v>25</v>
      </c>
      <c r="N9" s="24">
        <v>26</v>
      </c>
      <c r="O9" s="24">
        <v>26</v>
      </c>
      <c r="P9" s="24">
        <v>26</v>
      </c>
      <c r="Q9" s="24">
        <v>25</v>
      </c>
      <c r="R9" s="24">
        <v>23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21"/>
      <c r="AI9" s="21"/>
      <c r="AJ9" s="21"/>
    </row>
    <row r="10" spans="1:38" x14ac:dyDescent="0.25">
      <c r="A10" s="2"/>
      <c r="B10" s="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1"/>
      <c r="AI10" s="21"/>
      <c r="AJ10" s="21"/>
    </row>
    <row r="11" spans="1:38" x14ac:dyDescent="0.25">
      <c r="A11" s="2"/>
      <c r="B11" s="2" t="s">
        <v>11</v>
      </c>
      <c r="C11" s="25"/>
      <c r="D11" s="25"/>
      <c r="E11" s="25">
        <v>1668</v>
      </c>
      <c r="F11" s="25">
        <f>+Q11-E11</f>
        <v>2244.3090000000002</v>
      </c>
      <c r="G11" s="25">
        <v>1708</v>
      </c>
      <c r="H11" s="25">
        <f>+R11-G11</f>
        <v>1855.3760000000002</v>
      </c>
      <c r="I11" s="25">
        <v>1646.788</v>
      </c>
      <c r="J11" s="25"/>
      <c r="K11" s="25"/>
      <c r="L11" s="25">
        <v>2558.1080000000002</v>
      </c>
      <c r="M11" s="25">
        <v>2643.348</v>
      </c>
      <c r="N11" s="25">
        <v>2012.62</v>
      </c>
      <c r="O11" s="25">
        <v>2857.6930000000002</v>
      </c>
      <c r="P11" s="25">
        <v>3647.8049999999998</v>
      </c>
      <c r="Q11" s="25">
        <v>3912.3090000000002</v>
      </c>
      <c r="R11" s="25">
        <v>3563.3760000000002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8" x14ac:dyDescent="0.25">
      <c r="A12" s="2"/>
      <c r="B12" s="2" t="s">
        <v>52</v>
      </c>
      <c r="C12" s="25"/>
      <c r="D12" s="25"/>
      <c r="E12" s="25">
        <v>285</v>
      </c>
      <c r="F12" s="25">
        <f t="shared" ref="F12:F22" si="4">+Q12-E12</f>
        <v>468.23400000000004</v>
      </c>
      <c r="G12" s="25">
        <v>530</v>
      </c>
      <c r="H12" s="25">
        <f t="shared" ref="H12:H36" si="5">+R12-G12</f>
        <v>698.05300000000011</v>
      </c>
      <c r="I12" s="25">
        <v>780.14</v>
      </c>
      <c r="J12" s="25"/>
      <c r="K12" s="25"/>
      <c r="L12" s="25">
        <v>453.476</v>
      </c>
      <c r="M12" s="25">
        <v>450.49099999999999</v>
      </c>
      <c r="N12" s="25">
        <v>329.49700000000001</v>
      </c>
      <c r="O12" s="25">
        <v>401.21899999999999</v>
      </c>
      <c r="P12" s="25">
        <v>488.952</v>
      </c>
      <c r="Q12" s="25">
        <v>753.23400000000004</v>
      </c>
      <c r="R12" s="25">
        <v>1228.0530000000001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8" x14ac:dyDescent="0.25">
      <c r="A13" s="2"/>
      <c r="B13" s="2" t="s">
        <v>53</v>
      </c>
      <c r="C13" s="25"/>
      <c r="D13" s="25"/>
      <c r="E13" s="25">
        <v>13</v>
      </c>
      <c r="F13" s="25">
        <f t="shared" si="4"/>
        <v>22.790999999999997</v>
      </c>
      <c r="G13" s="25">
        <v>15</v>
      </c>
      <c r="H13" s="25">
        <f t="shared" si="5"/>
        <v>16.658999999999999</v>
      </c>
      <c r="I13" s="25">
        <v>15.37</v>
      </c>
      <c r="J13" s="25"/>
      <c r="K13" s="25"/>
      <c r="L13" s="25">
        <v>69.078999999999994</v>
      </c>
      <c r="M13" s="25">
        <v>69.801000000000002</v>
      </c>
      <c r="N13" s="25">
        <v>36.963999999999999</v>
      </c>
      <c r="O13" s="25">
        <v>39.551000000000002</v>
      </c>
      <c r="P13" s="25">
        <v>41.970999999999997</v>
      </c>
      <c r="Q13" s="25">
        <v>35.790999999999997</v>
      </c>
      <c r="R13" s="25">
        <v>31.658999999999999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8" x14ac:dyDescent="0.25">
      <c r="A14" s="2"/>
      <c r="B14" s="2" t="s">
        <v>54</v>
      </c>
      <c r="C14" s="25"/>
      <c r="D14" s="25"/>
      <c r="E14" s="25">
        <v>9</v>
      </c>
      <c r="F14" s="25">
        <f t="shared" si="4"/>
        <v>16.077000000000002</v>
      </c>
      <c r="G14" s="25">
        <v>10</v>
      </c>
      <c r="H14" s="25">
        <f t="shared" si="5"/>
        <v>16.12</v>
      </c>
      <c r="I14" s="25">
        <v>11.083</v>
      </c>
      <c r="J14" s="25"/>
      <c r="K14" s="25"/>
      <c r="L14" s="25">
        <v>17.405000000000001</v>
      </c>
      <c r="M14" s="25">
        <v>19.699000000000002</v>
      </c>
      <c r="N14" s="25">
        <v>11.785</v>
      </c>
      <c r="O14" s="25">
        <v>18.157</v>
      </c>
      <c r="P14" s="25">
        <v>21.946000000000002</v>
      </c>
      <c r="Q14" s="25">
        <v>25.077000000000002</v>
      </c>
      <c r="R14" s="25">
        <v>26.12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21"/>
      <c r="AI14" s="21"/>
      <c r="AJ14" s="21"/>
      <c r="AK14" s="21"/>
      <c r="AL14" s="21"/>
    </row>
    <row r="15" spans="1:38" x14ac:dyDescent="0.25">
      <c r="A15" s="2"/>
      <c r="B15" s="2" t="s">
        <v>62</v>
      </c>
      <c r="C15" s="25"/>
      <c r="D15" s="25"/>
      <c r="E15" s="25">
        <v>715.72400000000005</v>
      </c>
      <c r="F15" s="25">
        <f t="shared" si="4"/>
        <v>730.27599999999995</v>
      </c>
      <c r="G15" s="25">
        <v>774.43499999999995</v>
      </c>
      <c r="H15" s="25">
        <f t="shared" si="5"/>
        <v>829.97800000000007</v>
      </c>
      <c r="I15" s="25">
        <v>838.37099999999998</v>
      </c>
      <c r="J15" s="25"/>
      <c r="K15" s="25"/>
      <c r="L15" s="25">
        <v>1189.827</v>
      </c>
      <c r="M15" s="25">
        <v>1228.4369999999999</v>
      </c>
      <c r="N15" s="25">
        <v>741.13099999999997</v>
      </c>
      <c r="O15" s="25">
        <v>970.63599999999997</v>
      </c>
      <c r="P15" s="25">
        <v>1232</v>
      </c>
      <c r="Q15" s="25">
        <v>1446</v>
      </c>
      <c r="R15" s="25">
        <v>1604.413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21"/>
      <c r="AI15" s="21"/>
      <c r="AJ15" s="21"/>
      <c r="AK15" s="21"/>
      <c r="AL15" s="21"/>
    </row>
    <row r="16" spans="1:38" x14ac:dyDescent="0.25">
      <c r="A16" s="2"/>
      <c r="B16" s="2" t="s">
        <v>63</v>
      </c>
      <c r="C16" s="25"/>
      <c r="D16" s="25"/>
      <c r="E16" s="25">
        <v>582.11199999999997</v>
      </c>
      <c r="F16" s="25">
        <f t="shared" si="4"/>
        <v>729.88800000000003</v>
      </c>
      <c r="G16" s="25">
        <v>682.19200000000001</v>
      </c>
      <c r="H16" s="25">
        <f t="shared" si="5"/>
        <v>849.43000000000006</v>
      </c>
      <c r="I16" s="25">
        <v>727.56200000000001</v>
      </c>
      <c r="J16" s="25"/>
      <c r="K16" s="25"/>
      <c r="L16" s="25">
        <v>1035.0609999999999</v>
      </c>
      <c r="M16" s="25">
        <v>1017.593</v>
      </c>
      <c r="N16" s="25">
        <v>963.84500000000003</v>
      </c>
      <c r="O16" s="25">
        <v>1272.5340000000001</v>
      </c>
      <c r="P16" s="25">
        <v>1187</v>
      </c>
      <c r="Q16" s="25">
        <v>1312</v>
      </c>
      <c r="R16" s="25">
        <v>1531.6220000000001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21"/>
      <c r="AI16" s="21"/>
      <c r="AJ16" s="21"/>
      <c r="AK16" s="21"/>
      <c r="AL16" s="21"/>
    </row>
    <row r="17" spans="1:38" x14ac:dyDescent="0.25">
      <c r="A17" s="2"/>
      <c r="B17" s="2" t="s">
        <v>64</v>
      </c>
      <c r="C17" s="25"/>
      <c r="D17" s="25"/>
      <c r="E17" s="25">
        <v>361.07299999999998</v>
      </c>
      <c r="F17" s="25">
        <f t="shared" si="4"/>
        <v>405.92700000000002</v>
      </c>
      <c r="G17" s="25">
        <v>386.96100000000001</v>
      </c>
      <c r="H17" s="25">
        <f t="shared" si="5"/>
        <v>442.84799999999996</v>
      </c>
      <c r="I17" s="25">
        <v>424.09</v>
      </c>
      <c r="J17" s="25"/>
      <c r="K17" s="25"/>
      <c r="L17" s="25">
        <v>426.18400000000003</v>
      </c>
      <c r="M17" s="25">
        <v>455.40199999999999</v>
      </c>
      <c r="N17" s="25">
        <v>324.47899999999998</v>
      </c>
      <c r="O17" s="25">
        <v>636.96299999999997</v>
      </c>
      <c r="P17" s="25">
        <v>782</v>
      </c>
      <c r="Q17" s="25">
        <v>767</v>
      </c>
      <c r="R17" s="25">
        <v>829.80899999999997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21"/>
      <c r="AI17" s="21"/>
      <c r="AJ17" s="21"/>
      <c r="AK17" s="21"/>
      <c r="AL17" s="21"/>
    </row>
    <row r="18" spans="1:38" x14ac:dyDescent="0.25">
      <c r="A18" s="2"/>
      <c r="B18" s="2" t="s">
        <v>65</v>
      </c>
      <c r="C18" s="25"/>
      <c r="D18" s="25"/>
      <c r="E18" s="25">
        <v>223.58699999999999</v>
      </c>
      <c r="F18" s="25">
        <f t="shared" si="4"/>
        <v>260.41300000000001</v>
      </c>
      <c r="G18" s="25">
        <v>308.61200000000002</v>
      </c>
      <c r="H18" s="25">
        <f t="shared" si="5"/>
        <v>347.81900000000002</v>
      </c>
      <c r="I18" s="25">
        <v>325.94499999999999</v>
      </c>
      <c r="J18" s="25"/>
      <c r="K18" s="25"/>
      <c r="L18" s="25">
        <v>350.31299999999999</v>
      </c>
      <c r="M18" s="25">
        <v>386.05500000000001</v>
      </c>
      <c r="N18" s="25">
        <v>280.23200000000003</v>
      </c>
      <c r="O18" s="25">
        <v>309.70400000000001</v>
      </c>
      <c r="P18" s="25">
        <v>369</v>
      </c>
      <c r="Q18" s="25">
        <v>484</v>
      </c>
      <c r="R18" s="25">
        <v>656.43100000000004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21"/>
      <c r="AI18" s="21"/>
      <c r="AJ18" s="21"/>
      <c r="AK18" s="21"/>
      <c r="AL18" s="21"/>
    </row>
    <row r="19" spans="1:38" x14ac:dyDescent="0.25">
      <c r="A19" s="2"/>
      <c r="B19" s="2" t="s">
        <v>66</v>
      </c>
      <c r="C19" s="25"/>
      <c r="D19" s="25"/>
      <c r="E19" s="25">
        <v>92.213999999999999</v>
      </c>
      <c r="F19" s="25">
        <f t="shared" si="4"/>
        <v>87.786000000000001</v>
      </c>
      <c r="G19" s="25">
        <v>110.39100000000001</v>
      </c>
      <c r="H19" s="25">
        <f t="shared" si="5"/>
        <v>116.54199999999999</v>
      </c>
      <c r="I19" s="25">
        <v>137.41300000000001</v>
      </c>
      <c r="J19" s="25"/>
      <c r="K19" s="25"/>
      <c r="L19" s="25">
        <f>95.601+1.082</f>
        <v>96.682999999999993</v>
      </c>
      <c r="M19" s="25">
        <v>95.480999999999995</v>
      </c>
      <c r="N19" s="25">
        <v>81.179000000000002</v>
      </c>
      <c r="O19" s="25">
        <v>126.782</v>
      </c>
      <c r="P19" s="25">
        <v>167</v>
      </c>
      <c r="Q19" s="25">
        <v>180</v>
      </c>
      <c r="R19" s="25">
        <v>226.93299999999999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21"/>
      <c r="AI19" s="21"/>
      <c r="AJ19" s="21"/>
      <c r="AK19" s="21"/>
      <c r="AL19" s="21"/>
    </row>
    <row r="20" spans="1:38" x14ac:dyDescent="0.25">
      <c r="A20" s="2"/>
      <c r="B20" s="2" t="s">
        <v>44</v>
      </c>
      <c r="C20" s="25"/>
      <c r="D20" s="25"/>
      <c r="E20" s="25">
        <v>1974.71</v>
      </c>
      <c r="F20" s="25">
        <f t="shared" si="4"/>
        <v>2214.9660000000003</v>
      </c>
      <c r="G20" s="25">
        <v>2262.5909999999999</v>
      </c>
      <c r="H20" s="25">
        <f t="shared" si="5"/>
        <v>2586.6169999999997</v>
      </c>
      <c r="I20" s="25">
        <v>2453.3809999999999</v>
      </c>
      <c r="J20" s="25"/>
      <c r="K20" s="25"/>
      <c r="L20" s="25">
        <v>2532.0039999999999</v>
      </c>
      <c r="M20" s="25">
        <v>2636.0970000000002</v>
      </c>
      <c r="N20" s="25">
        <v>2115.37</v>
      </c>
      <c r="O20" s="25">
        <v>2930.8560000000002</v>
      </c>
      <c r="P20" s="25">
        <v>3736.971</v>
      </c>
      <c r="Q20" s="25">
        <v>4189.6760000000004</v>
      </c>
      <c r="R20" s="25">
        <v>4849.2079999999996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21"/>
      <c r="AI20" s="21"/>
      <c r="AJ20" s="21"/>
      <c r="AK20" s="21"/>
      <c r="AL20" s="21"/>
    </row>
    <row r="21" spans="1:38" x14ac:dyDescent="0.25">
      <c r="A21" s="2"/>
      <c r="B21" s="2" t="s">
        <v>45</v>
      </c>
      <c r="C21" s="25"/>
      <c r="D21" s="25"/>
      <c r="E21" s="25">
        <v>210.18600000000001</v>
      </c>
      <c r="F21" s="25">
        <f t="shared" si="4"/>
        <v>223.02</v>
      </c>
      <c r="G21" s="25">
        <v>225.21299999999999</v>
      </c>
      <c r="H21" s="25">
        <f t="shared" si="5"/>
        <v>235.60499999999999</v>
      </c>
      <c r="I21" s="25">
        <v>219.762</v>
      </c>
      <c r="J21" s="25"/>
      <c r="K21" s="25"/>
      <c r="L21" s="25">
        <v>566.06399999999996</v>
      </c>
      <c r="M21" s="25">
        <v>547.24199999999996</v>
      </c>
      <c r="N21" s="25">
        <v>275.49599999999998</v>
      </c>
      <c r="O21" s="25">
        <v>385.76400000000001</v>
      </c>
      <c r="P21" s="25">
        <v>387.62099999999998</v>
      </c>
      <c r="Q21" s="25">
        <v>433.20600000000002</v>
      </c>
      <c r="R21" s="25">
        <v>460.81799999999998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21"/>
      <c r="AI21" s="21"/>
      <c r="AJ21" s="21"/>
      <c r="AK21" s="21"/>
      <c r="AL21" s="21"/>
    </row>
    <row r="22" spans="1:38" x14ac:dyDescent="0.25">
      <c r="A22" s="2"/>
      <c r="B22" s="2" t="s">
        <v>46</v>
      </c>
      <c r="C22" s="25"/>
      <c r="D22" s="25"/>
      <c r="E22" s="25">
        <v>47.482999999999997</v>
      </c>
      <c r="F22" s="25">
        <f t="shared" si="4"/>
        <v>56.045999999999999</v>
      </c>
      <c r="G22" s="25">
        <v>60.83</v>
      </c>
      <c r="H22" s="25">
        <f t="shared" si="5"/>
        <v>60.701000000000008</v>
      </c>
      <c r="I22" s="25">
        <v>66.891999999999996</v>
      </c>
      <c r="J22" s="25"/>
      <c r="K22" s="25"/>
      <c r="L22" s="25">
        <v>44.08</v>
      </c>
      <c r="M22" s="25">
        <v>42.255000000000003</v>
      </c>
      <c r="N22" s="25">
        <v>31.873000000000001</v>
      </c>
      <c r="O22" s="25">
        <v>49.046999999999997</v>
      </c>
      <c r="P22" s="25">
        <v>76.081999999999994</v>
      </c>
      <c r="Q22" s="25">
        <v>103.529</v>
      </c>
      <c r="R22" s="25">
        <v>121.53100000000001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21"/>
      <c r="AI22" s="21"/>
      <c r="AJ22" s="21"/>
      <c r="AK22" s="21"/>
      <c r="AL22" s="21"/>
    </row>
    <row r="23" spans="1:38" x14ac:dyDescent="0.25">
      <c r="A23" s="2"/>
      <c r="B23" s="1" t="s">
        <v>22</v>
      </c>
      <c r="C23" s="26">
        <f t="shared" ref="C23:F23" si="6">+SUM(C20:C22)</f>
        <v>0</v>
      </c>
      <c r="D23" s="26">
        <f t="shared" si="6"/>
        <v>0</v>
      </c>
      <c r="E23" s="26">
        <f t="shared" si="6"/>
        <v>2232.3790000000004</v>
      </c>
      <c r="F23" s="26">
        <f t="shared" si="6"/>
        <v>2494.0320000000002</v>
      </c>
      <c r="G23" s="26">
        <f>+SUM(G20:G22)</f>
        <v>2548.634</v>
      </c>
      <c r="H23" s="26">
        <f t="shared" ref="H23:R23" si="7">+SUM(H20:H22)</f>
        <v>2882.9229999999998</v>
      </c>
      <c r="I23" s="26">
        <f t="shared" si="7"/>
        <v>2740.0349999999999</v>
      </c>
      <c r="J23" s="26">
        <f t="shared" si="7"/>
        <v>0</v>
      </c>
      <c r="K23" s="26"/>
      <c r="L23" s="26">
        <f t="shared" si="7"/>
        <v>3142.1479999999997</v>
      </c>
      <c r="M23" s="26">
        <f t="shared" si="7"/>
        <v>3225.5940000000001</v>
      </c>
      <c r="N23" s="26">
        <f t="shared" si="7"/>
        <v>2422.739</v>
      </c>
      <c r="O23" s="26">
        <f t="shared" si="7"/>
        <v>3365.6670000000004</v>
      </c>
      <c r="P23" s="26">
        <f t="shared" si="7"/>
        <v>4200.674</v>
      </c>
      <c r="Q23" s="26">
        <f t="shared" si="7"/>
        <v>4726.4110000000001</v>
      </c>
      <c r="R23" s="26">
        <f t="shared" si="7"/>
        <v>5431.5569999999998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21"/>
      <c r="AI23" s="21"/>
      <c r="AJ23" s="21"/>
      <c r="AK23" s="21"/>
      <c r="AL23" s="21"/>
    </row>
    <row r="24" spans="1:38" x14ac:dyDescent="0.25">
      <c r="A24" s="2"/>
      <c r="B24" s="2" t="s">
        <v>23</v>
      </c>
      <c r="C24" s="8"/>
      <c r="D24" s="8"/>
      <c r="E24" s="8">
        <v>438.98399999999998</v>
      </c>
      <c r="F24" s="25">
        <f>+Q24-E24</f>
        <v>485.65600000000001</v>
      </c>
      <c r="G24" s="8">
        <v>514.673</v>
      </c>
      <c r="H24" s="25">
        <f t="shared" si="5"/>
        <v>580.19200000000001</v>
      </c>
      <c r="I24" s="8">
        <v>545.45299999999997</v>
      </c>
      <c r="J24" s="8"/>
      <c r="K24" s="8"/>
      <c r="L24" s="8">
        <v>879.56799999999998</v>
      </c>
      <c r="M24" s="8">
        <v>905.98199999999997</v>
      </c>
      <c r="N24" s="8">
        <v>679.36099999999999</v>
      </c>
      <c r="O24" s="8">
        <v>818.30899999999997</v>
      </c>
      <c r="P24" s="8">
        <v>888.58</v>
      </c>
      <c r="Q24" s="8">
        <v>924.64</v>
      </c>
      <c r="R24" s="8">
        <v>1094.865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21"/>
      <c r="AI24" s="21"/>
      <c r="AJ24" s="21"/>
      <c r="AK24" s="21"/>
      <c r="AL24" s="21"/>
    </row>
    <row r="25" spans="1:38" x14ac:dyDescent="0.25">
      <c r="A25" s="2"/>
      <c r="B25" s="2" t="s">
        <v>24</v>
      </c>
      <c r="C25" s="8">
        <f t="shared" ref="C25:J25" si="8">C23-C24</f>
        <v>0</v>
      </c>
      <c r="D25" s="8">
        <f t="shared" si="8"/>
        <v>0</v>
      </c>
      <c r="E25" s="8">
        <f t="shared" si="8"/>
        <v>1793.3950000000004</v>
      </c>
      <c r="F25" s="8">
        <f t="shared" si="8"/>
        <v>2008.3760000000002</v>
      </c>
      <c r="G25" s="8">
        <f t="shared" si="8"/>
        <v>2033.961</v>
      </c>
      <c r="H25" s="8">
        <f t="shared" si="8"/>
        <v>2302.7309999999998</v>
      </c>
      <c r="I25" s="8">
        <f t="shared" si="8"/>
        <v>2194.5819999999999</v>
      </c>
      <c r="J25" s="8">
        <f t="shared" si="8"/>
        <v>0</v>
      </c>
      <c r="K25" s="8"/>
      <c r="L25" s="8">
        <f t="shared" ref="L25:P25" si="9">+L23-L24</f>
        <v>2262.58</v>
      </c>
      <c r="M25" s="8">
        <f t="shared" si="9"/>
        <v>2319.6120000000001</v>
      </c>
      <c r="N25" s="8">
        <f t="shared" si="9"/>
        <v>1743.3780000000002</v>
      </c>
      <c r="O25" s="8">
        <f t="shared" si="9"/>
        <v>2547.3580000000002</v>
      </c>
      <c r="P25" s="8">
        <f t="shared" si="9"/>
        <v>3312.0940000000001</v>
      </c>
      <c r="Q25" s="8">
        <f>+Q23-Q24</f>
        <v>3801.7710000000002</v>
      </c>
      <c r="R25" s="8">
        <f t="shared" ref="R25" si="10">+R23-R24</f>
        <v>4336.692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21"/>
      <c r="AI25" s="21"/>
      <c r="AJ25" s="21"/>
      <c r="AK25" s="21"/>
      <c r="AL25" s="21"/>
    </row>
    <row r="26" spans="1:38" x14ac:dyDescent="0.25">
      <c r="A26" s="2"/>
      <c r="B26" s="2" t="s">
        <v>48</v>
      </c>
      <c r="C26" s="8"/>
      <c r="D26" s="8"/>
      <c r="E26" s="8">
        <v>894.58699999999999</v>
      </c>
      <c r="F26" s="25">
        <f>+Q26-E26</f>
        <v>978.03899999999999</v>
      </c>
      <c r="G26" s="8">
        <v>978.47</v>
      </c>
      <c r="H26" s="25">
        <f t="shared" si="5"/>
        <v>1104.2819999999999</v>
      </c>
      <c r="I26" s="8">
        <v>79.894999999999996</v>
      </c>
      <c r="J26" s="8"/>
      <c r="K26" s="8"/>
      <c r="L26" s="8">
        <v>1414.153</v>
      </c>
      <c r="M26" s="8">
        <v>1470.1010000000001</v>
      </c>
      <c r="N26" s="8">
        <v>1259.827</v>
      </c>
      <c r="O26" s="8">
        <v>1421.1690000000001</v>
      </c>
      <c r="P26" s="8">
        <v>1704.3630000000001</v>
      </c>
      <c r="Q26" s="8">
        <v>1872.626</v>
      </c>
      <c r="R26" s="8">
        <v>2082.752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21"/>
      <c r="AI26" s="21"/>
      <c r="AJ26" s="21"/>
      <c r="AK26" s="21"/>
      <c r="AL26" s="21"/>
    </row>
    <row r="27" spans="1:38" x14ac:dyDescent="0.25">
      <c r="A27" s="2"/>
      <c r="B27" s="2" t="s">
        <v>49</v>
      </c>
      <c r="C27" s="8"/>
      <c r="D27" s="8"/>
      <c r="E27" s="8">
        <v>187.274</v>
      </c>
      <c r="F27" s="25">
        <f>+Q27-E27</f>
        <v>233.01400000000001</v>
      </c>
      <c r="G27" s="8">
        <v>219.25</v>
      </c>
      <c r="H27" s="25">
        <f t="shared" si="5"/>
        <v>253.84500000000003</v>
      </c>
      <c r="I27" s="8">
        <v>254.35900000000001</v>
      </c>
      <c r="J27" s="8"/>
      <c r="K27" s="8"/>
      <c r="L27" s="8">
        <v>207.27799999999999</v>
      </c>
      <c r="M27" s="8">
        <v>231.011</v>
      </c>
      <c r="N27" s="8">
        <v>206.84800000000001</v>
      </c>
      <c r="O27" s="8">
        <v>294.25099999999998</v>
      </c>
      <c r="P27" s="8">
        <v>359.11399999999998</v>
      </c>
      <c r="Q27" s="8">
        <v>420.28800000000001</v>
      </c>
      <c r="R27" s="8">
        <v>473.09500000000003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21"/>
      <c r="AI27" s="21"/>
      <c r="AJ27" s="21"/>
      <c r="AK27" s="21"/>
      <c r="AL27" s="21"/>
    </row>
    <row r="28" spans="1:38" x14ac:dyDescent="0.25">
      <c r="A28" s="2"/>
      <c r="B28" s="2" t="s">
        <v>50</v>
      </c>
      <c r="C28" s="8"/>
      <c r="D28" s="8"/>
      <c r="E28" s="8">
        <v>72.489000000000004</v>
      </c>
      <c r="F28" s="25">
        <f>+Q28-E28</f>
        <v>78.12700000000001</v>
      </c>
      <c r="G28" s="8">
        <v>81.659000000000006</v>
      </c>
      <c r="H28" s="25">
        <f t="shared" si="5"/>
        <v>76.424999999999997</v>
      </c>
      <c r="I28" s="8">
        <v>1064.2929999999999</v>
      </c>
      <c r="J28" s="8"/>
      <c r="K28" s="8"/>
      <c r="L28" s="8">
        <v>125.179</v>
      </c>
      <c r="M28" s="8">
        <v>127.378</v>
      </c>
      <c r="N28" s="8">
        <v>102.232</v>
      </c>
      <c r="O28" s="8">
        <v>115.319</v>
      </c>
      <c r="P28" s="8">
        <v>137.46899999999999</v>
      </c>
      <c r="Q28" s="8">
        <v>150.61600000000001</v>
      </c>
      <c r="R28" s="8">
        <v>158.084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21"/>
      <c r="AI28" s="21"/>
      <c r="AJ28" s="21"/>
      <c r="AK28" s="21"/>
      <c r="AL28" s="21"/>
    </row>
    <row r="29" spans="1:38" x14ac:dyDescent="0.25">
      <c r="A29" s="2"/>
      <c r="B29" s="2" t="s">
        <v>51</v>
      </c>
      <c r="C29" s="8"/>
      <c r="D29" s="8"/>
      <c r="E29" s="8">
        <v>147.626</v>
      </c>
      <c r="F29" s="25">
        <f>+Q29-E29</f>
        <v>148.92299999999997</v>
      </c>
      <c r="G29" s="8">
        <v>179.46299999999999</v>
      </c>
      <c r="H29" s="25">
        <f t="shared" si="5"/>
        <v>163.74800000000002</v>
      </c>
      <c r="I29" s="8">
        <f>177.49+11.251</f>
        <v>188.74100000000001</v>
      </c>
      <c r="J29" s="8"/>
      <c r="K29" s="8"/>
      <c r="L29" s="8">
        <v>192.13800000000001</v>
      </c>
      <c r="M29" s="8">
        <v>184.34299999999999</v>
      </c>
      <c r="N29" s="8">
        <v>154.41</v>
      </c>
      <c r="O29" s="8">
        <v>227.13499999999999</v>
      </c>
      <c r="P29" s="8">
        <v>265.97199999999998</v>
      </c>
      <c r="Q29" s="8">
        <v>296.54899999999998</v>
      </c>
      <c r="R29" s="8">
        <v>343.21100000000001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21"/>
      <c r="AI29" s="21"/>
      <c r="AJ29" s="21"/>
      <c r="AK29" s="21"/>
      <c r="AL29" s="21"/>
    </row>
    <row r="30" spans="1:38" x14ac:dyDescent="0.25">
      <c r="A30" s="2"/>
      <c r="B30" s="2" t="s">
        <v>47</v>
      </c>
      <c r="C30" s="8">
        <f t="shared" ref="C30:F30" si="11">+C25-SUM(C26:C29)</f>
        <v>0</v>
      </c>
      <c r="D30" s="8">
        <f t="shared" si="11"/>
        <v>0</v>
      </c>
      <c r="E30" s="8">
        <f t="shared" si="11"/>
        <v>491.41900000000055</v>
      </c>
      <c r="F30" s="8">
        <f t="shared" si="11"/>
        <v>570.27300000000037</v>
      </c>
      <c r="G30" s="8">
        <f>+G25-SUM(G26:G29)</f>
        <v>575.11899999999991</v>
      </c>
      <c r="H30" s="8">
        <f t="shared" ref="H30:R30" si="12">+H25-SUM(H26:H29)</f>
        <v>704.43099999999981</v>
      </c>
      <c r="I30" s="8">
        <f t="shared" si="12"/>
        <v>607.29399999999987</v>
      </c>
      <c r="J30" s="8">
        <f t="shared" si="12"/>
        <v>0</v>
      </c>
      <c r="K30" s="8"/>
      <c r="L30" s="8">
        <f t="shared" si="12"/>
        <v>323.83199999999988</v>
      </c>
      <c r="M30" s="8">
        <f t="shared" si="12"/>
        <v>306.779</v>
      </c>
      <c r="N30" s="8">
        <f t="shared" si="12"/>
        <v>20.061000000000149</v>
      </c>
      <c r="O30" s="8">
        <f t="shared" si="12"/>
        <v>489.48400000000038</v>
      </c>
      <c r="P30" s="8">
        <f t="shared" si="12"/>
        <v>845.17600000000039</v>
      </c>
      <c r="Q30" s="8">
        <f t="shared" si="12"/>
        <v>1061.6920000000005</v>
      </c>
      <c r="R30" s="8">
        <f t="shared" si="12"/>
        <v>1279.5500000000002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21"/>
      <c r="AI30" s="21"/>
      <c r="AJ30" s="21"/>
      <c r="AK30" s="21"/>
      <c r="AL30" s="21"/>
    </row>
    <row r="31" spans="1:38" x14ac:dyDescent="0.25">
      <c r="A31" s="2"/>
      <c r="B31" s="2" t="s">
        <v>25</v>
      </c>
      <c r="C31" s="8"/>
      <c r="D31" s="8"/>
      <c r="E31" s="8">
        <v>-46.408000000000001</v>
      </c>
      <c r="F31" s="25">
        <f>+Q31-E31</f>
        <v>-43.820999999999998</v>
      </c>
      <c r="G31" s="8">
        <v>-38.090000000000003</v>
      </c>
      <c r="H31" s="25">
        <f t="shared" si="5"/>
        <v>-52.736999999999995</v>
      </c>
      <c r="I31" s="8">
        <f>-7.397-41.982</f>
        <v>-49.378999999999998</v>
      </c>
      <c r="J31" s="8"/>
      <c r="K31" s="8"/>
      <c r="L31" s="8">
        <v>-21.308</v>
      </c>
      <c r="M31" s="8">
        <v>-72.019000000000005</v>
      </c>
      <c r="N31" s="8">
        <v>-71.873000000000005</v>
      </c>
      <c r="O31" s="8">
        <v>-67.828999999999994</v>
      </c>
      <c r="P31" s="8">
        <v>-65.015000000000001</v>
      </c>
      <c r="Q31" s="8">
        <v>-90.228999999999999</v>
      </c>
      <c r="R31" s="8">
        <v>-90.826999999999998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21"/>
      <c r="AI31" s="21"/>
      <c r="AJ31" s="21"/>
      <c r="AK31" s="21"/>
      <c r="AL31" s="21"/>
    </row>
    <row r="32" spans="1:38" x14ac:dyDescent="0.25">
      <c r="A32" s="2"/>
      <c r="B32" s="2" t="s">
        <v>26</v>
      </c>
      <c r="C32" s="8"/>
      <c r="D32" s="8"/>
      <c r="E32" s="8">
        <v>0</v>
      </c>
      <c r="F32" s="25">
        <f>+Q32-E32</f>
        <v>0</v>
      </c>
      <c r="G32" s="8">
        <v>0</v>
      </c>
      <c r="H32" s="25">
        <f t="shared" si="5"/>
        <v>0</v>
      </c>
      <c r="I32" s="8">
        <v>0</v>
      </c>
      <c r="J32" s="8"/>
      <c r="K32" s="8"/>
      <c r="L32" s="8">
        <v>0</v>
      </c>
      <c r="M32" s="8">
        <v>0</v>
      </c>
      <c r="N32" s="8">
        <v>0</v>
      </c>
      <c r="O32" s="8">
        <v>0</v>
      </c>
      <c r="P32" s="8">
        <v>-69.186000000000007</v>
      </c>
      <c r="Q32" s="8">
        <v>0</v>
      </c>
      <c r="R32" s="8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21"/>
      <c r="AI32" s="21"/>
      <c r="AJ32" s="21"/>
      <c r="AK32" s="21"/>
      <c r="AL32" s="21"/>
    </row>
    <row r="33" spans="1:38" x14ac:dyDescent="0.25">
      <c r="A33" s="2"/>
      <c r="B33" s="2" t="s">
        <v>27</v>
      </c>
      <c r="C33" s="8">
        <f t="shared" ref="C33:F33" si="13">+C30+C31+C32</f>
        <v>0</v>
      </c>
      <c r="D33" s="8">
        <f t="shared" si="13"/>
        <v>0</v>
      </c>
      <c r="E33" s="8">
        <f t="shared" si="13"/>
        <v>445.01100000000054</v>
      </c>
      <c r="F33" s="8">
        <f t="shared" si="13"/>
        <v>526.45200000000034</v>
      </c>
      <c r="G33" s="8">
        <f>+G30+G31+G32</f>
        <v>537.02899999999988</v>
      </c>
      <c r="H33" s="8">
        <f t="shared" ref="H33:R33" si="14">+H30+H31+H32</f>
        <v>651.69399999999985</v>
      </c>
      <c r="I33" s="8">
        <f t="shared" si="14"/>
        <v>557.91499999999985</v>
      </c>
      <c r="J33" s="8">
        <f t="shared" si="14"/>
        <v>0</v>
      </c>
      <c r="K33" s="8"/>
      <c r="L33" s="8">
        <f t="shared" si="14"/>
        <v>302.52399999999989</v>
      </c>
      <c r="M33" s="8">
        <f t="shared" si="14"/>
        <v>234.76</v>
      </c>
      <c r="N33" s="8">
        <f t="shared" si="14"/>
        <v>-51.811999999999856</v>
      </c>
      <c r="O33" s="8">
        <f t="shared" si="14"/>
        <v>421.65500000000037</v>
      </c>
      <c r="P33" s="8">
        <f t="shared" si="14"/>
        <v>710.97500000000036</v>
      </c>
      <c r="Q33" s="8">
        <f t="shared" si="14"/>
        <v>971.46300000000042</v>
      </c>
      <c r="R33" s="8">
        <f t="shared" si="14"/>
        <v>1188.7230000000002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21"/>
      <c r="AI33" s="21"/>
      <c r="AJ33" s="21"/>
      <c r="AK33" s="21"/>
      <c r="AL33" s="21"/>
    </row>
    <row r="34" spans="1:38" x14ac:dyDescent="0.25">
      <c r="A34" s="2"/>
      <c r="B34" s="2" t="s">
        <v>28</v>
      </c>
      <c r="C34" s="8"/>
      <c r="D34" s="8"/>
      <c r="E34" s="8">
        <v>138.381</v>
      </c>
      <c r="F34" s="25">
        <f>+Q34-E34</f>
        <v>159.69000000000003</v>
      </c>
      <c r="G34" s="8">
        <v>151.316</v>
      </c>
      <c r="H34" s="25">
        <f t="shared" si="5"/>
        <v>194.00699999999998</v>
      </c>
      <c r="I34" s="8">
        <v>170.923</v>
      </c>
      <c r="J34" s="8"/>
      <c r="K34" s="8"/>
      <c r="L34" s="8">
        <v>94.355999999999995</v>
      </c>
      <c r="M34" s="8">
        <v>-22.963999999999999</v>
      </c>
      <c r="N34" s="8">
        <v>2.556</v>
      </c>
      <c r="O34" s="8">
        <v>126.55200000000001</v>
      </c>
      <c r="P34" s="8">
        <v>241.82</v>
      </c>
      <c r="Q34" s="8">
        <v>298.07100000000003</v>
      </c>
      <c r="R34" s="8">
        <v>345.32299999999998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21"/>
      <c r="AI34" s="21"/>
      <c r="AJ34" s="21"/>
      <c r="AK34" s="21"/>
      <c r="AL34" s="21"/>
    </row>
    <row r="35" spans="1:38" x14ac:dyDescent="0.25">
      <c r="A35" s="2"/>
      <c r="B35" s="2" t="s">
        <v>29</v>
      </c>
      <c r="C35" s="8">
        <f t="shared" ref="C35:F35" si="15">+C33-C34</f>
        <v>0</v>
      </c>
      <c r="D35" s="8">
        <f t="shared" si="15"/>
        <v>0</v>
      </c>
      <c r="E35" s="8">
        <f t="shared" si="15"/>
        <v>306.63000000000056</v>
      </c>
      <c r="F35" s="8">
        <f t="shared" si="15"/>
        <v>366.76200000000028</v>
      </c>
      <c r="G35" s="8">
        <f>+G33-G34</f>
        <v>385.71299999999985</v>
      </c>
      <c r="H35" s="8">
        <f t="shared" ref="H35" si="16">+H33-H34</f>
        <v>457.6869999999999</v>
      </c>
      <c r="I35" s="8">
        <f t="shared" ref="I35" si="17">+I33-I34</f>
        <v>386.99199999999985</v>
      </c>
      <c r="J35" s="8">
        <f t="shared" ref="J35:R35" si="18">+J33-J34</f>
        <v>0</v>
      </c>
      <c r="K35" s="8"/>
      <c r="L35" s="8">
        <f t="shared" si="18"/>
        <v>208.16799999999989</v>
      </c>
      <c r="M35" s="8">
        <f t="shared" si="18"/>
        <v>257.72399999999999</v>
      </c>
      <c r="N35" s="8">
        <f t="shared" si="18"/>
        <v>-54.367999999999853</v>
      </c>
      <c r="O35" s="8">
        <f t="shared" si="18"/>
        <v>295.10300000000035</v>
      </c>
      <c r="P35" s="8">
        <f t="shared" si="18"/>
        <v>469.15500000000037</v>
      </c>
      <c r="Q35" s="8">
        <f t="shared" si="18"/>
        <v>673.39200000000039</v>
      </c>
      <c r="R35" s="8">
        <f t="shared" si="18"/>
        <v>843.4000000000002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21"/>
      <c r="AI35" s="21"/>
      <c r="AJ35" s="21"/>
      <c r="AK35" s="21"/>
      <c r="AL35" s="21"/>
    </row>
    <row r="36" spans="1:38" x14ac:dyDescent="0.25">
      <c r="A36" s="2"/>
      <c r="B36" s="2" t="s">
        <v>30</v>
      </c>
      <c r="C36" s="8"/>
      <c r="D36" s="8"/>
      <c r="E36" s="8">
        <v>1.462</v>
      </c>
      <c r="F36" s="25">
        <f>+Q36-E36</f>
        <v>0.90400000000000014</v>
      </c>
      <c r="G36" s="8">
        <v>2.214</v>
      </c>
      <c r="H36" s="25">
        <f t="shared" si="5"/>
        <v>2.2790000000000004</v>
      </c>
      <c r="I36" s="8">
        <v>1.109</v>
      </c>
      <c r="J36" s="8"/>
      <c r="K36" s="8"/>
      <c r="L36" s="8">
        <v>2.7389999999999999</v>
      </c>
      <c r="M36" s="8">
        <v>1.9359999999999999</v>
      </c>
      <c r="N36" s="8">
        <v>-0.22900000000000001</v>
      </c>
      <c r="O36" s="8">
        <v>0.84899999999999998</v>
      </c>
      <c r="P36" s="8">
        <v>3.9620000000000002</v>
      </c>
      <c r="Q36" s="8">
        <v>2.3660000000000001</v>
      </c>
      <c r="R36" s="8">
        <v>4.4930000000000003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21"/>
      <c r="AI36" s="21"/>
      <c r="AJ36" s="21"/>
      <c r="AK36" s="21"/>
      <c r="AL36" s="21"/>
    </row>
    <row r="37" spans="1:38" x14ac:dyDescent="0.25">
      <c r="A37" s="2"/>
      <c r="B37" s="2" t="s">
        <v>31</v>
      </c>
      <c r="C37" s="8">
        <f t="shared" ref="C37:F37" si="19">+C35-C36</f>
        <v>0</v>
      </c>
      <c r="D37" s="8">
        <f t="shared" si="19"/>
        <v>0</v>
      </c>
      <c r="E37" s="8">
        <f t="shared" si="19"/>
        <v>305.16800000000057</v>
      </c>
      <c r="F37" s="8">
        <f t="shared" si="19"/>
        <v>365.85800000000029</v>
      </c>
      <c r="G37" s="8">
        <f>+G35-G36</f>
        <v>383.49899999999985</v>
      </c>
      <c r="H37" s="8">
        <f t="shared" ref="H37" si="20">+H35-H36</f>
        <v>455.4079999999999</v>
      </c>
      <c r="I37" s="8">
        <f t="shared" ref="I37" si="21">+I35-I36</f>
        <v>385.88299999999987</v>
      </c>
      <c r="J37" s="8">
        <f t="shared" ref="J37:R37" si="22">+J35-J36</f>
        <v>0</v>
      </c>
      <c r="K37" s="8"/>
      <c r="L37" s="8">
        <f t="shared" si="22"/>
        <v>205.42899999999989</v>
      </c>
      <c r="M37" s="8">
        <f t="shared" si="22"/>
        <v>255.78799999999998</v>
      </c>
      <c r="N37" s="8">
        <f t="shared" si="22"/>
        <v>-54.138999999999854</v>
      </c>
      <c r="O37" s="8">
        <f t="shared" si="22"/>
        <v>294.25400000000036</v>
      </c>
      <c r="P37" s="8">
        <f t="shared" si="22"/>
        <v>465.19300000000038</v>
      </c>
      <c r="Q37" s="8">
        <f t="shared" si="22"/>
        <v>671.02600000000041</v>
      </c>
      <c r="R37" s="8">
        <f t="shared" si="22"/>
        <v>838.90700000000015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21"/>
      <c r="AI37" s="21"/>
      <c r="AJ37" s="21"/>
      <c r="AK37" s="21"/>
      <c r="AL37" s="21"/>
    </row>
    <row r="38" spans="1:38" x14ac:dyDescent="0.25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21"/>
      <c r="AI38" s="21"/>
      <c r="AJ38" s="21"/>
      <c r="AK38" s="21"/>
      <c r="AL38" s="21"/>
    </row>
    <row r="39" spans="1:38" x14ac:dyDescent="0.25">
      <c r="A39" s="2"/>
      <c r="B39" s="2" t="s">
        <v>1</v>
      </c>
      <c r="C39" s="27">
        <f t="shared" ref="C39:F39" si="23">+C37/C40</f>
        <v>0</v>
      </c>
      <c r="D39" s="27">
        <f t="shared" si="23"/>
        <v>0</v>
      </c>
      <c r="E39" s="27">
        <f t="shared" si="23"/>
        <v>0.11926103553820058</v>
      </c>
      <c r="F39" s="27">
        <f t="shared" si="23"/>
        <v>0.14297896221076567</v>
      </c>
      <c r="G39" s="27">
        <f>+G37/G40</f>
        <v>0.14987314485091582</v>
      </c>
      <c r="H39" s="27">
        <f t="shared" ref="H39:J39" si="24">+H37/H40</f>
        <v>0.17797550749875721</v>
      </c>
      <c r="I39" s="27">
        <f>+I37/I40</f>
        <v>0.15080482284049229</v>
      </c>
      <c r="J39" s="27" t="e">
        <f t="shared" si="24"/>
        <v>#DIV/0!</v>
      </c>
      <c r="K39" s="4"/>
      <c r="L39" s="27">
        <f t="shared" ref="L39:P39" si="25">+L37/L40</f>
        <v>8.0282582936536423E-2</v>
      </c>
      <c r="M39" s="27">
        <f t="shared" si="25"/>
        <v>9.9963108052761734E-2</v>
      </c>
      <c r="N39" s="27">
        <f t="shared" si="25"/>
        <v>-2.1157766223859027E-2</v>
      </c>
      <c r="O39" s="27">
        <f t="shared" si="25"/>
        <v>0.11499579494330221</v>
      </c>
      <c r="P39" s="27">
        <f t="shared" si="25"/>
        <v>0.18179952978399466</v>
      </c>
      <c r="Q39" s="27">
        <f>+Q37/Q40</f>
        <v>0.26223999774896606</v>
      </c>
      <c r="R39" s="27">
        <f>+R37/R40</f>
        <v>0.3278486523496732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21"/>
      <c r="AI39" s="21"/>
      <c r="AJ39" s="21"/>
      <c r="AK39" s="21"/>
      <c r="AL39" s="21"/>
    </row>
    <row r="40" spans="1:38" x14ac:dyDescent="0.25">
      <c r="A40" s="2"/>
      <c r="B40" s="2" t="s">
        <v>32</v>
      </c>
      <c r="C40" s="4">
        <v>2558.8240000000001</v>
      </c>
      <c r="D40" s="4">
        <v>2558.8240000000001</v>
      </c>
      <c r="E40" s="4">
        <v>2558.8240000000001</v>
      </c>
      <c r="F40" s="4">
        <v>2558.8240000000001</v>
      </c>
      <c r="G40" s="4">
        <v>2558.8240000000001</v>
      </c>
      <c r="H40" s="4">
        <v>2558.8240000000001</v>
      </c>
      <c r="I40" s="4">
        <v>2558.8240000000001</v>
      </c>
      <c r="J40" s="4"/>
      <c r="K40" s="4"/>
      <c r="L40" s="4">
        <v>2558.8240000000001</v>
      </c>
      <c r="M40" s="4">
        <v>2558.8240000000001</v>
      </c>
      <c r="N40" s="4">
        <v>2558.8240000000001</v>
      </c>
      <c r="O40" s="4">
        <v>2558.8240000000001</v>
      </c>
      <c r="P40" s="4">
        <v>2558.8240000000001</v>
      </c>
      <c r="Q40" s="4">
        <v>2558.8240000000001</v>
      </c>
      <c r="R40" s="4">
        <v>2558.8240000000001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21"/>
      <c r="AI40" s="21"/>
      <c r="AJ40" s="21"/>
      <c r="AK40" s="21"/>
      <c r="AL40" s="21"/>
    </row>
    <row r="41" spans="1:38" x14ac:dyDescent="0.25">
      <c r="A41" s="2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21"/>
      <c r="AI41" s="21"/>
      <c r="AJ41" s="21"/>
      <c r="AK41" s="21"/>
      <c r="AL41" s="21"/>
    </row>
    <row r="42" spans="1:38" x14ac:dyDescent="0.25">
      <c r="A42" s="2"/>
      <c r="B42" s="2" t="s">
        <v>67</v>
      </c>
      <c r="C42" s="28"/>
      <c r="D42" s="28"/>
      <c r="E42" s="28" t="e">
        <f t="shared" ref="E42:G42" si="26">+E8/C8-1</f>
        <v>#DIV/0!</v>
      </c>
      <c r="F42" s="28">
        <f t="shared" si="26"/>
        <v>-9.8039215686274161E-3</v>
      </c>
      <c r="G42" s="28">
        <f t="shared" si="26"/>
        <v>-2.1452145214521434E-2</v>
      </c>
      <c r="H42" s="28">
        <f>+H8/F8-1</f>
        <v>4.9504950495049549E-3</v>
      </c>
      <c r="I42" s="28">
        <f t="shared" ref="I42:J42" si="27">+I8/G8-1</f>
        <v>4.5531197301855064E-2</v>
      </c>
      <c r="J42" s="28">
        <f t="shared" si="27"/>
        <v>-1</v>
      </c>
      <c r="K42" s="4"/>
      <c r="L42" s="4"/>
      <c r="M42" s="29">
        <f t="shared" ref="M42:P42" si="28">+M8/L8-1</f>
        <v>7.8616352201257289E-3</v>
      </c>
      <c r="N42" s="29">
        <f t="shared" si="28"/>
        <v>-1.2480499219968744E-2</v>
      </c>
      <c r="O42" s="29">
        <f t="shared" si="28"/>
        <v>3.1595576619274368E-3</v>
      </c>
      <c r="P42" s="29">
        <f t="shared" si="28"/>
        <v>-3.622047244094484E-2</v>
      </c>
      <c r="Q42" s="29">
        <f>+Q8/P8-1</f>
        <v>-9.8039215686274161E-3</v>
      </c>
      <c r="R42" s="29">
        <f>+R8/Q8-1</f>
        <v>4.9504950495049549E-3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21"/>
      <c r="AI42" s="21"/>
      <c r="AJ42" s="21"/>
      <c r="AK42" s="21"/>
      <c r="AL42" s="21"/>
    </row>
    <row r="43" spans="1:38" x14ac:dyDescent="0.25">
      <c r="A43" s="2"/>
      <c r="B43" s="2" t="s">
        <v>68</v>
      </c>
      <c r="C43" s="28"/>
      <c r="D43" s="28"/>
      <c r="E43" s="28" t="e">
        <f t="shared" ref="E43:G43" si="29">+E9/C9-1</f>
        <v>#DIV/0!</v>
      </c>
      <c r="F43" s="28">
        <f t="shared" si="29"/>
        <v>-3.8461538461538436E-2</v>
      </c>
      <c r="G43" s="28">
        <f t="shared" si="29"/>
        <v>-4.0000000000000036E-2</v>
      </c>
      <c r="H43" s="28">
        <f>+H9/F9-1</f>
        <v>-7.999999999999996E-2</v>
      </c>
      <c r="I43" s="28">
        <f t="shared" ref="I43:J43" si="30">+I9/G9-1</f>
        <v>-8.333333333333337E-2</v>
      </c>
      <c r="J43" s="28">
        <f t="shared" si="30"/>
        <v>-1</v>
      </c>
      <c r="K43" s="4"/>
      <c r="L43" s="4"/>
      <c r="M43" s="29">
        <f t="shared" ref="M43:P43" si="31">+M9/L9-1</f>
        <v>-0.26470588235294112</v>
      </c>
      <c r="N43" s="29">
        <f t="shared" si="31"/>
        <v>4.0000000000000036E-2</v>
      </c>
      <c r="O43" s="29">
        <f t="shared" si="31"/>
        <v>0</v>
      </c>
      <c r="P43" s="29">
        <f t="shared" si="31"/>
        <v>0</v>
      </c>
      <c r="Q43" s="29">
        <f>+Q9/P9-1</f>
        <v>-3.8461538461538436E-2</v>
      </c>
      <c r="R43" s="29">
        <f>+R9/Q9-1</f>
        <v>-7.999999999999996E-2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1"/>
      <c r="AI43" s="21"/>
      <c r="AJ43" s="21"/>
      <c r="AK43" s="21"/>
      <c r="AL43" s="21"/>
    </row>
    <row r="44" spans="1:38" x14ac:dyDescent="0.25">
      <c r="A44" s="2"/>
      <c r="B44" s="2" t="s">
        <v>78</v>
      </c>
      <c r="C44" s="4"/>
      <c r="D44" s="4"/>
      <c r="E44" s="28" t="e">
        <f t="shared" ref="E44:F56" si="32">+E11/C11-1</f>
        <v>#DIV/0!</v>
      </c>
      <c r="F44" s="28" t="e">
        <f t="shared" si="32"/>
        <v>#DIV/0!</v>
      </c>
      <c r="G44" s="28">
        <f>+G11/E11-1</f>
        <v>2.3980815347721895E-2</v>
      </c>
      <c r="H44" s="28">
        <f>+H11/F11-1</f>
        <v>-0.17329743809787335</v>
      </c>
      <c r="I44" s="28">
        <f t="shared" ref="H44:J56" si="33">+I11/G11-1</f>
        <v>-3.5838407494145241E-2</v>
      </c>
      <c r="J44" s="28">
        <f t="shared" si="33"/>
        <v>-1</v>
      </c>
      <c r="K44" s="4"/>
      <c r="L44" s="4"/>
      <c r="M44" s="29">
        <f t="shared" ref="M44:P56" si="34">+M11/L11-1</f>
        <v>3.3321501672329612E-2</v>
      </c>
      <c r="N44" s="29">
        <f t="shared" si="34"/>
        <v>-0.23860952095599974</v>
      </c>
      <c r="O44" s="29">
        <f t="shared" si="34"/>
        <v>0.41988701294829633</v>
      </c>
      <c r="P44" s="29">
        <f t="shared" si="34"/>
        <v>0.27648596262789593</v>
      </c>
      <c r="Q44" s="29">
        <f>+Q11/P11-1</f>
        <v>7.2510454917409373E-2</v>
      </c>
      <c r="R44" s="29">
        <f>+R11/Q11-1</f>
        <v>-8.9188507349496127E-2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21"/>
      <c r="AI44" s="21"/>
      <c r="AJ44" s="21"/>
      <c r="AK44" s="21"/>
      <c r="AL44" s="21"/>
    </row>
    <row r="45" spans="1:38" x14ac:dyDescent="0.25">
      <c r="A45" s="2"/>
      <c r="B45" s="2" t="s">
        <v>79</v>
      </c>
      <c r="C45" s="4"/>
      <c r="D45" s="4"/>
      <c r="E45" s="28" t="e">
        <f t="shared" si="32"/>
        <v>#DIV/0!</v>
      </c>
      <c r="F45" s="28" t="e">
        <f t="shared" si="32"/>
        <v>#DIV/0!</v>
      </c>
      <c r="G45" s="28">
        <f t="shared" ref="G45:G56" si="35">+G12/E12-1</f>
        <v>0.85964912280701755</v>
      </c>
      <c r="H45" s="28">
        <f>+H12/F12-1</f>
        <v>0.49082082890178858</v>
      </c>
      <c r="I45" s="28">
        <f t="shared" si="33"/>
        <v>0.47196226415094333</v>
      </c>
      <c r="J45" s="28">
        <f t="shared" si="33"/>
        <v>-1</v>
      </c>
      <c r="K45" s="4"/>
      <c r="L45" s="4"/>
      <c r="M45" s="29">
        <f t="shared" si="34"/>
        <v>-6.5824872760631425E-3</v>
      </c>
      <c r="N45" s="29">
        <f t="shared" si="34"/>
        <v>-0.26858250220315161</v>
      </c>
      <c r="O45" s="29">
        <f t="shared" si="34"/>
        <v>0.21767117758280041</v>
      </c>
      <c r="P45" s="29">
        <f t="shared" si="34"/>
        <v>0.21866611501449329</v>
      </c>
      <c r="Q45" s="29">
        <f t="shared" ref="Q45:R56" si="36">+Q12/P12-1</f>
        <v>0.54050704363618518</v>
      </c>
      <c r="R45" s="29">
        <f t="shared" si="36"/>
        <v>0.63037382805343367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21"/>
      <c r="AI45" s="21"/>
      <c r="AJ45" s="21"/>
      <c r="AK45" s="21"/>
      <c r="AL45" s="21"/>
    </row>
    <row r="46" spans="1:38" x14ac:dyDescent="0.25">
      <c r="A46" s="2"/>
      <c r="B46" s="2" t="s">
        <v>80</v>
      </c>
      <c r="C46" s="4"/>
      <c r="D46" s="4"/>
      <c r="E46" s="28" t="e">
        <f t="shared" si="32"/>
        <v>#DIV/0!</v>
      </c>
      <c r="F46" s="28" t="e">
        <f t="shared" si="32"/>
        <v>#DIV/0!</v>
      </c>
      <c r="G46" s="28">
        <f t="shared" si="35"/>
        <v>0.15384615384615374</v>
      </c>
      <c r="H46" s="28">
        <f t="shared" si="33"/>
        <v>-0.26905357377912331</v>
      </c>
      <c r="I46" s="28">
        <f t="shared" si="33"/>
        <v>2.4666666666666615E-2</v>
      </c>
      <c r="J46" s="28">
        <f t="shared" si="33"/>
        <v>-1</v>
      </c>
      <c r="K46" s="4"/>
      <c r="L46" s="4"/>
      <c r="M46" s="29">
        <f t="shared" si="34"/>
        <v>1.0451801560532159E-2</v>
      </c>
      <c r="N46" s="29">
        <f t="shared" si="34"/>
        <v>-0.47043738628386411</v>
      </c>
      <c r="O46" s="29">
        <f t="shared" si="34"/>
        <v>6.9987014392381974E-2</v>
      </c>
      <c r="P46" s="29">
        <f t="shared" si="34"/>
        <v>6.1186822077823333E-2</v>
      </c>
      <c r="Q46" s="29">
        <f t="shared" si="36"/>
        <v>-0.14724452598222582</v>
      </c>
      <c r="R46" s="29">
        <f t="shared" si="36"/>
        <v>-0.11544801765807045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21"/>
      <c r="AI46" s="21"/>
      <c r="AJ46" s="21"/>
      <c r="AK46" s="21"/>
      <c r="AL46" s="21"/>
    </row>
    <row r="47" spans="1:38" x14ac:dyDescent="0.25">
      <c r="A47" s="2"/>
      <c r="B47" s="2" t="s">
        <v>81</v>
      </c>
      <c r="C47" s="4"/>
      <c r="D47" s="4"/>
      <c r="E47" s="28" t="e">
        <f t="shared" si="32"/>
        <v>#DIV/0!</v>
      </c>
      <c r="F47" s="28" t="e">
        <f t="shared" si="32"/>
        <v>#DIV/0!</v>
      </c>
      <c r="G47" s="28">
        <f t="shared" si="35"/>
        <v>0.11111111111111116</v>
      </c>
      <c r="H47" s="28">
        <f t="shared" si="33"/>
        <v>2.6746283510605817E-3</v>
      </c>
      <c r="I47" s="28">
        <f t="shared" si="33"/>
        <v>0.10830000000000006</v>
      </c>
      <c r="J47" s="28">
        <f t="shared" si="33"/>
        <v>-1</v>
      </c>
      <c r="K47" s="4"/>
      <c r="L47" s="4"/>
      <c r="M47" s="29">
        <f t="shared" si="34"/>
        <v>0.13180120654984195</v>
      </c>
      <c r="N47" s="29">
        <f t="shared" si="34"/>
        <v>-0.40174628153713388</v>
      </c>
      <c r="O47" s="29">
        <f t="shared" si="34"/>
        <v>0.5406873143826898</v>
      </c>
      <c r="P47" s="29">
        <f t="shared" si="34"/>
        <v>0.20867984799250983</v>
      </c>
      <c r="Q47" s="29">
        <f t="shared" si="36"/>
        <v>0.14266836781190184</v>
      </c>
      <c r="R47" s="29">
        <f t="shared" si="36"/>
        <v>4.1591896957371199E-2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21"/>
      <c r="AI47" s="21"/>
      <c r="AJ47" s="21"/>
      <c r="AK47" s="21"/>
      <c r="AL47" s="21"/>
    </row>
    <row r="48" spans="1:38" x14ac:dyDescent="0.25">
      <c r="A48" s="2"/>
      <c r="B48" s="2" t="s">
        <v>74</v>
      </c>
      <c r="C48" s="4"/>
      <c r="D48" s="4"/>
      <c r="E48" s="28" t="e">
        <f t="shared" si="32"/>
        <v>#DIV/0!</v>
      </c>
      <c r="F48" s="28" t="e">
        <f t="shared" si="32"/>
        <v>#DIV/0!</v>
      </c>
      <c r="G48" s="28">
        <f t="shared" si="35"/>
        <v>8.2030223941072178E-2</v>
      </c>
      <c r="H48" s="28">
        <f t="shared" si="33"/>
        <v>0.13652646396704826</v>
      </c>
      <c r="I48" s="28">
        <f t="shared" si="33"/>
        <v>8.2558252145112254E-2</v>
      </c>
      <c r="J48" s="28">
        <f t="shared" si="33"/>
        <v>-1</v>
      </c>
      <c r="K48" s="4"/>
      <c r="L48" s="4"/>
      <c r="M48" s="29">
        <f t="shared" si="34"/>
        <v>3.2450095686179514E-2</v>
      </c>
      <c r="N48" s="29">
        <f t="shared" si="34"/>
        <v>-0.39668782363279509</v>
      </c>
      <c r="O48" s="29">
        <f t="shared" si="34"/>
        <v>0.30966860109751182</v>
      </c>
      <c r="P48" s="29">
        <f t="shared" si="34"/>
        <v>0.26927086982143678</v>
      </c>
      <c r="Q48" s="29">
        <f t="shared" si="36"/>
        <v>0.17370129870129869</v>
      </c>
      <c r="R48" s="29">
        <f t="shared" si="36"/>
        <v>0.1095525587828492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21"/>
      <c r="AI48" s="21"/>
      <c r="AJ48" s="21"/>
      <c r="AK48" s="21"/>
      <c r="AL48" s="21"/>
    </row>
    <row r="49" spans="1:38" x14ac:dyDescent="0.25">
      <c r="A49" s="2"/>
      <c r="B49" s="2" t="s">
        <v>75</v>
      </c>
      <c r="C49" s="4"/>
      <c r="D49" s="4"/>
      <c r="E49" s="28" t="e">
        <f t="shared" si="32"/>
        <v>#DIV/0!</v>
      </c>
      <c r="F49" s="28" t="e">
        <f t="shared" si="32"/>
        <v>#DIV/0!</v>
      </c>
      <c r="G49" s="28">
        <f t="shared" si="35"/>
        <v>0.17192567753284593</v>
      </c>
      <c r="H49" s="28">
        <f t="shared" si="33"/>
        <v>0.16378129247226969</v>
      </c>
      <c r="I49" s="28">
        <f t="shared" si="33"/>
        <v>6.6506203532143537E-2</v>
      </c>
      <c r="J49" s="28">
        <f t="shared" si="33"/>
        <v>-1</v>
      </c>
      <c r="K49" s="4"/>
      <c r="L49" s="4"/>
      <c r="M49" s="29">
        <f t="shared" si="34"/>
        <v>-1.6876300044151971E-2</v>
      </c>
      <c r="N49" s="29">
        <f t="shared" si="34"/>
        <v>-5.2818759563007966E-2</v>
      </c>
      <c r="O49" s="29">
        <f t="shared" si="34"/>
        <v>0.32026830040099807</v>
      </c>
      <c r="P49" s="29">
        <f t="shared" si="34"/>
        <v>-6.7215492866988358E-2</v>
      </c>
      <c r="Q49" s="29">
        <f t="shared" si="36"/>
        <v>0.10530749789384997</v>
      </c>
      <c r="R49" s="29">
        <f t="shared" si="36"/>
        <v>0.16739481707317072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21"/>
      <c r="AI49" s="21"/>
      <c r="AJ49" s="21"/>
      <c r="AK49" s="21"/>
      <c r="AL49" s="21"/>
    </row>
    <row r="50" spans="1:38" x14ac:dyDescent="0.25">
      <c r="A50" s="2"/>
      <c r="B50" s="2" t="s">
        <v>76</v>
      </c>
      <c r="C50" s="4"/>
      <c r="D50" s="4"/>
      <c r="E50" s="28" t="e">
        <f t="shared" si="32"/>
        <v>#DIV/0!</v>
      </c>
      <c r="F50" s="28" t="e">
        <f t="shared" si="32"/>
        <v>#DIV/0!</v>
      </c>
      <c r="G50" s="28">
        <f t="shared" si="35"/>
        <v>7.169741298850929E-2</v>
      </c>
      <c r="H50" s="28">
        <f t="shared" si="33"/>
        <v>9.0954777583161395E-2</v>
      </c>
      <c r="I50" s="28">
        <f t="shared" si="33"/>
        <v>9.5950237879269373E-2</v>
      </c>
      <c r="J50" s="28">
        <f t="shared" si="33"/>
        <v>-1</v>
      </c>
      <c r="K50" s="4"/>
      <c r="L50" s="4"/>
      <c r="M50" s="29">
        <f t="shared" si="34"/>
        <v>6.8557242881009062E-2</v>
      </c>
      <c r="N50" s="29">
        <f t="shared" si="34"/>
        <v>-0.28748885599975404</v>
      </c>
      <c r="O50" s="29">
        <f t="shared" si="34"/>
        <v>0.96303304682275281</v>
      </c>
      <c r="P50" s="29">
        <f t="shared" si="34"/>
        <v>0.227700824066704</v>
      </c>
      <c r="Q50" s="29">
        <f t="shared" si="36"/>
        <v>-1.9181585677749413E-2</v>
      </c>
      <c r="R50" s="29">
        <f t="shared" si="36"/>
        <v>8.1889178617992053E-2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21"/>
      <c r="AI50" s="21"/>
      <c r="AJ50" s="21"/>
      <c r="AK50" s="21"/>
      <c r="AL50" s="21"/>
    </row>
    <row r="51" spans="1:38" x14ac:dyDescent="0.25">
      <c r="A51" s="2"/>
      <c r="B51" s="2" t="s">
        <v>77</v>
      </c>
      <c r="C51" s="8"/>
      <c r="D51" s="8"/>
      <c r="E51" s="28" t="e">
        <f t="shared" si="32"/>
        <v>#DIV/0!</v>
      </c>
      <c r="F51" s="28" t="e">
        <f t="shared" si="32"/>
        <v>#DIV/0!</v>
      </c>
      <c r="G51" s="28">
        <f t="shared" si="35"/>
        <v>0.38027702862867718</v>
      </c>
      <c r="H51" s="28">
        <f t="shared" si="33"/>
        <v>0.33564376586422329</v>
      </c>
      <c r="I51" s="28">
        <f t="shared" si="33"/>
        <v>5.6164374684069207E-2</v>
      </c>
      <c r="J51" s="28">
        <f t="shared" si="33"/>
        <v>-1</v>
      </c>
      <c r="K51" s="8"/>
      <c r="L51" s="8"/>
      <c r="M51" s="29">
        <f t="shared" si="34"/>
        <v>0.10202875714004334</v>
      </c>
      <c r="N51" s="29">
        <f t="shared" si="34"/>
        <v>-0.27411379207625852</v>
      </c>
      <c r="O51" s="29">
        <f t="shared" si="34"/>
        <v>0.10517000199834414</v>
      </c>
      <c r="P51" s="29">
        <f t="shared" si="34"/>
        <v>0.1914602329966677</v>
      </c>
      <c r="Q51" s="29">
        <f t="shared" si="36"/>
        <v>0.31165311653116534</v>
      </c>
      <c r="R51" s="29">
        <f t="shared" si="36"/>
        <v>0.35626239669421489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8" x14ac:dyDescent="0.25">
      <c r="A52" s="2"/>
      <c r="B52" s="2" t="s">
        <v>73</v>
      </c>
      <c r="C52" s="8"/>
      <c r="D52" s="8"/>
      <c r="E52" s="28" t="e">
        <f t="shared" si="32"/>
        <v>#DIV/0!</v>
      </c>
      <c r="F52" s="28" t="e">
        <f t="shared" si="32"/>
        <v>#DIV/0!</v>
      </c>
      <c r="G52" s="28">
        <f t="shared" si="35"/>
        <v>0.19711757433795318</v>
      </c>
      <c r="H52" s="28">
        <f t="shared" si="33"/>
        <v>0.32756931629189157</v>
      </c>
      <c r="I52" s="28">
        <f t="shared" si="33"/>
        <v>0.24478444800753696</v>
      </c>
      <c r="J52" s="28">
        <f t="shared" si="33"/>
        <v>-1</v>
      </c>
      <c r="K52" s="8"/>
      <c r="L52" s="8"/>
      <c r="M52" s="29">
        <f t="shared" si="34"/>
        <v>-1.2432382114746066E-2</v>
      </c>
      <c r="N52" s="29">
        <f t="shared" si="34"/>
        <v>-0.14978896324923274</v>
      </c>
      <c r="O52" s="29">
        <f t="shared" si="34"/>
        <v>0.56175858288473601</v>
      </c>
      <c r="P52" s="29">
        <f t="shared" si="34"/>
        <v>0.31722168762127123</v>
      </c>
      <c r="Q52" s="29">
        <f t="shared" si="36"/>
        <v>7.7844311377245567E-2</v>
      </c>
      <c r="R52" s="29">
        <f t="shared" si="36"/>
        <v>0.26073888888888885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8" x14ac:dyDescent="0.25">
      <c r="A53" s="2"/>
      <c r="B53" s="2" t="s">
        <v>70</v>
      </c>
      <c r="C53" s="8"/>
      <c r="D53" s="8"/>
      <c r="E53" s="28" t="e">
        <f t="shared" si="32"/>
        <v>#DIV/0!</v>
      </c>
      <c r="F53" s="28" t="e">
        <f t="shared" si="32"/>
        <v>#DIV/0!</v>
      </c>
      <c r="G53" s="28">
        <f t="shared" si="35"/>
        <v>0.14578393789467814</v>
      </c>
      <c r="H53" s="28">
        <f t="shared" si="33"/>
        <v>0.16779083742143186</v>
      </c>
      <c r="I53" s="28">
        <f t="shared" si="33"/>
        <v>8.432368024092729E-2</v>
      </c>
      <c r="J53" s="28">
        <f t="shared" si="33"/>
        <v>-1</v>
      </c>
      <c r="K53" s="8"/>
      <c r="L53" s="8"/>
      <c r="M53" s="29">
        <f t="shared" si="34"/>
        <v>4.1110914516722774E-2</v>
      </c>
      <c r="N53" s="29">
        <f t="shared" si="34"/>
        <v>-0.19753711642629246</v>
      </c>
      <c r="O53" s="29">
        <f t="shared" si="34"/>
        <v>0.38550513621730498</v>
      </c>
      <c r="P53" s="29">
        <f t="shared" si="34"/>
        <v>0.27504421916327515</v>
      </c>
      <c r="Q53" s="29">
        <f t="shared" si="36"/>
        <v>0.12114222989688717</v>
      </c>
      <c r="R53" s="29">
        <f t="shared" si="36"/>
        <v>0.15741837793662317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8" x14ac:dyDescent="0.25">
      <c r="A54" s="2"/>
      <c r="B54" s="2" t="s">
        <v>71</v>
      </c>
      <c r="C54" s="8"/>
      <c r="D54" s="8"/>
      <c r="E54" s="28" t="e">
        <f t="shared" si="32"/>
        <v>#DIV/0!</v>
      </c>
      <c r="F54" s="28" t="e">
        <f t="shared" si="32"/>
        <v>#DIV/0!</v>
      </c>
      <c r="G54" s="28">
        <f t="shared" si="35"/>
        <v>7.1493819759641308E-2</v>
      </c>
      <c r="H54" s="28">
        <f t="shared" si="33"/>
        <v>5.6429916599407992E-2</v>
      </c>
      <c r="I54" s="28">
        <f t="shared" si="33"/>
        <v>-2.4203753779755144E-2</v>
      </c>
      <c r="J54" s="28">
        <f t="shared" si="33"/>
        <v>-1</v>
      </c>
      <c r="K54" s="8"/>
      <c r="L54" s="8"/>
      <c r="M54" s="29">
        <f t="shared" si="34"/>
        <v>-3.3250657169507369E-2</v>
      </c>
      <c r="N54" s="29">
        <f t="shared" si="34"/>
        <v>-0.49657372789369236</v>
      </c>
      <c r="O54" s="29">
        <f t="shared" si="34"/>
        <v>0.40025263524697285</v>
      </c>
      <c r="P54" s="29">
        <f t="shared" si="34"/>
        <v>4.8138239960182627E-3</v>
      </c>
      <c r="Q54" s="29">
        <f t="shared" si="36"/>
        <v>0.11760198750841688</v>
      </c>
      <c r="R54" s="29">
        <f t="shared" si="36"/>
        <v>6.373872938047942E-2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8" x14ac:dyDescent="0.25">
      <c r="A55" s="2"/>
      <c r="B55" s="2" t="s">
        <v>72</v>
      </c>
      <c r="C55" s="8"/>
      <c r="D55" s="8"/>
      <c r="E55" s="28" t="e">
        <f t="shared" si="32"/>
        <v>#DIV/0!</v>
      </c>
      <c r="F55" s="28" t="e">
        <f t="shared" si="32"/>
        <v>#DIV/0!</v>
      </c>
      <c r="G55" s="28">
        <f t="shared" si="35"/>
        <v>0.2810900743423963</v>
      </c>
      <c r="H55" s="28">
        <f t="shared" si="33"/>
        <v>8.3056774792135135E-2</v>
      </c>
      <c r="I55" s="28">
        <f t="shared" si="33"/>
        <v>9.9654775604142598E-2</v>
      </c>
      <c r="J55" s="28">
        <f t="shared" si="33"/>
        <v>-1</v>
      </c>
      <c r="K55" s="8"/>
      <c r="L55" s="8"/>
      <c r="M55" s="29">
        <f t="shared" si="34"/>
        <v>-4.1401996370235894E-2</v>
      </c>
      <c r="N55" s="29">
        <f t="shared" si="34"/>
        <v>-0.24569873387764762</v>
      </c>
      <c r="O55" s="29">
        <f t="shared" si="34"/>
        <v>0.53882596555077944</v>
      </c>
      <c r="P55" s="29">
        <f t="shared" si="34"/>
        <v>0.55120598609497007</v>
      </c>
      <c r="Q55" s="29">
        <f t="shared" si="36"/>
        <v>0.36075550064404194</v>
      </c>
      <c r="R55" s="29">
        <f t="shared" si="36"/>
        <v>0.17388364612813811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8" x14ac:dyDescent="0.25">
      <c r="A56" s="2"/>
      <c r="B56" s="1" t="s">
        <v>69</v>
      </c>
      <c r="C56" s="26"/>
      <c r="D56" s="26"/>
      <c r="E56" s="30" t="e">
        <f t="shared" si="32"/>
        <v>#DIV/0!</v>
      </c>
      <c r="F56" s="30" t="e">
        <f t="shared" si="32"/>
        <v>#DIV/0!</v>
      </c>
      <c r="G56" s="30">
        <f t="shared" si="35"/>
        <v>0.14166725273799807</v>
      </c>
      <c r="H56" s="30">
        <f t="shared" si="33"/>
        <v>0.15592863283229708</v>
      </c>
      <c r="I56" s="30">
        <f t="shared" si="33"/>
        <v>7.5099445428413736E-2</v>
      </c>
      <c r="J56" s="30">
        <f t="shared" si="33"/>
        <v>-1</v>
      </c>
      <c r="K56" s="26"/>
      <c r="L56" s="26"/>
      <c r="M56" s="31">
        <f t="shared" si="34"/>
        <v>2.6556992223154552E-2</v>
      </c>
      <c r="N56" s="31">
        <f t="shared" si="34"/>
        <v>-0.24890144264901282</v>
      </c>
      <c r="O56" s="31">
        <f t="shared" si="34"/>
        <v>0.38919916672823618</v>
      </c>
      <c r="P56" s="31">
        <f t="shared" si="34"/>
        <v>0.24809554837124392</v>
      </c>
      <c r="Q56" s="31">
        <f t="shared" si="36"/>
        <v>0.1251553917299939</v>
      </c>
      <c r="R56" s="31">
        <f t="shared" si="36"/>
        <v>0.149192696107046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8" x14ac:dyDescent="0.25">
      <c r="A57" s="2"/>
      <c r="B57" s="2" t="s">
        <v>82</v>
      </c>
      <c r="C57" s="28" t="e">
        <f t="shared" ref="C57:F57" si="37">+C25/C23</f>
        <v>#DIV/0!</v>
      </c>
      <c r="D57" s="28" t="e">
        <f t="shared" si="37"/>
        <v>#DIV/0!</v>
      </c>
      <c r="E57" s="28">
        <f t="shared" si="37"/>
        <v>0.80335597136507741</v>
      </c>
      <c r="F57" s="28">
        <f t="shared" si="37"/>
        <v>0.80527274710188168</v>
      </c>
      <c r="G57" s="28">
        <f>+G25/G23</f>
        <v>0.79805927410526578</v>
      </c>
      <c r="H57" s="28">
        <f t="shared" ref="H57:J57" si="38">+H25/H23</f>
        <v>0.79874870053761404</v>
      </c>
      <c r="I57" s="28">
        <f t="shared" si="38"/>
        <v>0.80093210488187194</v>
      </c>
      <c r="J57" s="28" t="e">
        <f t="shared" si="38"/>
        <v>#DIV/0!</v>
      </c>
      <c r="K57" s="8"/>
      <c r="L57" s="8"/>
      <c r="M57" s="29">
        <f t="shared" ref="M57:R57" si="39">+M25/M23</f>
        <v>0.71912708170960138</v>
      </c>
      <c r="N57" s="29">
        <f t="shared" si="39"/>
        <v>0.71958968753959884</v>
      </c>
      <c r="O57" s="29">
        <f t="shared" si="39"/>
        <v>0.75686572676381825</v>
      </c>
      <c r="P57" s="29">
        <f t="shared" si="39"/>
        <v>0.78846727929851257</v>
      </c>
      <c r="Q57" s="29">
        <f t="shared" si="39"/>
        <v>0.80436741536019618</v>
      </c>
      <c r="R57" s="29">
        <f t="shared" si="39"/>
        <v>0.79842520293904684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8" x14ac:dyDescent="0.25">
      <c r="A58" s="2"/>
      <c r="B58" s="2" t="s">
        <v>83</v>
      </c>
      <c r="C58" s="28" t="e">
        <f t="shared" ref="C58:F58" si="40">+C30/C23</f>
        <v>#DIV/0!</v>
      </c>
      <c r="D58" s="28" t="e">
        <f t="shared" si="40"/>
        <v>#DIV/0!</v>
      </c>
      <c r="E58" s="28">
        <f t="shared" si="40"/>
        <v>0.22013242375062678</v>
      </c>
      <c r="F58" s="28">
        <f t="shared" si="40"/>
        <v>0.22865504532419806</v>
      </c>
      <c r="G58" s="28">
        <f>+G30/G23</f>
        <v>0.22565774450156434</v>
      </c>
      <c r="H58" s="28">
        <f t="shared" ref="H58:J58" si="41">+H30/H23</f>
        <v>0.24434610289626185</v>
      </c>
      <c r="I58" s="28">
        <f t="shared" si="41"/>
        <v>0.22163731485181756</v>
      </c>
      <c r="J58" s="28" t="e">
        <f t="shared" si="41"/>
        <v>#DIV/0!</v>
      </c>
      <c r="K58" s="8"/>
      <c r="L58" s="8"/>
      <c r="M58" s="29">
        <f t="shared" ref="M58:R58" si="42">+M30/M23</f>
        <v>9.5107753796665043E-2</v>
      </c>
      <c r="N58" s="29">
        <f t="shared" si="42"/>
        <v>8.2802976300790747E-3</v>
      </c>
      <c r="O58" s="29">
        <f t="shared" si="42"/>
        <v>0.14543447108700899</v>
      </c>
      <c r="P58" s="29">
        <f t="shared" si="42"/>
        <v>0.20120009312791243</v>
      </c>
      <c r="Q58" s="29">
        <f t="shared" si="42"/>
        <v>0.22462963969912911</v>
      </c>
      <c r="R58" s="29">
        <f t="shared" si="42"/>
        <v>0.23557701778698084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8" x14ac:dyDescent="0.25">
      <c r="A59" s="2"/>
      <c r="B59" s="2" t="s">
        <v>84</v>
      </c>
      <c r="C59" s="28" t="e">
        <f t="shared" ref="C59:F59" si="43">+C34/C33</f>
        <v>#DIV/0!</v>
      </c>
      <c r="D59" s="28" t="e">
        <f t="shared" si="43"/>
        <v>#DIV/0!</v>
      </c>
      <c r="E59" s="28">
        <f t="shared" si="43"/>
        <v>0.3109608526530801</v>
      </c>
      <c r="F59" s="28">
        <f t="shared" si="43"/>
        <v>0.30333249754963398</v>
      </c>
      <c r="G59" s="28">
        <f>+G34/G33</f>
        <v>0.28176504434583616</v>
      </c>
      <c r="H59" s="28">
        <f t="shared" ref="H59:J59" si="44">+H34/H33</f>
        <v>0.29769646490530838</v>
      </c>
      <c r="I59" s="28">
        <f t="shared" si="44"/>
        <v>0.30636028785746944</v>
      </c>
      <c r="J59" s="28" t="e">
        <f t="shared" si="44"/>
        <v>#DIV/0!</v>
      </c>
      <c r="K59" s="8"/>
      <c r="L59" s="8"/>
      <c r="M59" s="29">
        <f t="shared" ref="M59:R59" si="45">+M34/M33</f>
        <v>-9.7819049241778838E-2</v>
      </c>
      <c r="N59" s="29">
        <f t="shared" si="45"/>
        <v>-4.9332201034509519E-2</v>
      </c>
      <c r="O59" s="29">
        <f t="shared" si="45"/>
        <v>0.30013162419513556</v>
      </c>
      <c r="P59" s="29">
        <f t="shared" si="45"/>
        <v>0.34012447695066617</v>
      </c>
      <c r="Q59" s="29">
        <f t="shared" si="45"/>
        <v>0.30682691981063603</v>
      </c>
      <c r="R59" s="29">
        <f t="shared" si="45"/>
        <v>0.29049913226209967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8" x14ac:dyDescent="0.25">
      <c r="A60" s="2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8" x14ac:dyDescent="0.25">
      <c r="A61" s="2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8" x14ac:dyDescent="0.25">
      <c r="A62" s="2"/>
      <c r="B62" s="2" t="s">
        <v>123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>
        <v>70.695600999999996</v>
      </c>
      <c r="N62" s="8">
        <v>103.29467</v>
      </c>
      <c r="O62" s="8">
        <v>981.78599999999994</v>
      </c>
      <c r="P62" s="8">
        <v>1091.6220000000001</v>
      </c>
      <c r="Q62" s="8">
        <v>689.51900000000001</v>
      </c>
      <c r="R62" s="8">
        <v>1011.563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8" x14ac:dyDescent="0.25">
      <c r="A63" s="2"/>
      <c r="B63" s="2" t="s">
        <v>124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>
        <v>776.68537900000001</v>
      </c>
      <c r="N63" s="8">
        <v>526.65229899999997</v>
      </c>
      <c r="O63" s="8">
        <v>329.54700000000003</v>
      </c>
      <c r="P63" s="8">
        <v>331.91500000000002</v>
      </c>
      <c r="Q63" s="8">
        <v>405.15100000000001</v>
      </c>
      <c r="R63" s="8">
        <v>423.733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8" x14ac:dyDescent="0.25">
      <c r="A64" s="2"/>
      <c r="B64" s="2" t="s">
        <v>125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>
        <v>319.43339400000002</v>
      </c>
      <c r="N64" s="8">
        <v>295.69391300000001</v>
      </c>
      <c r="O64" s="8">
        <v>662.654</v>
      </c>
      <c r="P64" s="8">
        <v>760.45699999999999</v>
      </c>
      <c r="Q64" s="8">
        <v>782.97799999999995</v>
      </c>
      <c r="R64" s="8">
        <v>866.16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5">
      <c r="A65" s="2"/>
      <c r="B65" s="2" t="s">
        <v>126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>
        <v>4.7504770000000001</v>
      </c>
      <c r="N65" s="8">
        <v>12.445912999999999</v>
      </c>
      <c r="O65" s="8">
        <v>1.762</v>
      </c>
      <c r="P65" s="8">
        <v>22.483000000000001</v>
      </c>
      <c r="Q65" s="8">
        <v>17.55</v>
      </c>
      <c r="R65" s="8">
        <v>12.487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5">
      <c r="A66" s="2"/>
      <c r="B66" s="2" t="s">
        <v>127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>
        <v>250.52749499999999</v>
      </c>
      <c r="N66" s="8">
        <v>265.62678299999999</v>
      </c>
      <c r="O66" s="8">
        <v>22.866</v>
      </c>
      <c r="P66" s="8">
        <v>2.3730000000000002</v>
      </c>
      <c r="Q66" s="8">
        <v>0.13800000000000001</v>
      </c>
      <c r="R66" s="8">
        <v>0.14099999999999999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5">
      <c r="A67" s="2"/>
      <c r="B67" s="2" t="s">
        <v>128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>
        <v>143.948556</v>
      </c>
      <c r="N67" s="8">
        <v>143.15350699999999</v>
      </c>
      <c r="O67" s="8">
        <v>171.22</v>
      </c>
      <c r="P67" s="8">
        <v>215.917</v>
      </c>
      <c r="Q67" s="8">
        <v>267.41199999999998</v>
      </c>
      <c r="R67" s="8">
        <v>245.32400000000001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5">
      <c r="A68" s="2"/>
      <c r="B68" s="2" t="s">
        <v>129</v>
      </c>
      <c r="C68" s="8"/>
      <c r="D68" s="8"/>
      <c r="E68" s="8"/>
      <c r="F68" s="8"/>
      <c r="G68" s="8"/>
      <c r="H68" s="8"/>
      <c r="I68" s="8"/>
      <c r="J68" s="8"/>
      <c r="K68" s="8"/>
      <c r="L68" s="8">
        <f t="shared" ref="L68:Q68" si="46">+SUM(L62:L67)</f>
        <v>0</v>
      </c>
      <c r="M68" s="8">
        <f t="shared" si="46"/>
        <v>1566.0409020000002</v>
      </c>
      <c r="N68" s="8">
        <f t="shared" si="46"/>
        <v>1346.8670849999999</v>
      </c>
      <c r="O68" s="8">
        <f t="shared" si="46"/>
        <v>2169.835</v>
      </c>
      <c r="P68" s="8">
        <f t="shared" si="46"/>
        <v>2424.7670000000003</v>
      </c>
      <c r="Q68" s="8">
        <f t="shared" si="46"/>
        <v>2162.748</v>
      </c>
      <c r="R68" s="8">
        <f>+SUM(R62:R67)</f>
        <v>2559.4080000000004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2"/>
      <c r="B69" s="2" t="s">
        <v>130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>
        <v>805.67626099999995</v>
      </c>
      <c r="N69" s="8">
        <v>791.07644300000004</v>
      </c>
      <c r="O69" s="8">
        <v>1564.8530000000001</v>
      </c>
      <c r="P69" s="8">
        <v>1577.125</v>
      </c>
      <c r="Q69" s="8">
        <v>2032.876</v>
      </c>
      <c r="R69" s="8">
        <v>2255.0549999999998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5">
      <c r="A70" s="2"/>
      <c r="B70" s="2" t="s">
        <v>131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>
        <v>194.60827900000001</v>
      </c>
      <c r="N70" s="8">
        <v>200.496905</v>
      </c>
      <c r="O70" s="8">
        <v>829.40499999999997</v>
      </c>
      <c r="P70" s="8">
        <v>817.80899999999997</v>
      </c>
      <c r="Q70" s="8">
        <v>846.024</v>
      </c>
      <c r="R70" s="8">
        <v>867.92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5">
      <c r="A71" s="2"/>
      <c r="B71" s="2" t="s">
        <v>132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>
        <v>274.31798900000001</v>
      </c>
      <c r="N71" s="8">
        <v>294.41953100000001</v>
      </c>
      <c r="O71" s="8">
        <v>1956.289</v>
      </c>
      <c r="P71" s="8">
        <v>2011.4739999999999</v>
      </c>
      <c r="Q71" s="8">
        <v>2024.5519999999999</v>
      </c>
      <c r="R71" s="8">
        <v>2278.9549999999999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5">
      <c r="A72" s="2"/>
      <c r="B72" s="2" t="s">
        <v>133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>
        <v>978.43616599999996</v>
      </c>
      <c r="N72" s="8">
        <v>903.27193499999998</v>
      </c>
      <c r="O72" s="8">
        <v>5.6959999999999997</v>
      </c>
      <c r="P72" s="8">
        <v>26.974</v>
      </c>
      <c r="Q72" s="8">
        <v>41.61</v>
      </c>
      <c r="R72" s="8">
        <v>37.624000000000002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5">
      <c r="A73" s="2"/>
      <c r="B73" s="2" t="s">
        <v>134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>
        <v>30.83362</v>
      </c>
      <c r="N73" s="8">
        <v>43.922789999999999</v>
      </c>
      <c r="O73" s="8">
        <v>287.46199999999999</v>
      </c>
      <c r="P73" s="8">
        <v>373.09</v>
      </c>
      <c r="Q73" s="8">
        <v>374.84699999999998</v>
      </c>
      <c r="R73" s="8">
        <v>408.971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5">
      <c r="A74" s="2"/>
      <c r="B74" s="2" t="s">
        <v>137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>
        <v>80.801574000000002</v>
      </c>
      <c r="N74" s="8">
        <v>74.457072999999994</v>
      </c>
      <c r="O74" s="8">
        <v>144.346</v>
      </c>
      <c r="P74" s="8">
        <v>139.40199999999999</v>
      </c>
      <c r="Q74" s="8">
        <v>131.50399999999999</v>
      </c>
      <c r="R74" s="8">
        <v>139.08600000000001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5">
      <c r="A75" s="2"/>
      <c r="B75" s="2" t="s">
        <v>126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>
        <v>6.1032830000000002</v>
      </c>
      <c r="N75" s="8">
        <v>6.7682270000000004</v>
      </c>
      <c r="O75" s="8">
        <v>0</v>
      </c>
      <c r="P75" s="8">
        <v>5.8120000000000003</v>
      </c>
      <c r="Q75" s="8">
        <v>0.89</v>
      </c>
      <c r="R75" s="8">
        <v>2.5710000000000002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5">
      <c r="A76" s="2"/>
      <c r="B76" s="2" t="s">
        <v>127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>
        <v>201.51002600000001</v>
      </c>
      <c r="N76" s="8">
        <v>201.29836499999999</v>
      </c>
      <c r="O76" s="8">
        <v>1.125</v>
      </c>
      <c r="P76" s="8">
        <v>1.125</v>
      </c>
      <c r="Q76" s="8">
        <v>0</v>
      </c>
      <c r="R76" s="8">
        <v>0.36899999999999999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5">
      <c r="A77" s="2"/>
      <c r="B77" s="2" t="s">
        <v>135</v>
      </c>
      <c r="C77" s="8"/>
      <c r="D77" s="8"/>
      <c r="E77" s="8"/>
      <c r="F77" s="8"/>
      <c r="G77" s="8"/>
      <c r="H77" s="8"/>
      <c r="I77" s="8"/>
      <c r="J77" s="8"/>
      <c r="K77" s="8"/>
      <c r="L77" s="8">
        <f t="shared" ref="L77:Q77" si="47">+SUM(L69:L76)</f>
        <v>0</v>
      </c>
      <c r="M77" s="8">
        <f t="shared" si="47"/>
        <v>2572.287198</v>
      </c>
      <c r="N77" s="8">
        <f t="shared" si="47"/>
        <v>2515.7112690000004</v>
      </c>
      <c r="O77" s="8">
        <f t="shared" si="47"/>
        <v>4789.1759999999995</v>
      </c>
      <c r="P77" s="8">
        <f t="shared" si="47"/>
        <v>4952.8110000000006</v>
      </c>
      <c r="Q77" s="8">
        <f t="shared" si="47"/>
        <v>5452.3029999999999</v>
      </c>
      <c r="R77" s="8">
        <f>+SUM(R69:R76)</f>
        <v>5990.5509999999995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5">
      <c r="A78" s="2"/>
      <c r="B78" s="1" t="s">
        <v>136</v>
      </c>
      <c r="C78" s="26"/>
      <c r="D78" s="26"/>
      <c r="E78" s="26"/>
      <c r="F78" s="26"/>
      <c r="G78" s="26"/>
      <c r="H78" s="26"/>
      <c r="I78" s="26"/>
      <c r="J78" s="26"/>
      <c r="K78" s="26"/>
      <c r="L78" s="26">
        <f t="shared" ref="L78:O78" si="48">+L77+L68</f>
        <v>0</v>
      </c>
      <c r="M78" s="26">
        <f t="shared" si="48"/>
        <v>4138.3281000000006</v>
      </c>
      <c r="N78" s="26">
        <f t="shared" si="48"/>
        <v>3862.5783540000002</v>
      </c>
      <c r="O78" s="26">
        <f t="shared" si="48"/>
        <v>6959.0109999999995</v>
      </c>
      <c r="P78" s="26">
        <f>+P77+P68</f>
        <v>7377.5780000000013</v>
      </c>
      <c r="Q78" s="26">
        <f>+Q77+Q68</f>
        <v>7615.0509999999995</v>
      </c>
      <c r="R78" s="26">
        <f>+R77+R68</f>
        <v>8549.9589999999989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5">
      <c r="A79" s="2"/>
      <c r="B79" s="2" t="s">
        <v>138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>
        <v>122.677897</v>
      </c>
      <c r="N79" s="8">
        <v>177.78702699999999</v>
      </c>
      <c r="O79" s="8">
        <v>418.21499999999997</v>
      </c>
      <c r="P79" s="8">
        <v>392.12599999999998</v>
      </c>
      <c r="Q79" s="8">
        <v>411.28899999999999</v>
      </c>
      <c r="R79" s="8">
        <v>434.13499999999999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5">
      <c r="A80" s="2"/>
      <c r="B80" s="2" t="s">
        <v>139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>
        <v>74.652659999999997</v>
      </c>
      <c r="N80" s="8">
        <v>63.800921000000002</v>
      </c>
      <c r="O80" s="8">
        <v>249.10300000000001</v>
      </c>
      <c r="P80" s="8">
        <v>160.84700000000001</v>
      </c>
      <c r="Q80" s="8">
        <v>148.33799999999999</v>
      </c>
      <c r="R80" s="8">
        <v>183.24700000000001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5">
      <c r="A81" s="2"/>
      <c r="B81" s="2" t="s">
        <v>140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>
        <v>865.37989600000003</v>
      </c>
      <c r="N81" s="8">
        <v>635.00195699999995</v>
      </c>
      <c r="O81" s="8">
        <v>8.36</v>
      </c>
      <c r="P81" s="8">
        <v>3.5680000000000001</v>
      </c>
      <c r="Q81" s="8">
        <v>5.8579999999999997</v>
      </c>
      <c r="R81" s="8">
        <v>8.2789999999999999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5">
      <c r="A82" s="2"/>
      <c r="B82" s="2" t="s">
        <v>141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>
        <v>19.461981000000002</v>
      </c>
      <c r="N82" s="8">
        <v>24.123529000000001</v>
      </c>
      <c r="O82" s="8">
        <v>390.16300000000001</v>
      </c>
      <c r="P82" s="8">
        <v>401.79899999999998</v>
      </c>
      <c r="Q82" s="8">
        <v>453.387</v>
      </c>
      <c r="R82" s="8">
        <v>481.61500000000001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5">
      <c r="A83" s="2"/>
      <c r="B83" s="2" t="s">
        <v>142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>
        <v>11.305987</v>
      </c>
      <c r="N83" s="8">
        <v>7.7888529999999996</v>
      </c>
      <c r="O83" s="8">
        <v>144.15899999999999</v>
      </c>
      <c r="P83" s="8">
        <v>277.65600000000001</v>
      </c>
      <c r="Q83" s="8">
        <v>121.82299999999999</v>
      </c>
      <c r="R83" s="8">
        <v>177.13800000000001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5">
      <c r="A84" s="2"/>
      <c r="B84" s="2" t="s">
        <v>126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>
        <v>128.23243099999999</v>
      </c>
      <c r="N84" s="8">
        <v>145.772616</v>
      </c>
      <c r="O84" s="8">
        <v>29.683</v>
      </c>
      <c r="P84" s="8">
        <v>11.565</v>
      </c>
      <c r="Q84" s="8">
        <v>7.5430000000000001</v>
      </c>
      <c r="R84" s="8">
        <v>27.777999999999999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5">
      <c r="A85" s="2"/>
      <c r="B85" s="2" t="s">
        <v>143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>
        <v>39.466571000000002</v>
      </c>
      <c r="N85" s="8">
        <v>42.146073999999999</v>
      </c>
      <c r="O85" s="8">
        <v>180.048</v>
      </c>
      <c r="P85" s="8">
        <v>242.30600000000001</v>
      </c>
      <c r="Q85" s="8">
        <v>302.14299999999997</v>
      </c>
      <c r="R85" s="8">
        <v>371.26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5">
      <c r="A86" s="2"/>
      <c r="B86" s="2" t="s">
        <v>144</v>
      </c>
      <c r="C86" s="8"/>
      <c r="D86" s="8"/>
      <c r="E86" s="8"/>
      <c r="F86" s="8"/>
      <c r="G86" s="8"/>
      <c r="H86" s="8"/>
      <c r="I86" s="8"/>
      <c r="J86" s="8"/>
      <c r="K86" s="8"/>
      <c r="L86" s="8">
        <f t="shared" ref="L86:Q86" si="49">+SUM(L79:L85)</f>
        <v>0</v>
      </c>
      <c r="M86" s="8">
        <f t="shared" si="49"/>
        <v>1261.1774229999999</v>
      </c>
      <c r="N86" s="8">
        <f t="shared" si="49"/>
        <v>1096.420977</v>
      </c>
      <c r="O86" s="8">
        <f t="shared" si="49"/>
        <v>1419.731</v>
      </c>
      <c r="P86" s="8">
        <f t="shared" si="49"/>
        <v>1489.867</v>
      </c>
      <c r="Q86" s="8">
        <f t="shared" si="49"/>
        <v>1450.3809999999999</v>
      </c>
      <c r="R86" s="8">
        <f>+SUM(R79:R85)</f>
        <v>1683.452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5">
      <c r="A87" s="2"/>
      <c r="B87" s="2" t="s">
        <v>138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>
        <v>1627.1969999999999</v>
      </c>
      <c r="P87" s="8">
        <v>1715.451</v>
      </c>
      <c r="Q87" s="8">
        <v>1699.5989999999999</v>
      </c>
      <c r="R87" s="8">
        <v>1940.9780000000001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5">
      <c r="A88" s="2"/>
      <c r="B88" s="2" t="s">
        <v>145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>
        <v>385.86824899999999</v>
      </c>
      <c r="O88" s="8">
        <v>492.80099999999999</v>
      </c>
      <c r="P88" s="8">
        <v>395.65600000000001</v>
      </c>
      <c r="Q88" s="8">
        <v>338.42200000000003</v>
      </c>
      <c r="R88" s="8">
        <v>220.941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5">
      <c r="A89" s="2"/>
      <c r="B89" s="2" t="s">
        <v>146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>
        <v>35.704447999999999</v>
      </c>
      <c r="O89" s="8">
        <v>73.819000000000003</v>
      </c>
      <c r="P89" s="8">
        <v>67.570999999999998</v>
      </c>
      <c r="Q89" s="8">
        <v>60.875</v>
      </c>
      <c r="R89" s="8">
        <v>81.748999999999995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5">
      <c r="A90" s="2"/>
      <c r="B90" s="2" t="s">
        <v>147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>
        <v>1.5812649999999999</v>
      </c>
      <c r="O90" s="8">
        <v>59.201000000000001</v>
      </c>
      <c r="P90" s="8">
        <v>51.485999999999997</v>
      </c>
      <c r="Q90" s="8">
        <v>49.866999999999997</v>
      </c>
      <c r="R90" s="8">
        <v>64.284000000000006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5">
      <c r="A91" s="2"/>
      <c r="B91" s="2" t="s">
        <v>148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>
        <v>1.710553</v>
      </c>
      <c r="O91" s="8">
        <v>29.806000000000001</v>
      </c>
      <c r="P91" s="8">
        <v>40.854999999999997</v>
      </c>
      <c r="Q91" s="8">
        <v>35.731000000000002</v>
      </c>
      <c r="R91" s="8">
        <v>43.415999999999997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5">
      <c r="A92" s="2"/>
      <c r="B92" s="2" t="s">
        <v>149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>
        <v>104</v>
      </c>
      <c r="O92" s="8">
        <v>123.027</v>
      </c>
      <c r="P92" s="8">
        <v>115.67</v>
      </c>
      <c r="Q92" s="8">
        <v>103.367</v>
      </c>
      <c r="R92" s="8">
        <v>95.31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5">
      <c r="A93" s="2"/>
      <c r="B93" s="2" t="s">
        <v>126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>
        <v>9.2490710000000007</v>
      </c>
      <c r="O93" s="8">
        <v>4.7859999999999996</v>
      </c>
      <c r="P93" s="8">
        <v>0</v>
      </c>
      <c r="Q93" s="8">
        <v>0</v>
      </c>
      <c r="R93" s="8">
        <v>0.39900000000000002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5">
      <c r="A94" s="2"/>
      <c r="B94" s="2" t="s">
        <v>150</v>
      </c>
      <c r="C94" s="8"/>
      <c r="D94" s="8"/>
      <c r="E94" s="8"/>
      <c r="F94" s="8"/>
      <c r="G94" s="8"/>
      <c r="H94" s="8"/>
      <c r="I94" s="8"/>
      <c r="J94" s="8"/>
      <c r="K94" s="8"/>
      <c r="L94" s="8">
        <f t="shared" ref="L94:Q94" si="50">+SUM(L87:L93)</f>
        <v>0</v>
      </c>
      <c r="M94" s="8">
        <f t="shared" si="50"/>
        <v>0</v>
      </c>
      <c r="N94" s="8">
        <f t="shared" si="50"/>
        <v>538.11358599999994</v>
      </c>
      <c r="O94" s="8">
        <f t="shared" si="50"/>
        <v>2410.6370000000002</v>
      </c>
      <c r="P94" s="8">
        <f t="shared" si="50"/>
        <v>2386.6889999999999</v>
      </c>
      <c r="Q94" s="8">
        <f t="shared" si="50"/>
        <v>2287.8610000000003</v>
      </c>
      <c r="R94" s="8">
        <f>+SUM(R87:R93)</f>
        <v>2447.0769999999998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5">
      <c r="A95" s="2"/>
      <c r="B95" s="2" t="s">
        <v>151</v>
      </c>
      <c r="C95" s="8"/>
      <c r="D95" s="8"/>
      <c r="E95" s="8"/>
      <c r="F95" s="8"/>
      <c r="G95" s="8"/>
      <c r="H95" s="8"/>
      <c r="I95" s="8"/>
      <c r="J95" s="8"/>
      <c r="K95" s="8"/>
      <c r="L95" s="8">
        <f t="shared" ref="L95:Q95" si="51">+L94+L86</f>
        <v>0</v>
      </c>
      <c r="M95" s="8">
        <f t="shared" si="51"/>
        <v>1261.1774229999999</v>
      </c>
      <c r="N95" s="8">
        <f t="shared" si="51"/>
        <v>1634.5345629999999</v>
      </c>
      <c r="O95" s="8">
        <f t="shared" si="51"/>
        <v>3830.3680000000004</v>
      </c>
      <c r="P95" s="8">
        <f t="shared" si="51"/>
        <v>3876.5559999999996</v>
      </c>
      <c r="Q95" s="8">
        <f t="shared" si="51"/>
        <v>3738.2420000000002</v>
      </c>
      <c r="R95" s="8">
        <f>+R94+R86</f>
        <v>4130.5289999999995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5">
      <c r="A96" s="2"/>
      <c r="B96" s="2" t="s">
        <v>152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>
        <v>3128.643</v>
      </c>
      <c r="P96" s="8">
        <v>3501.0219999999999</v>
      </c>
      <c r="Q96" s="8">
        <v>3876.8090000000002</v>
      </c>
      <c r="R96" s="8">
        <v>4419.43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5">
      <c r="A97" s="2"/>
      <c r="B97" s="1" t="s">
        <v>153</v>
      </c>
      <c r="C97" s="8"/>
      <c r="D97" s="8"/>
      <c r="E97" s="8"/>
      <c r="F97" s="8"/>
      <c r="G97" s="8"/>
      <c r="H97" s="8"/>
      <c r="I97" s="8"/>
      <c r="J97" s="8"/>
      <c r="K97" s="8"/>
      <c r="L97" s="26">
        <f t="shared" ref="L97:Q97" si="52">+L95+L96</f>
        <v>0</v>
      </c>
      <c r="M97" s="26">
        <f t="shared" si="52"/>
        <v>1261.1774229999999</v>
      </c>
      <c r="N97" s="26">
        <f t="shared" si="52"/>
        <v>1634.5345629999999</v>
      </c>
      <c r="O97" s="26">
        <f t="shared" si="52"/>
        <v>6959.0110000000004</v>
      </c>
      <c r="P97" s="26">
        <f t="shared" si="52"/>
        <v>7377.5779999999995</v>
      </c>
      <c r="Q97" s="26">
        <f t="shared" si="52"/>
        <v>7615.0510000000004</v>
      </c>
      <c r="R97" s="26">
        <f>+R95+R96</f>
        <v>8549.9589999999989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5">
      <c r="A98" s="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5">
      <c r="A99" s="2"/>
      <c r="B99" s="2" t="s">
        <v>27</v>
      </c>
      <c r="C99" s="8"/>
      <c r="D99" s="8"/>
      <c r="E99" s="8"/>
      <c r="F99" s="8"/>
      <c r="G99" s="8"/>
      <c r="H99" s="8"/>
      <c r="I99" s="8"/>
      <c r="J99" s="8"/>
      <c r="K99" s="8"/>
      <c r="L99" s="8">
        <f t="shared" ref="L99:Q99" si="53">+L33</f>
        <v>302.52399999999989</v>
      </c>
      <c r="M99" s="8">
        <f t="shared" si="53"/>
        <v>234.76</v>
      </c>
      <c r="N99" s="8">
        <f t="shared" si="53"/>
        <v>-51.811999999999856</v>
      </c>
      <c r="O99" s="8">
        <f t="shared" si="53"/>
        <v>421.65500000000037</v>
      </c>
      <c r="P99" s="8">
        <f t="shared" si="53"/>
        <v>710.97500000000036</v>
      </c>
      <c r="Q99" s="8">
        <f t="shared" si="53"/>
        <v>971.46300000000042</v>
      </c>
      <c r="R99" s="8">
        <f>+R33</f>
        <v>1188.7230000000002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5">
      <c r="A100" s="2"/>
      <c r="B100" s="2" t="s">
        <v>154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>
        <v>426.221</v>
      </c>
      <c r="P100" s="8">
        <v>451.53300000000002</v>
      </c>
      <c r="Q100" s="8">
        <v>445.46499999999997</v>
      </c>
      <c r="R100" s="8">
        <v>454.16300000000001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5">
      <c r="A101" s="2"/>
      <c r="B101" s="2" t="s">
        <v>155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>
        <v>197.99700000000001</v>
      </c>
      <c r="P101" s="8">
        <v>210.89099999999999</v>
      </c>
      <c r="Q101" s="8">
        <v>230.91499999999999</v>
      </c>
      <c r="R101" s="8">
        <v>280.5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5">
      <c r="A102" s="2"/>
      <c r="B102" s="2" t="s">
        <v>157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>
        <v>0</v>
      </c>
      <c r="P102" s="8">
        <v>12.342000000000001</v>
      </c>
      <c r="Q102" s="8">
        <v>18.632999999999999</v>
      </c>
      <c r="R102" s="8">
        <v>8.5630000000000006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5">
      <c r="A103" s="2"/>
      <c r="B103" s="2" t="s">
        <v>156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>
        <v>6.5129999999999999</v>
      </c>
      <c r="P103" s="8">
        <v>59.485999999999997</v>
      </c>
      <c r="Q103" s="8">
        <v>9.6140000000000008</v>
      </c>
      <c r="R103" s="8">
        <v>16.193000000000001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5">
      <c r="A104" s="2"/>
      <c r="B104" s="2" t="s">
        <v>158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>
        <v>25.266999999999999</v>
      </c>
      <c r="P104" s="8">
        <v>24.413</v>
      </c>
      <c r="Q104" s="8">
        <v>48.932000000000002</v>
      </c>
      <c r="R104" s="8">
        <v>19.440999999999999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5">
      <c r="A105" s="2"/>
      <c r="B105" s="2" t="s">
        <v>159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>
        <v>36.773000000000003</v>
      </c>
      <c r="P105" s="8">
        <v>40.99</v>
      </c>
      <c r="Q105" s="8">
        <v>58.825000000000003</v>
      </c>
      <c r="R105" s="8">
        <v>69.623000000000005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5">
      <c r="A106" s="2"/>
      <c r="B106" s="2" t="s">
        <v>160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>
        <v>33.847999999999999</v>
      </c>
      <c r="P106" s="8">
        <v>12.257999999999999</v>
      </c>
      <c r="Q106" s="8">
        <v>34.005000000000003</v>
      </c>
      <c r="R106" s="8">
        <v>54.530999999999999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5">
      <c r="A107" s="2"/>
      <c r="B107" s="2" t="s">
        <v>161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>
        <v>5.4909999999999997</v>
      </c>
      <c r="P107" s="8">
        <v>-33.142000000000003</v>
      </c>
      <c r="Q107" s="8">
        <v>-24.3</v>
      </c>
      <c r="R107" s="8">
        <v>-12.122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5">
      <c r="A108" s="2"/>
      <c r="B108" s="2" t="s">
        <v>162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>
        <v>-29.79</v>
      </c>
      <c r="P108" s="8">
        <v>-3.5779999999999998</v>
      </c>
      <c r="Q108" s="8">
        <v>-85.4</v>
      </c>
      <c r="R108" s="8">
        <v>-22.954999999999998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5">
      <c r="A109" s="2"/>
      <c r="B109" s="2" t="s">
        <v>163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>
        <v>11.502000000000001</v>
      </c>
      <c r="P109" s="8">
        <v>-121.82599999999999</v>
      </c>
      <c r="Q109" s="8">
        <v>-60.783999999999999</v>
      </c>
      <c r="R109" s="8">
        <v>-83.546000000000006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5">
      <c r="A110" s="2"/>
      <c r="B110" s="2" t="s">
        <v>164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>
        <v>90.296999999999997</v>
      </c>
      <c r="P110" s="8">
        <v>13.351000000000001</v>
      </c>
      <c r="Q110" s="8">
        <v>56.350999999999999</v>
      </c>
      <c r="R110" s="8">
        <v>25.699000000000002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5">
      <c r="A111" s="2"/>
      <c r="B111" s="2" t="s">
        <v>165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>
        <v>0.24399999999999999</v>
      </c>
      <c r="P111" s="8">
        <v>15.122</v>
      </c>
      <c r="Q111" s="8">
        <v>-8.7680000000000007</v>
      </c>
      <c r="R111" s="8">
        <v>-5.3999999999999999E-2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5">
      <c r="A112" s="2"/>
      <c r="B112" s="2" t="s">
        <v>166</v>
      </c>
      <c r="C112" s="8"/>
      <c r="D112" s="8"/>
      <c r="E112" s="8"/>
      <c r="F112" s="8"/>
      <c r="G112" s="8"/>
      <c r="H112" s="8"/>
      <c r="I112" s="8"/>
      <c r="J112" s="8"/>
      <c r="K112" s="8"/>
      <c r="L112" s="8">
        <f t="shared" ref="L112:Q112" si="54">+SUM(L107:L111)</f>
        <v>0</v>
      </c>
      <c r="M112" s="8">
        <f t="shared" si="54"/>
        <v>0</v>
      </c>
      <c r="N112" s="8">
        <f t="shared" si="54"/>
        <v>0</v>
      </c>
      <c r="O112" s="8">
        <f t="shared" si="54"/>
        <v>77.744</v>
      </c>
      <c r="P112" s="8">
        <f t="shared" si="54"/>
        <v>-130.07299999999998</v>
      </c>
      <c r="Q112" s="8">
        <f t="shared" si="54"/>
        <v>-122.90100000000001</v>
      </c>
      <c r="R112" s="8">
        <f>+SUM(R107:R111)</f>
        <v>-92.978000000000009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5">
      <c r="A113" s="2"/>
      <c r="B113" s="2" t="s">
        <v>167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>
        <v>-45.329000000000001</v>
      </c>
      <c r="P113" s="8">
        <v>-49.521999999999998</v>
      </c>
      <c r="Q113" s="8">
        <v>-52.962000000000003</v>
      </c>
      <c r="R113" s="8">
        <v>-76.599999999999994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5">
      <c r="A114" s="2"/>
      <c r="B114" s="2" t="s">
        <v>168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>
        <v>-37.161000000000001</v>
      </c>
      <c r="P114" s="8">
        <v>-219.58600000000001</v>
      </c>
      <c r="Q114" s="8">
        <v>-486.70800000000003</v>
      </c>
      <c r="R114" s="8">
        <v>-270.55200000000002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5">
      <c r="A115" s="2"/>
      <c r="B115" s="1" t="s">
        <v>169</v>
      </c>
      <c r="C115" s="8"/>
      <c r="D115" s="8"/>
      <c r="E115" s="8"/>
      <c r="F115" s="8"/>
      <c r="G115" s="8"/>
      <c r="H115" s="8"/>
      <c r="I115" s="8"/>
      <c r="J115" s="8"/>
      <c r="K115" s="8"/>
      <c r="L115" s="26">
        <f t="shared" ref="L115:Q115" si="55">+SUM(L99:L106)+SUM(L112:L114)</f>
        <v>302.52399999999989</v>
      </c>
      <c r="M115" s="26">
        <f t="shared" si="55"/>
        <v>234.76</v>
      </c>
      <c r="N115" s="26">
        <f t="shared" si="55"/>
        <v>-51.811999999999856</v>
      </c>
      <c r="O115" s="26">
        <f t="shared" si="55"/>
        <v>1143.5280000000002</v>
      </c>
      <c r="P115" s="26">
        <f t="shared" si="55"/>
        <v>1123.7070000000006</v>
      </c>
      <c r="Q115" s="26">
        <f t="shared" si="55"/>
        <v>1155.2810000000004</v>
      </c>
      <c r="R115" s="26">
        <f>+SUM(R99:R106)+SUM(R112:R114)</f>
        <v>1651.6070000000004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5">
      <c r="A116" s="2"/>
      <c r="B116" s="2" t="s">
        <v>171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>
        <v>-219.62799999999999</v>
      </c>
      <c r="P116" s="8">
        <v>-241.495</v>
      </c>
      <c r="Q116" s="8">
        <v>-759.67600000000004</v>
      </c>
      <c r="R116" s="8">
        <v>-459.57499999999999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5">
      <c r="A117" s="2"/>
      <c r="B117" s="2" t="s">
        <v>172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>
        <v>0.36399999999999999</v>
      </c>
      <c r="P117" s="8">
        <v>0</v>
      </c>
      <c r="Q117" s="8">
        <v>4.5339999999999998</v>
      </c>
      <c r="R117" s="8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5">
      <c r="A118" s="2"/>
      <c r="B118" s="2" t="s">
        <v>173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>
        <f>20+76.464</f>
        <v>96.463999999999999</v>
      </c>
      <c r="P118" s="8">
        <f>18-5</f>
        <v>13</v>
      </c>
      <c r="Q118" s="8">
        <v>0</v>
      </c>
      <c r="R118" s="8">
        <v>2.9630000000000001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5">
      <c r="A119" s="2"/>
      <c r="B119" s="2" t="s">
        <v>175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>
        <v>0.10299999999999999</v>
      </c>
      <c r="P119" s="8">
        <v>0.47299999999999998</v>
      </c>
      <c r="Q119" s="8">
        <v>0.627</v>
      </c>
      <c r="R119" s="8">
        <v>0.111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5">
      <c r="A120" s="2"/>
      <c r="B120" s="2" t="s">
        <v>174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>
        <v>0</v>
      </c>
      <c r="P120" s="8">
        <v>0</v>
      </c>
      <c r="Q120" s="8">
        <v>-4.6760000000000002</v>
      </c>
      <c r="R120" s="8">
        <v>-1.363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5">
      <c r="A121" s="2"/>
      <c r="B121" s="2" t="s">
        <v>176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>
        <f>-7.827-6.741</f>
        <v>-14.568</v>
      </c>
      <c r="P121" s="8">
        <f>-19.549-2.6338</f>
        <v>-22.1828</v>
      </c>
      <c r="Q121" s="8">
        <v>0</v>
      </c>
      <c r="R121" s="8">
        <v>-4.5890000000000004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5">
      <c r="A122" s="2"/>
      <c r="B122" s="1" t="s">
        <v>170</v>
      </c>
      <c r="C122" s="8"/>
      <c r="D122" s="8"/>
      <c r="E122" s="8"/>
      <c r="F122" s="8"/>
      <c r="G122" s="8"/>
      <c r="H122" s="8"/>
      <c r="I122" s="8"/>
      <c r="J122" s="8"/>
      <c r="K122" s="8"/>
      <c r="L122" s="26">
        <f t="shared" ref="L122:Q122" si="56">+SUM(L116:L121)</f>
        <v>0</v>
      </c>
      <c r="M122" s="26">
        <f t="shared" si="56"/>
        <v>0</v>
      </c>
      <c r="N122" s="26">
        <f t="shared" si="56"/>
        <v>0</v>
      </c>
      <c r="O122" s="26">
        <f t="shared" si="56"/>
        <v>-137.26499999999999</v>
      </c>
      <c r="P122" s="26">
        <f t="shared" si="56"/>
        <v>-250.20479999999998</v>
      </c>
      <c r="Q122" s="26">
        <f t="shared" si="56"/>
        <v>-759.19100000000014</v>
      </c>
      <c r="R122" s="26">
        <f>+SUM(R116:R121)</f>
        <v>-462.45299999999997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5">
      <c r="A123" s="2"/>
      <c r="B123" s="2" t="s">
        <v>177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>
        <v>-89.558999999999997</v>
      </c>
      <c r="P123" s="8">
        <v>-179.11799999999999</v>
      </c>
      <c r="Q123" s="8">
        <v>-281.471</v>
      </c>
      <c r="R123" s="8">
        <v>-350.55900000000003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5">
      <c r="A124" s="2"/>
      <c r="B124" s="2" t="s">
        <v>178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>
        <v>-1.6739999999999999</v>
      </c>
      <c r="P124" s="8">
        <v>-0.59899999999999998</v>
      </c>
      <c r="Q124" s="8">
        <v>-0.25</v>
      </c>
      <c r="R124" s="8">
        <v>-0.25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5">
      <c r="A125" s="2"/>
      <c r="B125" s="2" t="s">
        <v>187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>
        <v>-392.80500000000001</v>
      </c>
      <c r="P125" s="8">
        <v>-428.17</v>
      </c>
      <c r="Q125" s="8">
        <v>-429.685</v>
      </c>
      <c r="R125" s="8">
        <v>-438.83300000000003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5">
      <c r="A126" s="2"/>
      <c r="B126" s="2" t="s">
        <v>179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>
        <v>-217.27699999999999</v>
      </c>
      <c r="P126" s="8">
        <v>-187.12799999999999</v>
      </c>
      <c r="Q126" s="8">
        <v>-94.784000000000006</v>
      </c>
      <c r="R126" s="8">
        <v>-83.772999999999996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5">
      <c r="A127" s="2"/>
      <c r="B127" s="2" t="s">
        <v>180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>
        <v>240</v>
      </c>
      <c r="P127" s="8">
        <v>0</v>
      </c>
      <c r="Q127" s="8">
        <v>25.475000000000001</v>
      </c>
      <c r="R127" s="8">
        <v>27.994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5">
      <c r="A128" s="2"/>
      <c r="B128" s="2" t="s">
        <v>181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>
        <v>-33.411999999999999</v>
      </c>
      <c r="P128" s="8">
        <v>9.8369999999999997</v>
      </c>
      <c r="Q128" s="8">
        <v>4.4359999999999999</v>
      </c>
      <c r="R128" s="8">
        <v>-30.048999999999999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5">
      <c r="A129" s="2"/>
      <c r="B129" s="2" t="s">
        <v>54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>
        <v>0</v>
      </c>
      <c r="P129" s="8">
        <v>-2.2000000000000002</v>
      </c>
      <c r="Q129" s="8">
        <f>2.56+2.5-4.509</f>
        <v>0.55100000000000016</v>
      </c>
      <c r="R129" s="8">
        <v>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5">
      <c r="A130" s="2"/>
      <c r="B130" s="1" t="s">
        <v>182</v>
      </c>
      <c r="C130" s="8"/>
      <c r="D130" s="8"/>
      <c r="E130" s="8"/>
      <c r="F130" s="8"/>
      <c r="G130" s="8"/>
      <c r="H130" s="8"/>
      <c r="I130" s="8"/>
      <c r="J130" s="8"/>
      <c r="K130" s="8"/>
      <c r="L130" s="26">
        <f t="shared" ref="L130:Q130" si="57">+SUM(L123:L129)</f>
        <v>0</v>
      </c>
      <c r="M130" s="26">
        <f t="shared" si="57"/>
        <v>0</v>
      </c>
      <c r="N130" s="26">
        <f t="shared" si="57"/>
        <v>0</v>
      </c>
      <c r="O130" s="26">
        <f t="shared" si="57"/>
        <v>-494.72700000000003</v>
      </c>
      <c r="P130" s="26">
        <f t="shared" si="57"/>
        <v>-787.37799999999993</v>
      </c>
      <c r="Q130" s="26">
        <f t="shared" si="57"/>
        <v>-775.72799999999984</v>
      </c>
      <c r="R130" s="26">
        <f>+SUM(R123:R129)</f>
        <v>-875.47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5">
      <c r="A131" s="2"/>
      <c r="B131" s="2" t="s">
        <v>183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>
        <v>27.858000000000001</v>
      </c>
      <c r="P131" s="8">
        <v>23.725999999999999</v>
      </c>
      <c r="Q131" s="8">
        <v>-22.481000000000002</v>
      </c>
      <c r="R131" s="8">
        <v>8.3249999999999993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5">
      <c r="A132" s="2"/>
      <c r="B132" s="2" t="s">
        <v>184</v>
      </c>
      <c r="C132" s="8"/>
      <c r="D132" s="8"/>
      <c r="E132" s="8"/>
      <c r="F132" s="8"/>
      <c r="G132" s="8"/>
      <c r="H132" s="8"/>
      <c r="I132" s="8"/>
      <c r="J132" s="8"/>
      <c r="K132" s="8"/>
      <c r="L132" s="8">
        <f t="shared" ref="L132:P132" si="58">+L131+L130+L122+L115</f>
        <v>302.52399999999989</v>
      </c>
      <c r="M132" s="8">
        <f t="shared" si="58"/>
        <v>234.76</v>
      </c>
      <c r="N132" s="8">
        <f t="shared" si="58"/>
        <v>-51.811999999999856</v>
      </c>
      <c r="O132" s="8">
        <f t="shared" si="58"/>
        <v>539.39400000000023</v>
      </c>
      <c r="P132" s="8">
        <f t="shared" si="58"/>
        <v>109.85020000000065</v>
      </c>
      <c r="Q132" s="8">
        <f>+Q131+Q130+Q122+Q115</f>
        <v>-402.11899999999969</v>
      </c>
      <c r="R132" s="8">
        <f>+R131+R130+R122+R115</f>
        <v>322.00900000000047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5">
      <c r="A133" s="2"/>
      <c r="B133" s="2" t="s">
        <v>185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>
        <f>+O134-O132</f>
        <v>442.37779999999896</v>
      </c>
      <c r="P133" s="8">
        <f>+P134-P132</f>
        <v>981.77179999999919</v>
      </c>
      <c r="Q133" s="8">
        <f>+Q134-Q132</f>
        <v>1091.6219999999998</v>
      </c>
      <c r="R133" s="8">
        <v>689.50300000000004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5">
      <c r="A134" s="2"/>
      <c r="B134" s="2" t="s">
        <v>186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>
        <f>+P133</f>
        <v>981.77179999999919</v>
      </c>
      <c r="P134" s="8">
        <f>+Q133</f>
        <v>1091.6219999999998</v>
      </c>
      <c r="Q134" s="8">
        <f>+R133</f>
        <v>689.50300000000004</v>
      </c>
      <c r="R134" s="8">
        <f>+R132+R133</f>
        <v>1011.5120000000005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5">
      <c r="A135" s="2"/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5">
      <c r="A136" s="2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5">
      <c r="A137" s="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5">
      <c r="A138" s="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5">
      <c r="A139" s="2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5">
      <c r="A140" s="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5">
      <c r="A141" s="2"/>
      <c r="B141" s="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5">
      <c r="A142" s="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5">
      <c r="A143" s="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5">
      <c r="A144" s="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5">
      <c r="A145" s="2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5">
      <c r="A146" s="2"/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5">
      <c r="A147" s="2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5">
      <c r="A148" s="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5">
      <c r="A149" s="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5">
      <c r="A150" s="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5">
      <c r="A151" s="2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5">
      <c r="A152" s="2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5">
      <c r="A153" s="2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5">
      <c r="A154" s="2"/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5">
      <c r="A155" s="2"/>
      <c r="B155" s="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5">
      <c r="A156" s="2"/>
      <c r="B156" s="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5">
      <c r="A157" s="2"/>
      <c r="B157" s="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5">
      <c r="A158" s="2"/>
      <c r="B158" s="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5">
      <c r="A159" s="2"/>
      <c r="B159" s="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5">
      <c r="A160" s="2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5">
      <c r="A161" s="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5">
      <c r="A162" s="2"/>
      <c r="B162" s="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5">
      <c r="A163" s="2"/>
      <c r="B163" s="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5">
      <c r="A164" s="2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5">
      <c r="A165" s="2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5">
      <c r="A166" s="2"/>
      <c r="B166" s="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5">
      <c r="A167" s="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5">
      <c r="A168" s="2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5">
      <c r="A169" s="2"/>
      <c r="B169" s="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5">
      <c r="A170" s="2"/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5">
      <c r="A171" s="2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5">
      <c r="A172" s="2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5">
      <c r="A173" s="2"/>
      <c r="B173" s="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5">
      <c r="A174" s="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5">
      <c r="A175" s="2"/>
      <c r="B175" s="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5">
      <c r="A176" s="2"/>
      <c r="B176" s="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5">
      <c r="A177" s="2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5">
      <c r="A178" s="2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5">
      <c r="A179" s="2"/>
      <c r="B179" s="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5">
      <c r="A180" s="2"/>
      <c r="B180" s="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5">
      <c r="A181" s="2"/>
      <c r="B181" s="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5">
      <c r="A182" s="2"/>
      <c r="B182" s="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5">
      <c r="A183" s="2"/>
      <c r="B183" s="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5">
      <c r="A184" s="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5">
      <c r="A185" s="2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5">
      <c r="A186" s="2"/>
      <c r="B186" s="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5">
      <c r="A187" s="2"/>
      <c r="B187" s="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5">
      <c r="A188" s="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5">
      <c r="A189" s="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5">
      <c r="A190" s="2"/>
      <c r="B190" s="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5">
      <c r="A191" s="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5">
      <c r="A192" s="2"/>
      <c r="B192" s="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5">
      <c r="A193" s="2"/>
      <c r="B193" s="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5">
      <c r="A194" s="2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5">
      <c r="A195" s="2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5">
      <c r="A196" s="2"/>
      <c r="B196" s="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5">
      <c r="A197" s="2"/>
      <c r="B197" s="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5">
      <c r="A198" s="2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5">
      <c r="A199" s="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5">
      <c r="A200" s="2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5">
      <c r="A201" s="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5">
      <c r="A202" s="2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5">
      <c r="A203" s="2"/>
      <c r="B203" s="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5">
      <c r="A204" s="2"/>
      <c r="B204" s="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5">
      <c r="A205" s="2"/>
      <c r="B205" s="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5">
      <c r="A206" s="2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5">
      <c r="A207" s="2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5">
      <c r="A208" s="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5">
      <c r="A209" s="2"/>
      <c r="B209" s="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5">
      <c r="A210" s="2"/>
      <c r="B210" s="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5">
      <c r="A211" s="2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5">
      <c r="A212" s="2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5">
      <c r="A213" s="2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5">
      <c r="A214" s="2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5">
      <c r="A215" s="2"/>
      <c r="B215" s="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5">
      <c r="A216" s="2"/>
      <c r="B216" s="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5">
      <c r="A217" s="2"/>
      <c r="B217" s="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5">
      <c r="A218" s="2"/>
      <c r="B218" s="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5">
      <c r="A219" s="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5">
      <c r="A220" s="2"/>
      <c r="B220" s="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5">
      <c r="A221" s="2"/>
      <c r="B221" s="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5">
      <c r="A222" s="2"/>
      <c r="B222" s="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5">
      <c r="A223" s="2"/>
      <c r="B223" s="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5">
      <c r="A224" s="2"/>
      <c r="B224" s="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5">
      <c r="A225" s="2"/>
      <c r="B225" s="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5">
      <c r="A226" s="2"/>
      <c r="B226" s="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5">
      <c r="A227" s="2"/>
      <c r="B227" s="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5">
      <c r="A228" s="2"/>
      <c r="B228" s="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5">
      <c r="A229" s="2"/>
      <c r="B229" s="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5">
      <c r="A230" s="2"/>
      <c r="B230" s="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5">
      <c r="A231" s="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5">
      <c r="A232" s="2"/>
      <c r="B232" s="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5">
      <c r="A233" s="2"/>
      <c r="B233" s="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5">
      <c r="A234" s="2"/>
      <c r="B234" s="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5">
      <c r="A235" s="2"/>
      <c r="B235" s="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5">
      <c r="A236" s="2"/>
      <c r="B236" s="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5">
      <c r="A237" s="2"/>
      <c r="B237" s="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5">
      <c r="A238" s="2"/>
      <c r="B238" s="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5">
      <c r="A239" s="2"/>
      <c r="B239" s="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5">
      <c r="A240" s="2"/>
      <c r="B240" s="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5">
      <c r="A241" s="2"/>
      <c r="B241" s="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5">
      <c r="A242" s="2"/>
      <c r="B242" s="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5"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1:33" x14ac:dyDescent="0.25"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1:33" x14ac:dyDescent="0.25"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1:33" x14ac:dyDescent="0.25"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</sheetData>
  <hyperlinks>
    <hyperlink ref="A1" location="Main!A1" display="Main" xr:uid="{13BDCB75-3B35-4B4F-91D5-46627F3865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0C4-2549-4485-915C-68CE817F10AB}">
  <dimension ref="A1:L113"/>
  <sheetViews>
    <sheetView zoomScale="200" zoomScaleNormal="200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32.42578125" style="2" bestFit="1" customWidth="1"/>
    <col min="3" max="16384" width="9.140625" style="2"/>
  </cols>
  <sheetData>
    <row r="1" spans="1:12" x14ac:dyDescent="0.2">
      <c r="A1" s="7" t="s">
        <v>6</v>
      </c>
    </row>
    <row r="2" spans="1:12" x14ac:dyDescent="0.2">
      <c r="B2" s="32" t="s">
        <v>188</v>
      </c>
      <c r="C2" s="33">
        <v>18</v>
      </c>
      <c r="D2" s="33">
        <f>+C2+1</f>
        <v>19</v>
      </c>
      <c r="E2" s="33">
        <f t="shared" ref="E2:J2" si="0">+D2+1</f>
        <v>20</v>
      </c>
      <c r="F2" s="33">
        <f t="shared" si="0"/>
        <v>21</v>
      </c>
      <c r="G2" s="33">
        <f t="shared" si="0"/>
        <v>22</v>
      </c>
      <c r="H2" s="33">
        <f t="shared" si="0"/>
        <v>23</v>
      </c>
      <c r="I2" s="33">
        <f t="shared" si="0"/>
        <v>24</v>
      </c>
      <c r="J2" s="33">
        <f t="shared" si="0"/>
        <v>25</v>
      </c>
      <c r="K2" s="34"/>
    </row>
    <row r="3" spans="1:12" x14ac:dyDescent="0.2">
      <c r="B3" s="2" t="s">
        <v>120</v>
      </c>
      <c r="C3" s="4">
        <v>27.75</v>
      </c>
      <c r="D3" s="4">
        <v>25.25</v>
      </c>
      <c r="E3" s="4">
        <v>31.85</v>
      </c>
      <c r="F3" s="4">
        <v>49.7</v>
      </c>
      <c r="G3" s="4">
        <v>48.25</v>
      </c>
      <c r="H3" s="4">
        <v>45.5</v>
      </c>
      <c r="I3" s="4">
        <v>44.05</v>
      </c>
      <c r="J3" s="4"/>
      <c r="K3" s="4"/>
    </row>
    <row r="4" spans="1:12" x14ac:dyDescent="0.2">
      <c r="B4" s="2" t="s">
        <v>119</v>
      </c>
      <c r="C4" s="4">
        <f>+C3*Main!$H$10</f>
        <v>3.33</v>
      </c>
      <c r="D4" s="4">
        <f>+D3*Main!$H$10</f>
        <v>3.03</v>
      </c>
      <c r="E4" s="4">
        <f>+E3*Main!$H$10</f>
        <v>3.8220000000000001</v>
      </c>
      <c r="F4" s="4">
        <f>+F3*Main!$H$10</f>
        <v>5.9640000000000004</v>
      </c>
      <c r="G4" s="4">
        <f>+G3*Main!$H$10</f>
        <v>5.79</v>
      </c>
      <c r="H4" s="4">
        <f>+H3*Main!$H$10</f>
        <v>5.46</v>
      </c>
      <c r="I4" s="4">
        <f>+I3*Main!$H$10</f>
        <v>5.2859999999999996</v>
      </c>
      <c r="J4" s="4"/>
      <c r="K4" s="4"/>
    </row>
    <row r="5" spans="1:12" x14ac:dyDescent="0.2">
      <c r="B5" s="2" t="s">
        <v>189</v>
      </c>
      <c r="C5" s="4">
        <f>+Model!L40</f>
        <v>2558.8240000000001</v>
      </c>
      <c r="D5" s="4">
        <f>+Model!M40</f>
        <v>2558.8240000000001</v>
      </c>
      <c r="E5" s="4">
        <f>+Model!N40</f>
        <v>2558.8240000000001</v>
      </c>
      <c r="F5" s="4">
        <f>+Model!O40</f>
        <v>2558.8240000000001</v>
      </c>
      <c r="G5" s="4">
        <f>+Model!P40</f>
        <v>2558.8240000000001</v>
      </c>
      <c r="H5" s="4">
        <f>+Model!Q40</f>
        <v>2558.8240000000001</v>
      </c>
      <c r="I5" s="4">
        <f>+Model!R40</f>
        <v>2558.8240000000001</v>
      </c>
      <c r="J5" s="4"/>
      <c r="K5" s="4"/>
    </row>
    <row r="6" spans="1:12" x14ac:dyDescent="0.2">
      <c r="B6" s="2" t="s">
        <v>190</v>
      </c>
      <c r="C6" s="4">
        <f>+C4*C5</f>
        <v>8520.8839200000002</v>
      </c>
      <c r="D6" s="4">
        <f t="shared" ref="D6:J6" si="1">+D4*D5</f>
        <v>7753.2367199999999</v>
      </c>
      <c r="E6" s="4">
        <f t="shared" si="1"/>
        <v>9779.8253280000008</v>
      </c>
      <c r="F6" s="4">
        <f t="shared" si="1"/>
        <v>15260.826336000002</v>
      </c>
      <c r="G6" s="4">
        <f t="shared" si="1"/>
        <v>14815.590960000001</v>
      </c>
      <c r="H6" s="4">
        <f t="shared" si="1"/>
        <v>13971.179040000001</v>
      </c>
      <c r="I6" s="4">
        <f t="shared" si="1"/>
        <v>13525.943663999999</v>
      </c>
      <c r="J6" s="4">
        <f t="shared" si="1"/>
        <v>0</v>
      </c>
      <c r="K6" s="4"/>
    </row>
    <row r="7" spans="1:12" x14ac:dyDescent="0.2">
      <c r="B7" s="2" t="s">
        <v>191</v>
      </c>
      <c r="C7" s="4"/>
      <c r="D7" s="4"/>
      <c r="E7" s="4"/>
      <c r="F7" s="4">
        <f>+Model!O80+Model!O88-Model!O62</f>
        <v>-239.88199999999995</v>
      </c>
      <c r="G7" s="4">
        <f>+Model!P80+Model!P88-Model!P62</f>
        <v>-535.11900000000003</v>
      </c>
      <c r="H7" s="4">
        <f>+Model!Q80+Model!Q88-Model!Q62</f>
        <v>-202.75900000000001</v>
      </c>
      <c r="I7" s="4">
        <f>+Model!R80+Model!R88-Model!R62</f>
        <v>-607.375</v>
      </c>
      <c r="J7" s="4"/>
      <c r="K7" s="4"/>
    </row>
    <row r="8" spans="1:12" x14ac:dyDescent="0.2">
      <c r="B8" s="2" t="s">
        <v>5</v>
      </c>
      <c r="C8" s="4"/>
      <c r="D8" s="4"/>
      <c r="E8" s="4"/>
      <c r="F8" s="4">
        <f t="shared" ref="F8:H8" si="2">+F6+F7</f>
        <v>15020.944336000002</v>
      </c>
      <c r="G8" s="4">
        <f t="shared" si="2"/>
        <v>14280.471960000001</v>
      </c>
      <c r="H8" s="4">
        <f t="shared" si="2"/>
        <v>13768.420040000001</v>
      </c>
      <c r="I8" s="4">
        <f>+I6+I7</f>
        <v>12918.568663999999</v>
      </c>
      <c r="J8" s="4"/>
      <c r="K8" s="4"/>
    </row>
    <row r="9" spans="1:12" x14ac:dyDescent="0.2">
      <c r="C9" s="4"/>
      <c r="D9" s="4"/>
      <c r="E9" s="4"/>
      <c r="F9" s="4"/>
      <c r="G9" s="4"/>
      <c r="H9" s="4"/>
      <c r="I9" s="4"/>
      <c r="J9" s="4"/>
      <c r="K9" s="4"/>
    </row>
    <row r="10" spans="1:12" x14ac:dyDescent="0.2">
      <c r="A10" s="35" t="s">
        <v>192</v>
      </c>
      <c r="B10" s="6" t="s">
        <v>193</v>
      </c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2">
      <c r="B11" s="2" t="s">
        <v>194</v>
      </c>
      <c r="C11" s="4"/>
      <c r="D11" s="4"/>
      <c r="E11" s="4"/>
      <c r="F11" s="4">
        <f>+Model!O77+SUM(Model!O63:O67)-Model!O82-Model!O81</f>
        <v>5578.7020000000002</v>
      </c>
      <c r="G11" s="4">
        <f>+Model!P77+SUM(Model!P63:P67)-Model!P82-Model!P81</f>
        <v>5880.5889999999999</v>
      </c>
      <c r="H11" s="4">
        <f>+Model!Q77+SUM(Model!Q63:Q67)-Model!Q82-Model!Q81</f>
        <v>6466.2869999999994</v>
      </c>
      <c r="I11" s="4">
        <f>+Model!R77+SUM(Model!R63:R67)-Model!R82-Model!R81</f>
        <v>7048.5019999999995</v>
      </c>
      <c r="J11" s="4"/>
      <c r="L11" s="36" t="s">
        <v>195</v>
      </c>
    </row>
    <row r="12" spans="1:12" x14ac:dyDescent="0.2">
      <c r="B12" s="2" t="s">
        <v>196</v>
      </c>
      <c r="C12" s="4"/>
      <c r="D12" s="4"/>
      <c r="E12" s="4"/>
      <c r="F12" s="4">
        <f>+SUM(Model!O63:O67)+Model!O69+Model!O70-SUM(Model!O81:O85)</f>
        <v>2829.8939999999998</v>
      </c>
      <c r="G12" s="4">
        <f>+SUM(Model!P63:P67)+Model!P69+Model!P70-SUM(Model!P81:P85)</f>
        <v>2791.1849999999995</v>
      </c>
      <c r="H12" s="4">
        <f>+SUM(Model!Q63:Q67)+Model!Q69+Model!Q70-SUM(Model!Q81:Q85)</f>
        <v>3461.375</v>
      </c>
      <c r="I12" s="4">
        <f>+SUM(Model!R63:R67)+Model!R69+Model!R70-SUM(Model!R81:R85)</f>
        <v>3604.7499999999995</v>
      </c>
      <c r="J12" s="4"/>
      <c r="L12" s="36" t="s">
        <v>197</v>
      </c>
    </row>
    <row r="13" spans="1:12" x14ac:dyDescent="0.2">
      <c r="B13" s="2" t="s">
        <v>198</v>
      </c>
      <c r="C13" s="4"/>
      <c r="D13" s="4"/>
      <c r="E13" s="4"/>
      <c r="F13" s="4">
        <f>+SUM(Model!O63:O67)+Model!O69-SUM(Model!O81:O85)</f>
        <v>2000.489</v>
      </c>
      <c r="G13" s="4">
        <f>+SUM(Model!P63:P67)+Model!P69-SUM(Model!P81:P85)</f>
        <v>1973.376</v>
      </c>
      <c r="H13" s="4">
        <f>+SUM(Model!Q63:Q67)+Model!Q69-SUM(Model!Q81:Q85)</f>
        <v>2615.3509999999997</v>
      </c>
      <c r="I13" s="4">
        <f>+SUM(Model!R63:R67)+Model!R69-SUM(Model!R81:R85)</f>
        <v>2736.83</v>
      </c>
      <c r="J13" s="4"/>
      <c r="L13" s="36"/>
    </row>
    <row r="14" spans="1:12" x14ac:dyDescent="0.2">
      <c r="B14" s="2" t="s">
        <v>199</v>
      </c>
      <c r="C14" s="4"/>
      <c r="D14" s="4"/>
      <c r="E14" s="4"/>
      <c r="F14" s="4">
        <f>+F13+Model!O62+SUM(Model!O71:O76)</f>
        <v>5377.1930000000002</v>
      </c>
      <c r="G14" s="4">
        <f>+G13+Model!P62+SUM(Model!P71:P76)</f>
        <v>5622.875</v>
      </c>
      <c r="H14" s="4">
        <f>+H13+Model!Q62+SUM(Model!Q71:Q76)</f>
        <v>5878.2729999999992</v>
      </c>
      <c r="I14" s="4">
        <f>+I13+Model!R62+SUM(Model!R71:R76)</f>
        <v>6615.9689999999991</v>
      </c>
      <c r="J14" s="4"/>
      <c r="L14" s="36" t="s">
        <v>200</v>
      </c>
    </row>
    <row r="15" spans="1:12" x14ac:dyDescent="0.2">
      <c r="B15" s="2" t="s">
        <v>201</v>
      </c>
      <c r="C15" s="4"/>
      <c r="D15" s="4">
        <f>+Model!M30*(1-Model!M59)</f>
        <v>336.78783010734367</v>
      </c>
      <c r="E15" s="4">
        <f>+Model!N30*(1-Model!N59)</f>
        <v>21.050653284953452</v>
      </c>
      <c r="F15" s="4">
        <f>+Model!O30*(1-Model!O59)</f>
        <v>342.57437206246857</v>
      </c>
      <c r="G15" s="4">
        <f>+Model!P30*(1-Model!P59)</f>
        <v>557.71095506874406</v>
      </c>
      <c r="H15" s="4">
        <f>+Model!Q30*(1-Model!Q59)</f>
        <v>735.93631385240656</v>
      </c>
      <c r="I15" s="4">
        <f>+Model!R30*(1-Model!R59)</f>
        <v>907.8418353140305</v>
      </c>
      <c r="J15" s="4"/>
      <c r="L15" s="2" t="s">
        <v>202</v>
      </c>
    </row>
    <row r="16" spans="1:12" x14ac:dyDescent="0.2">
      <c r="B16" s="2" t="s">
        <v>203</v>
      </c>
      <c r="C16" s="4"/>
      <c r="D16" s="4"/>
      <c r="E16" s="4"/>
      <c r="F16" s="4"/>
      <c r="G16" s="4">
        <f t="shared" ref="G16:H16" si="3">+G12-F12</f>
        <v>-38.709000000000287</v>
      </c>
      <c r="H16" s="4">
        <f t="shared" si="3"/>
        <v>670.19000000000051</v>
      </c>
      <c r="I16" s="4">
        <f>+I12-H12</f>
        <v>143.37499999999955</v>
      </c>
      <c r="J16" s="4"/>
      <c r="L16" s="36" t="s">
        <v>204</v>
      </c>
    </row>
    <row r="17" spans="1:12" x14ac:dyDescent="0.2">
      <c r="B17" s="2" t="s">
        <v>205</v>
      </c>
      <c r="C17" s="4"/>
      <c r="D17" s="4"/>
      <c r="E17" s="4"/>
      <c r="F17" s="4"/>
      <c r="G17" s="4">
        <f t="shared" ref="G17:H17" si="4">+G15-G16</f>
        <v>596.41995506874434</v>
      </c>
      <c r="H17" s="4">
        <f t="shared" si="4"/>
        <v>65.746313852406047</v>
      </c>
      <c r="I17" s="4">
        <f>+I15-I16</f>
        <v>764.46683531403096</v>
      </c>
      <c r="J17" s="4"/>
      <c r="L17" s="36" t="s">
        <v>206</v>
      </c>
    </row>
    <row r="18" spans="1:12" x14ac:dyDescent="0.2">
      <c r="B18" s="2" t="s">
        <v>207</v>
      </c>
      <c r="C18" s="4"/>
      <c r="D18" s="4"/>
      <c r="E18" s="4"/>
      <c r="F18" s="4"/>
      <c r="G18" s="28">
        <f t="shared" ref="G18:H18" si="5">+G16/G15</f>
        <v>-6.9406920642663322E-2</v>
      </c>
      <c r="H18" s="28">
        <f t="shared" si="5"/>
        <v>0.91066303888682465</v>
      </c>
      <c r="I18" s="28">
        <f>+I16/I15</f>
        <v>0.15792949214595831</v>
      </c>
      <c r="J18" s="4"/>
      <c r="L18" s="36" t="s">
        <v>208</v>
      </c>
    </row>
    <row r="19" spans="1:12" x14ac:dyDescent="0.2">
      <c r="B19" s="2" t="s">
        <v>209</v>
      </c>
      <c r="C19" s="4"/>
      <c r="D19" s="4"/>
      <c r="E19" s="4"/>
      <c r="F19" s="4"/>
      <c r="G19" s="4"/>
      <c r="H19" s="4"/>
      <c r="I19" s="4"/>
      <c r="J19" s="4"/>
      <c r="L19" s="36" t="s">
        <v>210</v>
      </c>
    </row>
    <row r="20" spans="1:12" x14ac:dyDescent="0.2">
      <c r="C20" s="4"/>
      <c r="D20" s="4"/>
      <c r="E20" s="4"/>
      <c r="F20" s="4"/>
      <c r="G20" s="4"/>
      <c r="H20" s="4"/>
      <c r="I20" s="4"/>
      <c r="J20" s="4"/>
    </row>
    <row r="21" spans="1:12" x14ac:dyDescent="0.2">
      <c r="A21" s="35" t="s">
        <v>192</v>
      </c>
      <c r="B21" s="6" t="s">
        <v>211</v>
      </c>
      <c r="C21" s="4"/>
      <c r="D21" s="4"/>
      <c r="E21" s="4"/>
      <c r="F21" s="4"/>
      <c r="G21" s="4"/>
      <c r="H21" s="4"/>
      <c r="I21" s="4"/>
      <c r="J21" s="4"/>
    </row>
    <row r="22" spans="1:12" x14ac:dyDescent="0.2">
      <c r="B22" s="2" t="s">
        <v>212</v>
      </c>
      <c r="C22" s="8" t="e">
        <f>+Model!L23/Model!L96</f>
        <v>#DIV/0!</v>
      </c>
      <c r="D22" s="8" t="e">
        <f>+Model!M23/Model!M96</f>
        <v>#DIV/0!</v>
      </c>
      <c r="E22" s="8" t="e">
        <f>+Model!N23/Model!N96</f>
        <v>#DIV/0!</v>
      </c>
      <c r="F22" s="8">
        <f>+Model!O23/Model!O96</f>
        <v>1.0757593627652628</v>
      </c>
      <c r="G22" s="8">
        <f>+Model!P23/Model!P96</f>
        <v>1.1998422175010612</v>
      </c>
      <c r="H22" s="8">
        <f>+Model!Q23/Model!Q96</f>
        <v>1.2191498214124039</v>
      </c>
      <c r="I22" s="8">
        <f>+Model!R23/Model!R96</f>
        <v>1.2290175429863126</v>
      </c>
      <c r="J22" s="4"/>
      <c r="L22" s="36" t="s">
        <v>363</v>
      </c>
    </row>
    <row r="23" spans="1:12" x14ac:dyDescent="0.2">
      <c r="B23" s="2" t="s">
        <v>213</v>
      </c>
      <c r="C23" s="4"/>
      <c r="D23" s="4"/>
      <c r="E23" s="28" t="e">
        <f>+Model!N37/Model!N96</f>
        <v>#DIV/0!</v>
      </c>
      <c r="F23" s="28">
        <f>+Model!O37/Model!O96</f>
        <v>9.405163836206315E-2</v>
      </c>
      <c r="G23" s="28">
        <f>+Model!P37/Model!P96</f>
        <v>0.13287348665618223</v>
      </c>
      <c r="H23" s="28">
        <f>+Model!Q37/Model!Q96</f>
        <v>0.17308719619666596</v>
      </c>
      <c r="I23" s="28">
        <f>+Model!R37/Model!R96</f>
        <v>0.18982244316574765</v>
      </c>
      <c r="J23" s="4"/>
      <c r="L23" s="36" t="s">
        <v>214</v>
      </c>
    </row>
    <row r="24" spans="1:12" x14ac:dyDescent="0.2">
      <c r="B24" s="2" t="s">
        <v>215</v>
      </c>
      <c r="C24" s="28" t="e">
        <f>+Model!L30/Ratios!C11</f>
        <v>#DIV/0!</v>
      </c>
      <c r="D24" s="28" t="e">
        <f>+Model!M30/Ratios!D11</f>
        <v>#DIV/0!</v>
      </c>
      <c r="E24" s="28" t="e">
        <f>+Model!N30/Ratios!E11</f>
        <v>#DIV/0!</v>
      </c>
      <c r="F24" s="28">
        <f>+Model!O30/Ratios!F11</f>
        <v>8.7741557086218322E-2</v>
      </c>
      <c r="G24" s="28">
        <f>+Model!P30/Ratios!G11</f>
        <v>0.14372301822147415</v>
      </c>
      <c r="H24" s="28">
        <f>+Model!Q30/Ratios!H11</f>
        <v>0.16418881500310775</v>
      </c>
      <c r="I24" s="28">
        <f>+Model!R30/Ratios!I11</f>
        <v>0.18153502687521408</v>
      </c>
      <c r="J24" s="4"/>
      <c r="L24" s="36" t="s">
        <v>216</v>
      </c>
    </row>
    <row r="25" spans="1:12" x14ac:dyDescent="0.2">
      <c r="B25" s="2" t="s">
        <v>217</v>
      </c>
      <c r="C25" s="4"/>
      <c r="D25" s="4"/>
      <c r="E25" s="4"/>
      <c r="F25" s="28">
        <f t="shared" ref="F25:H25" si="6">+F15/F12</f>
        <v>0.12105554909917778</v>
      </c>
      <c r="G25" s="28">
        <f t="shared" si="6"/>
        <v>0.19981153347726652</v>
      </c>
      <c r="H25" s="28">
        <f t="shared" si="6"/>
        <v>0.21261386410094443</v>
      </c>
      <c r="I25" s="28">
        <f>+I15/I12</f>
        <v>0.25184599079382219</v>
      </c>
      <c r="J25" s="4"/>
      <c r="L25" s="36" t="s">
        <v>218</v>
      </c>
    </row>
    <row r="26" spans="1:12" x14ac:dyDescent="0.2">
      <c r="B26" s="2" t="s">
        <v>219</v>
      </c>
      <c r="C26" s="4"/>
      <c r="D26" s="4"/>
      <c r="E26" s="4"/>
      <c r="F26" s="4"/>
      <c r="G26" s="4"/>
      <c r="H26" s="4"/>
      <c r="I26" s="4"/>
      <c r="J26" s="4"/>
      <c r="L26" s="36" t="s">
        <v>220</v>
      </c>
    </row>
    <row r="27" spans="1:12" x14ac:dyDescent="0.2">
      <c r="B27" s="2" t="s">
        <v>221</v>
      </c>
      <c r="C27" s="4"/>
      <c r="D27" s="4"/>
      <c r="E27" s="4"/>
      <c r="F27" s="4"/>
      <c r="G27" s="4"/>
      <c r="H27" s="4"/>
      <c r="I27" s="4"/>
      <c r="J27" s="4"/>
      <c r="L27" s="36" t="s">
        <v>222</v>
      </c>
    </row>
    <row r="28" spans="1:12" x14ac:dyDescent="0.2">
      <c r="C28" s="4"/>
      <c r="D28" s="4"/>
      <c r="E28" s="4"/>
      <c r="F28" s="4"/>
      <c r="G28" s="4"/>
      <c r="H28" s="4"/>
      <c r="I28" s="4"/>
      <c r="J28" s="4"/>
    </row>
    <row r="29" spans="1:12" x14ac:dyDescent="0.2">
      <c r="B29" s="2" t="s">
        <v>223</v>
      </c>
      <c r="C29" s="4"/>
      <c r="D29" s="4"/>
      <c r="E29" s="4"/>
      <c r="F29" s="4"/>
      <c r="G29" s="4"/>
      <c r="H29" s="4"/>
      <c r="I29" s="4"/>
      <c r="J29" s="4"/>
      <c r="L29" s="36" t="s">
        <v>224</v>
      </c>
    </row>
    <row r="30" spans="1:12" x14ac:dyDescent="0.2">
      <c r="B30" s="2" t="s">
        <v>225</v>
      </c>
      <c r="C30" s="4"/>
      <c r="D30" s="4"/>
      <c r="E30" s="4"/>
      <c r="F30" s="4"/>
      <c r="G30" s="4"/>
      <c r="H30" s="4"/>
      <c r="I30" s="4"/>
      <c r="J30" s="4"/>
      <c r="L30" s="36" t="s">
        <v>226</v>
      </c>
    </row>
    <row r="31" spans="1:12" x14ac:dyDescent="0.2">
      <c r="B31" s="2" t="s">
        <v>227</v>
      </c>
      <c r="C31" s="4"/>
      <c r="D31" s="4"/>
      <c r="E31" s="4"/>
      <c r="F31" s="4"/>
      <c r="G31" s="4"/>
      <c r="H31" s="4"/>
      <c r="I31" s="4"/>
      <c r="J31" s="4"/>
      <c r="L31" s="36" t="s">
        <v>228</v>
      </c>
    </row>
    <row r="32" spans="1:12" x14ac:dyDescent="0.2">
      <c r="B32" s="2" t="s">
        <v>229</v>
      </c>
      <c r="C32" s="4"/>
      <c r="D32" s="4"/>
      <c r="E32" s="4"/>
      <c r="F32" s="4"/>
      <c r="G32" s="4"/>
      <c r="H32" s="4"/>
      <c r="I32" s="4"/>
      <c r="J32" s="4"/>
      <c r="L32" s="36" t="s">
        <v>230</v>
      </c>
    </row>
    <row r="33" spans="1:12" x14ac:dyDescent="0.2">
      <c r="C33" s="4"/>
      <c r="D33" s="4"/>
      <c r="E33" s="4"/>
      <c r="F33" s="4"/>
      <c r="G33" s="4"/>
      <c r="H33" s="4"/>
      <c r="I33" s="4"/>
      <c r="J33" s="4"/>
    </row>
    <row r="34" spans="1:12" x14ac:dyDescent="0.2">
      <c r="A34" s="35" t="s">
        <v>192</v>
      </c>
      <c r="B34" s="6" t="s">
        <v>231</v>
      </c>
      <c r="C34" s="4"/>
      <c r="D34" s="4"/>
      <c r="E34" s="4"/>
      <c r="F34" s="4"/>
      <c r="G34" s="4"/>
      <c r="H34" s="4"/>
      <c r="I34" s="4"/>
      <c r="J34" s="4"/>
    </row>
    <row r="35" spans="1:12" x14ac:dyDescent="0.2">
      <c r="B35" s="2" t="s">
        <v>232</v>
      </c>
      <c r="C35" s="4"/>
      <c r="D35" s="4"/>
      <c r="E35" s="4"/>
      <c r="F35" s="4"/>
      <c r="G35" s="4"/>
      <c r="H35" s="4"/>
      <c r="I35" s="4"/>
      <c r="J35" s="4"/>
      <c r="L35" s="36" t="s">
        <v>233</v>
      </c>
    </row>
    <row r="36" spans="1:12" x14ac:dyDescent="0.2">
      <c r="B36" s="2" t="s">
        <v>234</v>
      </c>
      <c r="C36" s="4"/>
      <c r="D36" s="4"/>
      <c r="E36" s="4"/>
      <c r="F36" s="4"/>
      <c r="G36" s="4"/>
      <c r="H36" s="4"/>
      <c r="I36" s="4"/>
      <c r="J36" s="4"/>
      <c r="L36" s="36" t="s">
        <v>235</v>
      </c>
    </row>
    <row r="37" spans="1:12" x14ac:dyDescent="0.2">
      <c r="B37" s="2" t="s">
        <v>236</v>
      </c>
      <c r="C37" s="4"/>
      <c r="D37" s="4"/>
      <c r="E37" s="4"/>
      <c r="F37" s="4"/>
      <c r="G37" s="4"/>
      <c r="H37" s="4"/>
      <c r="I37" s="4"/>
      <c r="J37" s="4"/>
      <c r="L37" s="36" t="s">
        <v>237</v>
      </c>
    </row>
    <row r="38" spans="1:12" x14ac:dyDescent="0.2">
      <c r="B38" s="2" t="s">
        <v>238</v>
      </c>
      <c r="C38" s="4"/>
      <c r="D38" s="4"/>
      <c r="E38" s="4"/>
      <c r="F38" s="4"/>
      <c r="G38" s="4"/>
      <c r="H38" s="4"/>
      <c r="I38" s="4"/>
      <c r="J38" s="4"/>
      <c r="L38" s="36" t="s">
        <v>239</v>
      </c>
    </row>
    <row r="39" spans="1:12" x14ac:dyDescent="0.2">
      <c r="B39" s="2" t="s">
        <v>240</v>
      </c>
      <c r="C39" s="4"/>
      <c r="D39" s="4"/>
      <c r="E39" s="4"/>
      <c r="F39" s="4"/>
      <c r="G39" s="4"/>
      <c r="H39" s="4"/>
      <c r="I39" s="4"/>
      <c r="J39" s="4"/>
      <c r="L39" s="36" t="s">
        <v>241</v>
      </c>
    </row>
    <row r="40" spans="1:12" x14ac:dyDescent="0.2">
      <c r="C40" s="4"/>
      <c r="D40" s="4"/>
      <c r="E40" s="4"/>
      <c r="F40" s="4"/>
      <c r="G40" s="4"/>
      <c r="H40" s="4"/>
      <c r="I40" s="4"/>
      <c r="J40" s="4"/>
    </row>
    <row r="41" spans="1:12" x14ac:dyDescent="0.2">
      <c r="A41" s="35" t="s">
        <v>192</v>
      </c>
      <c r="B41" s="6" t="s">
        <v>242</v>
      </c>
      <c r="C41" s="4"/>
      <c r="D41" s="4"/>
      <c r="E41" s="4"/>
      <c r="F41" s="4"/>
      <c r="G41" s="4"/>
      <c r="H41" s="4"/>
      <c r="I41" s="4"/>
      <c r="J41" s="4"/>
    </row>
    <row r="42" spans="1:12" x14ac:dyDescent="0.2">
      <c r="B42" s="2" t="s">
        <v>243</v>
      </c>
      <c r="C42" s="4"/>
      <c r="D42" s="4"/>
      <c r="E42" s="4"/>
      <c r="F42" s="4">
        <f>+Model!O63/Model!O23*360</f>
        <v>35.249155665132648</v>
      </c>
      <c r="G42" s="4">
        <f>+Model!P63/Model!P23*360</f>
        <v>28.445292350703724</v>
      </c>
      <c r="H42" s="4">
        <f>+Model!Q63/Model!Q23*360</f>
        <v>30.85943224150418</v>
      </c>
      <c r="I42" s="4">
        <f>+Model!R63/Model!R23*360</f>
        <v>28.084742551721359</v>
      </c>
      <c r="J42" s="4"/>
      <c r="L42" s="36" t="s">
        <v>244</v>
      </c>
    </row>
    <row r="43" spans="1:12" x14ac:dyDescent="0.2">
      <c r="B43" s="2" t="s">
        <v>245</v>
      </c>
      <c r="C43" s="4"/>
      <c r="D43" s="4"/>
      <c r="E43" s="4"/>
      <c r="F43" s="4">
        <f>+Model!O82/Model!O23*360</f>
        <v>41.732791746777082</v>
      </c>
      <c r="G43" s="4">
        <f>+Model!P82/Model!P23*360</f>
        <v>34.434388386244677</v>
      </c>
      <c r="H43" s="4">
        <f>+Model!Q82/Model!Q23*360</f>
        <v>34.533458897247826</v>
      </c>
      <c r="I43" s="4">
        <f>+Model!R82/Model!R23*360</f>
        <v>31.92112316965467</v>
      </c>
      <c r="J43" s="4"/>
      <c r="L43" s="36" t="s">
        <v>246</v>
      </c>
    </row>
    <row r="44" spans="1:12" x14ac:dyDescent="0.2">
      <c r="B44" s="2" t="s">
        <v>247</v>
      </c>
      <c r="C44" s="28"/>
      <c r="D44" s="28"/>
      <c r="E44" s="28"/>
      <c r="F44" s="28">
        <f>+Model!O64/Model!O97</f>
        <v>9.5222438935647608E-2</v>
      </c>
      <c r="G44" s="28">
        <f>+Model!P64/Model!P97</f>
        <v>0.10307678210925049</v>
      </c>
      <c r="H44" s="28">
        <f>+Model!Q64/Model!Q97</f>
        <v>0.10281979726728027</v>
      </c>
      <c r="I44" s="28">
        <f>+Model!R64/Model!R97</f>
        <v>0.10130574895154469</v>
      </c>
      <c r="J44" s="4"/>
      <c r="L44" s="36" t="s">
        <v>248</v>
      </c>
    </row>
    <row r="45" spans="1:12" x14ac:dyDescent="0.2">
      <c r="B45" s="2" t="s">
        <v>249</v>
      </c>
      <c r="C45" s="4"/>
      <c r="D45" s="4"/>
      <c r="E45" s="4"/>
      <c r="F45" s="8">
        <f>+Model!O24/Model!O64</f>
        <v>1.234896341076942</v>
      </c>
      <c r="G45" s="8">
        <f>+Model!P24/Model!P64</f>
        <v>1.1684815841000873</v>
      </c>
      <c r="H45" s="8">
        <f>+Model!Q24/Model!Q64</f>
        <v>1.180927178030545</v>
      </c>
      <c r="I45" s="8">
        <f>+Model!R24/Model!R64</f>
        <v>1.264044749238016</v>
      </c>
      <c r="J45" s="4"/>
      <c r="L45" s="36" t="s">
        <v>250</v>
      </c>
    </row>
    <row r="46" spans="1:12" x14ac:dyDescent="0.2">
      <c r="B46" s="2" t="s">
        <v>251</v>
      </c>
      <c r="C46" s="4"/>
      <c r="D46" s="4"/>
      <c r="E46" s="4"/>
      <c r="F46" s="4">
        <f t="shared" ref="F46:H46" si="7">360/F45</f>
        <v>291.52244445557852</v>
      </c>
      <c r="G46" s="4">
        <f t="shared" si="7"/>
        <v>308.09214702108983</v>
      </c>
      <c r="H46" s="4">
        <f t="shared" si="7"/>
        <v>304.84521543519639</v>
      </c>
      <c r="I46" s="4">
        <f>360/I45</f>
        <v>284.80004384102153</v>
      </c>
      <c r="J46" s="4"/>
      <c r="L46" s="36" t="s">
        <v>252</v>
      </c>
    </row>
    <row r="47" spans="1:12" x14ac:dyDescent="0.2">
      <c r="B47" s="2" t="s">
        <v>253</v>
      </c>
      <c r="C47" s="4"/>
      <c r="D47" s="4"/>
      <c r="E47" s="4"/>
      <c r="F47" s="4">
        <f t="shared" ref="F47:H47" si="8">+F42+F46-F43</f>
        <v>285.0388083739341</v>
      </c>
      <c r="G47" s="4">
        <f t="shared" si="8"/>
        <v>302.10305098554886</v>
      </c>
      <c r="H47" s="4">
        <f t="shared" si="8"/>
        <v>301.17118877945273</v>
      </c>
      <c r="I47" s="4">
        <f>+I42+I46-I43</f>
        <v>280.96366322308825</v>
      </c>
      <c r="J47" s="4"/>
      <c r="L47" s="36" t="s">
        <v>254</v>
      </c>
    </row>
    <row r="48" spans="1:12" x14ac:dyDescent="0.2">
      <c r="C48" s="4"/>
      <c r="D48" s="4"/>
      <c r="E48" s="4"/>
      <c r="F48" s="4"/>
      <c r="G48" s="4"/>
      <c r="H48" s="4"/>
      <c r="I48" s="4"/>
      <c r="J48" s="4"/>
    </row>
    <row r="49" spans="1:12" x14ac:dyDescent="0.2">
      <c r="A49" s="35" t="s">
        <v>192</v>
      </c>
      <c r="B49" s="6" t="s">
        <v>255</v>
      </c>
      <c r="C49" s="4"/>
      <c r="D49" s="4"/>
      <c r="E49" s="4"/>
      <c r="F49" s="4"/>
      <c r="G49" s="4"/>
      <c r="H49" s="4"/>
      <c r="I49" s="4"/>
      <c r="J49" s="4"/>
    </row>
    <row r="50" spans="1:12" x14ac:dyDescent="0.2">
      <c r="B50" s="6" t="s">
        <v>256</v>
      </c>
      <c r="C50" s="4"/>
      <c r="D50" s="4"/>
      <c r="E50" s="4"/>
      <c r="F50" s="4"/>
      <c r="G50" s="4"/>
      <c r="H50" s="4"/>
      <c r="I50" s="4"/>
      <c r="J50" s="4"/>
    </row>
    <row r="51" spans="1:12" x14ac:dyDescent="0.2">
      <c r="B51" s="2" t="s">
        <v>257</v>
      </c>
      <c r="C51" s="4"/>
      <c r="D51" s="4"/>
      <c r="E51" s="4"/>
      <c r="F51" s="4"/>
      <c r="G51" s="4"/>
      <c r="H51" s="4"/>
      <c r="I51" s="4"/>
      <c r="J51" s="4"/>
      <c r="L51" s="36" t="s">
        <v>258</v>
      </c>
    </row>
    <row r="52" spans="1:12" x14ac:dyDescent="0.2">
      <c r="B52" s="2" t="s">
        <v>259</v>
      </c>
      <c r="C52" s="4"/>
      <c r="D52" s="4"/>
      <c r="E52" s="4"/>
      <c r="F52" s="4"/>
      <c r="G52" s="4"/>
      <c r="H52" s="4"/>
      <c r="I52" s="4"/>
      <c r="J52" s="4"/>
      <c r="L52" s="36" t="s">
        <v>260</v>
      </c>
    </row>
    <row r="53" spans="1:12" x14ac:dyDescent="0.2">
      <c r="B53" s="2" t="s">
        <v>261</v>
      </c>
      <c r="C53" s="4"/>
      <c r="D53" s="4"/>
      <c r="E53" s="4"/>
      <c r="F53" s="4"/>
      <c r="G53" s="4"/>
      <c r="H53" s="4"/>
      <c r="I53" s="4"/>
      <c r="J53" s="4"/>
      <c r="L53" s="36" t="s">
        <v>262</v>
      </c>
    </row>
    <row r="54" spans="1:12" x14ac:dyDescent="0.2">
      <c r="B54" s="2" t="s">
        <v>263</v>
      </c>
      <c r="C54" s="4"/>
      <c r="D54" s="4"/>
      <c r="E54" s="4"/>
      <c r="F54" s="4"/>
      <c r="G54" s="4"/>
      <c r="H54" s="4"/>
      <c r="I54" s="4"/>
      <c r="J54" s="4"/>
      <c r="L54" s="36" t="s">
        <v>264</v>
      </c>
    </row>
    <row r="55" spans="1:12" x14ac:dyDescent="0.2">
      <c r="B55" s="2" t="s">
        <v>265</v>
      </c>
      <c r="C55" s="4"/>
      <c r="D55" s="4"/>
      <c r="E55" s="4"/>
      <c r="F55" s="4"/>
      <c r="G55" s="4"/>
      <c r="H55" s="4"/>
      <c r="I55" s="4"/>
      <c r="J55" s="4"/>
      <c r="L55" s="36" t="s">
        <v>266</v>
      </c>
    </row>
    <row r="56" spans="1:12" x14ac:dyDescent="0.2">
      <c r="B56" s="2" t="s">
        <v>267</v>
      </c>
      <c r="C56" s="4"/>
      <c r="D56" s="4"/>
      <c r="E56" s="4"/>
      <c r="F56" s="4"/>
      <c r="G56" s="4"/>
      <c r="H56" s="4"/>
      <c r="I56" s="4"/>
      <c r="J56" s="4"/>
      <c r="L56" s="36" t="s">
        <v>268</v>
      </c>
    </row>
    <row r="57" spans="1:12" x14ac:dyDescent="0.2">
      <c r="B57" s="6" t="s">
        <v>269</v>
      </c>
      <c r="C57" s="4"/>
      <c r="D57" s="4"/>
      <c r="E57" s="4"/>
      <c r="F57" s="4"/>
      <c r="G57" s="4"/>
      <c r="H57" s="4"/>
      <c r="I57" s="4"/>
      <c r="J57" s="4"/>
    </row>
    <row r="58" spans="1:12" x14ac:dyDescent="0.2">
      <c r="B58" s="2" t="s">
        <v>270</v>
      </c>
      <c r="C58" s="4"/>
      <c r="D58" s="4"/>
      <c r="E58" s="4"/>
      <c r="F58" s="4"/>
      <c r="G58" s="4"/>
      <c r="H58" s="4"/>
      <c r="I58" s="4"/>
      <c r="J58" s="4"/>
      <c r="L58" s="36" t="s">
        <v>271</v>
      </c>
    </row>
    <row r="59" spans="1:12" x14ac:dyDescent="0.2">
      <c r="B59" s="2" t="s">
        <v>272</v>
      </c>
      <c r="C59" s="4"/>
      <c r="D59" s="4"/>
      <c r="E59" s="4"/>
      <c r="F59" s="4"/>
      <c r="G59" s="4"/>
      <c r="H59" s="4"/>
      <c r="I59" s="4"/>
      <c r="J59" s="4"/>
      <c r="L59" s="36" t="s">
        <v>273</v>
      </c>
    </row>
    <row r="60" spans="1:12" x14ac:dyDescent="0.2">
      <c r="B60" s="2" t="s">
        <v>274</v>
      </c>
      <c r="C60" s="4"/>
      <c r="D60" s="4"/>
      <c r="E60" s="4"/>
      <c r="F60" s="4"/>
      <c r="G60" s="4"/>
      <c r="H60" s="4"/>
      <c r="I60" s="4"/>
      <c r="J60" s="4"/>
      <c r="L60" s="36" t="s">
        <v>275</v>
      </c>
    </row>
    <row r="61" spans="1:12" x14ac:dyDescent="0.2">
      <c r="B61" s="2" t="s">
        <v>276</v>
      </c>
      <c r="C61" s="4"/>
      <c r="D61" s="4"/>
      <c r="E61" s="4"/>
      <c r="F61" s="4"/>
      <c r="G61" s="4"/>
      <c r="H61" s="4"/>
      <c r="I61" s="4"/>
      <c r="J61" s="4"/>
      <c r="L61" s="36" t="s">
        <v>277</v>
      </c>
    </row>
    <row r="62" spans="1:12" x14ac:dyDescent="0.2">
      <c r="C62" s="4"/>
      <c r="D62" s="4"/>
      <c r="E62" s="4"/>
      <c r="F62" s="4"/>
      <c r="G62" s="4"/>
      <c r="H62" s="4"/>
      <c r="I62" s="4"/>
      <c r="J62" s="4"/>
    </row>
    <row r="63" spans="1:12" x14ac:dyDescent="0.2">
      <c r="C63" s="4"/>
      <c r="D63" s="4"/>
      <c r="E63" s="4"/>
      <c r="F63" s="4"/>
      <c r="G63" s="4"/>
      <c r="H63" s="4"/>
      <c r="I63" s="4"/>
      <c r="J63" s="4"/>
    </row>
    <row r="64" spans="1:12" x14ac:dyDescent="0.2">
      <c r="C64" s="4"/>
      <c r="D64" s="4"/>
      <c r="E64" s="4"/>
      <c r="F64" s="4"/>
      <c r="G64" s="4"/>
      <c r="H64" s="4"/>
      <c r="I64" s="4"/>
      <c r="J64" s="4"/>
    </row>
    <row r="65" spans="3:10" x14ac:dyDescent="0.2">
      <c r="C65" s="4"/>
      <c r="D65" s="4"/>
      <c r="E65" s="4"/>
      <c r="F65" s="4"/>
      <c r="G65" s="4"/>
      <c r="H65" s="4"/>
      <c r="I65" s="4"/>
      <c r="J65" s="4"/>
    </row>
    <row r="66" spans="3:10" x14ac:dyDescent="0.2">
      <c r="C66" s="4"/>
      <c r="D66" s="4"/>
      <c r="E66" s="4"/>
      <c r="F66" s="4"/>
      <c r="G66" s="4"/>
      <c r="H66" s="4"/>
      <c r="I66" s="4"/>
      <c r="J66" s="4"/>
    </row>
    <row r="67" spans="3:10" x14ac:dyDescent="0.2">
      <c r="C67" s="4"/>
      <c r="D67" s="4"/>
      <c r="E67" s="4"/>
      <c r="F67" s="4"/>
      <c r="G67" s="4"/>
      <c r="H67" s="4"/>
      <c r="I67" s="4"/>
      <c r="J67" s="4"/>
    </row>
    <row r="68" spans="3:10" x14ac:dyDescent="0.2">
      <c r="C68" s="4"/>
      <c r="D68" s="4"/>
      <c r="E68" s="4"/>
      <c r="F68" s="4"/>
      <c r="G68" s="4"/>
      <c r="H68" s="4"/>
      <c r="I68" s="4"/>
      <c r="J68" s="4"/>
    </row>
    <row r="69" spans="3:10" x14ac:dyDescent="0.2">
      <c r="C69" s="4"/>
      <c r="D69" s="4"/>
      <c r="E69" s="4"/>
      <c r="F69" s="4"/>
      <c r="G69" s="4"/>
      <c r="H69" s="4"/>
      <c r="I69" s="4"/>
      <c r="J69" s="4"/>
    </row>
    <row r="70" spans="3:10" x14ac:dyDescent="0.2">
      <c r="C70" s="4"/>
      <c r="D70" s="4"/>
      <c r="E70" s="4"/>
      <c r="F70" s="4"/>
      <c r="G70" s="4"/>
      <c r="H70" s="4"/>
      <c r="I70" s="4"/>
      <c r="J70" s="4"/>
    </row>
    <row r="71" spans="3:10" x14ac:dyDescent="0.2">
      <c r="C71" s="4"/>
      <c r="D71" s="4"/>
      <c r="E71" s="4"/>
      <c r="F71" s="4"/>
      <c r="G71" s="4"/>
      <c r="H71" s="4"/>
      <c r="I71" s="4"/>
      <c r="J71" s="4"/>
    </row>
    <row r="72" spans="3:10" x14ac:dyDescent="0.2">
      <c r="C72" s="4"/>
      <c r="D72" s="4"/>
      <c r="E72" s="4"/>
      <c r="F72" s="4"/>
      <c r="G72" s="4"/>
      <c r="H72" s="4"/>
      <c r="I72" s="4"/>
      <c r="J72" s="4"/>
    </row>
    <row r="73" spans="3:10" x14ac:dyDescent="0.2">
      <c r="C73" s="4"/>
      <c r="D73" s="4"/>
      <c r="E73" s="4"/>
      <c r="F73" s="4"/>
      <c r="G73" s="4"/>
      <c r="H73" s="4"/>
      <c r="I73" s="4"/>
      <c r="J73" s="4"/>
    </row>
    <row r="74" spans="3:10" x14ac:dyDescent="0.2">
      <c r="C74" s="4"/>
      <c r="D74" s="4"/>
      <c r="E74" s="4"/>
      <c r="F74" s="4"/>
      <c r="G74" s="4"/>
      <c r="H74" s="4"/>
      <c r="I74" s="4"/>
      <c r="J74" s="4"/>
    </row>
    <row r="75" spans="3:10" x14ac:dyDescent="0.2">
      <c r="C75" s="4"/>
      <c r="D75" s="4"/>
      <c r="E75" s="4"/>
      <c r="F75" s="4"/>
      <c r="G75" s="4"/>
      <c r="H75" s="4"/>
      <c r="I75" s="4"/>
      <c r="J75" s="4"/>
    </row>
    <row r="76" spans="3:10" x14ac:dyDescent="0.2">
      <c r="C76" s="4"/>
      <c r="D76" s="4"/>
      <c r="E76" s="4"/>
      <c r="F76" s="4"/>
      <c r="G76" s="4"/>
      <c r="H76" s="4"/>
      <c r="I76" s="4"/>
      <c r="J76" s="4"/>
    </row>
    <row r="77" spans="3:10" x14ac:dyDescent="0.2">
      <c r="C77" s="4"/>
      <c r="D77" s="4"/>
      <c r="E77" s="4"/>
      <c r="F77" s="4"/>
      <c r="G77" s="4"/>
      <c r="H77" s="4"/>
      <c r="I77" s="4"/>
      <c r="J77" s="4"/>
    </row>
    <row r="78" spans="3:10" x14ac:dyDescent="0.2">
      <c r="C78" s="4"/>
      <c r="D78" s="4"/>
      <c r="E78" s="4"/>
      <c r="F78" s="4"/>
      <c r="G78" s="4"/>
      <c r="H78" s="4"/>
      <c r="I78" s="4"/>
      <c r="J78" s="4"/>
    </row>
    <row r="79" spans="3:10" x14ac:dyDescent="0.2">
      <c r="C79" s="4"/>
      <c r="D79" s="4"/>
      <c r="E79" s="4"/>
      <c r="F79" s="4"/>
      <c r="G79" s="4"/>
      <c r="H79" s="4"/>
      <c r="I79" s="4"/>
      <c r="J79" s="4"/>
    </row>
    <row r="80" spans="3:10" x14ac:dyDescent="0.2">
      <c r="C80" s="4"/>
      <c r="D80" s="4"/>
      <c r="E80" s="4"/>
      <c r="F80" s="4"/>
      <c r="G80" s="4"/>
      <c r="H80" s="4"/>
      <c r="I80" s="4"/>
      <c r="J80" s="4"/>
    </row>
    <row r="81" spans="3:10" x14ac:dyDescent="0.2">
      <c r="C81" s="4"/>
      <c r="D81" s="4"/>
      <c r="E81" s="4"/>
      <c r="F81" s="4"/>
      <c r="G81" s="4"/>
      <c r="H81" s="4"/>
      <c r="I81" s="4"/>
      <c r="J81" s="4"/>
    </row>
    <row r="82" spans="3:10" x14ac:dyDescent="0.2">
      <c r="C82" s="4"/>
      <c r="D82" s="4"/>
      <c r="E82" s="4"/>
      <c r="F82" s="4"/>
      <c r="G82" s="4"/>
      <c r="H82" s="4"/>
      <c r="I82" s="4"/>
      <c r="J82" s="4"/>
    </row>
    <row r="83" spans="3:10" x14ac:dyDescent="0.2">
      <c r="C83" s="4"/>
      <c r="D83" s="4"/>
      <c r="E83" s="4"/>
      <c r="F83" s="4"/>
      <c r="G83" s="4"/>
      <c r="H83" s="4"/>
      <c r="I83" s="4"/>
      <c r="J83" s="4"/>
    </row>
    <row r="84" spans="3:10" x14ac:dyDescent="0.2">
      <c r="C84" s="4"/>
      <c r="D84" s="4"/>
      <c r="E84" s="4"/>
      <c r="F84" s="4"/>
      <c r="G84" s="4"/>
      <c r="H84" s="4"/>
      <c r="I84" s="4"/>
      <c r="J84" s="4"/>
    </row>
    <row r="85" spans="3:10" x14ac:dyDescent="0.2">
      <c r="C85" s="4"/>
      <c r="D85" s="4"/>
      <c r="E85" s="4"/>
      <c r="F85" s="4"/>
      <c r="G85" s="4"/>
      <c r="H85" s="4"/>
      <c r="I85" s="4"/>
      <c r="J85" s="4"/>
    </row>
    <row r="86" spans="3:10" x14ac:dyDescent="0.2">
      <c r="C86" s="4"/>
      <c r="D86" s="4"/>
      <c r="E86" s="4"/>
      <c r="F86" s="4"/>
      <c r="G86" s="4"/>
      <c r="H86" s="4"/>
      <c r="I86" s="4"/>
      <c r="J86" s="4"/>
    </row>
    <row r="87" spans="3:10" x14ac:dyDescent="0.2">
      <c r="C87" s="4"/>
      <c r="D87" s="4"/>
      <c r="E87" s="4"/>
      <c r="F87" s="4"/>
      <c r="G87" s="4"/>
      <c r="H87" s="4"/>
      <c r="I87" s="4"/>
      <c r="J87" s="4"/>
    </row>
    <row r="88" spans="3:10" x14ac:dyDescent="0.2">
      <c r="C88" s="4"/>
      <c r="D88" s="4"/>
      <c r="E88" s="4"/>
      <c r="F88" s="4"/>
      <c r="G88" s="4"/>
      <c r="H88" s="4"/>
      <c r="I88" s="4"/>
      <c r="J88" s="4"/>
    </row>
    <row r="89" spans="3:10" x14ac:dyDescent="0.2">
      <c r="C89" s="4"/>
      <c r="D89" s="4"/>
      <c r="E89" s="4"/>
      <c r="F89" s="4"/>
      <c r="G89" s="4"/>
      <c r="H89" s="4"/>
      <c r="I89" s="4"/>
      <c r="J89" s="4"/>
    </row>
    <row r="90" spans="3:10" x14ac:dyDescent="0.2">
      <c r="C90" s="4"/>
      <c r="D90" s="4"/>
      <c r="E90" s="4"/>
      <c r="F90" s="4"/>
      <c r="G90" s="4"/>
      <c r="H90" s="4"/>
      <c r="I90" s="4"/>
      <c r="J90" s="4"/>
    </row>
    <row r="91" spans="3:10" x14ac:dyDescent="0.2">
      <c r="C91" s="4"/>
      <c r="D91" s="4"/>
      <c r="E91" s="4"/>
      <c r="F91" s="4"/>
      <c r="G91" s="4"/>
      <c r="H91" s="4"/>
      <c r="I91" s="4"/>
      <c r="J91" s="4"/>
    </row>
    <row r="92" spans="3:10" x14ac:dyDescent="0.2">
      <c r="C92" s="4"/>
      <c r="D92" s="4"/>
      <c r="E92" s="4"/>
      <c r="F92" s="4"/>
      <c r="G92" s="4"/>
      <c r="H92" s="4"/>
      <c r="I92" s="4"/>
      <c r="J92" s="4"/>
    </row>
    <row r="93" spans="3:10" x14ac:dyDescent="0.2">
      <c r="C93" s="4"/>
      <c r="D93" s="4"/>
      <c r="E93" s="4"/>
      <c r="F93" s="4"/>
      <c r="G93" s="4"/>
      <c r="H93" s="4"/>
      <c r="I93" s="4"/>
      <c r="J93" s="4"/>
    </row>
    <row r="94" spans="3:10" x14ac:dyDescent="0.2">
      <c r="C94" s="4"/>
      <c r="D94" s="4"/>
      <c r="E94" s="4"/>
      <c r="F94" s="4"/>
      <c r="G94" s="4"/>
      <c r="H94" s="4"/>
      <c r="I94" s="4"/>
      <c r="J94" s="4"/>
    </row>
    <row r="95" spans="3:10" x14ac:dyDescent="0.2">
      <c r="C95" s="4"/>
      <c r="D95" s="4"/>
      <c r="E95" s="4"/>
      <c r="F95" s="4"/>
      <c r="G95" s="4"/>
      <c r="H95" s="4"/>
      <c r="I95" s="4"/>
      <c r="J95" s="4"/>
    </row>
    <row r="96" spans="3:10" x14ac:dyDescent="0.2">
      <c r="C96" s="4"/>
      <c r="D96" s="4"/>
      <c r="E96" s="4"/>
      <c r="F96" s="4"/>
      <c r="G96" s="4"/>
      <c r="H96" s="4"/>
      <c r="I96" s="4"/>
      <c r="J96" s="4"/>
    </row>
    <row r="97" spans="3:10" x14ac:dyDescent="0.2">
      <c r="C97" s="4"/>
      <c r="D97" s="4"/>
      <c r="E97" s="4"/>
      <c r="F97" s="4"/>
      <c r="G97" s="4"/>
      <c r="H97" s="4"/>
      <c r="I97" s="4"/>
      <c r="J97" s="4"/>
    </row>
    <row r="98" spans="3:10" x14ac:dyDescent="0.2">
      <c r="C98" s="4"/>
      <c r="D98" s="4"/>
      <c r="E98" s="4"/>
      <c r="F98" s="4"/>
      <c r="G98" s="4"/>
      <c r="H98" s="4"/>
      <c r="I98" s="4"/>
      <c r="J98" s="4"/>
    </row>
    <row r="99" spans="3:10" x14ac:dyDescent="0.2">
      <c r="C99" s="4"/>
      <c r="D99" s="4"/>
      <c r="E99" s="4"/>
      <c r="F99" s="4"/>
      <c r="G99" s="4"/>
      <c r="H99" s="4"/>
      <c r="I99" s="4"/>
      <c r="J99" s="4"/>
    </row>
    <row r="100" spans="3:10" x14ac:dyDescent="0.2">
      <c r="C100" s="4"/>
      <c r="D100" s="4"/>
      <c r="E100" s="4"/>
      <c r="F100" s="4"/>
      <c r="G100" s="4"/>
      <c r="H100" s="4"/>
      <c r="I100" s="4"/>
      <c r="J100" s="4"/>
    </row>
    <row r="101" spans="3:10" x14ac:dyDescent="0.2">
      <c r="C101" s="4"/>
      <c r="D101" s="4"/>
      <c r="E101" s="4"/>
      <c r="F101" s="4"/>
      <c r="G101" s="4"/>
      <c r="H101" s="4"/>
      <c r="I101" s="4"/>
      <c r="J101" s="4"/>
    </row>
    <row r="102" spans="3:10" x14ac:dyDescent="0.2">
      <c r="C102" s="4"/>
      <c r="D102" s="4"/>
      <c r="E102" s="4"/>
      <c r="F102" s="4"/>
      <c r="G102" s="4"/>
      <c r="H102" s="4"/>
      <c r="I102" s="4"/>
      <c r="J102" s="4"/>
    </row>
    <row r="103" spans="3:10" x14ac:dyDescent="0.2">
      <c r="C103" s="4"/>
      <c r="D103" s="4"/>
      <c r="E103" s="4"/>
      <c r="F103" s="4"/>
      <c r="G103" s="4"/>
      <c r="H103" s="4"/>
      <c r="I103" s="4"/>
      <c r="J103" s="4"/>
    </row>
    <row r="104" spans="3:10" x14ac:dyDescent="0.2">
      <c r="C104" s="4"/>
      <c r="D104" s="4"/>
      <c r="E104" s="4"/>
      <c r="F104" s="4"/>
      <c r="G104" s="4"/>
      <c r="H104" s="4"/>
      <c r="I104" s="4"/>
      <c r="J104" s="4"/>
    </row>
    <row r="105" spans="3:10" x14ac:dyDescent="0.2">
      <c r="C105" s="4"/>
      <c r="D105" s="4"/>
      <c r="E105" s="4"/>
      <c r="F105" s="4"/>
      <c r="G105" s="4"/>
      <c r="H105" s="4"/>
      <c r="I105" s="4"/>
      <c r="J105" s="4"/>
    </row>
    <row r="106" spans="3:10" x14ac:dyDescent="0.2">
      <c r="C106" s="4"/>
      <c r="D106" s="4"/>
      <c r="E106" s="4"/>
      <c r="F106" s="4"/>
      <c r="G106" s="4"/>
      <c r="H106" s="4"/>
      <c r="I106" s="4"/>
      <c r="J106" s="4"/>
    </row>
    <row r="107" spans="3:10" x14ac:dyDescent="0.2">
      <c r="C107" s="4"/>
      <c r="D107" s="4"/>
      <c r="E107" s="4"/>
      <c r="F107" s="4"/>
      <c r="G107" s="4"/>
      <c r="H107" s="4"/>
      <c r="I107" s="4"/>
      <c r="J107" s="4"/>
    </row>
    <row r="108" spans="3:10" x14ac:dyDescent="0.2">
      <c r="C108" s="4"/>
      <c r="D108" s="4"/>
      <c r="E108" s="4"/>
      <c r="F108" s="4"/>
      <c r="G108" s="4"/>
      <c r="H108" s="4"/>
      <c r="I108" s="4"/>
      <c r="J108" s="4"/>
    </row>
    <row r="109" spans="3:10" x14ac:dyDescent="0.2">
      <c r="C109" s="4"/>
      <c r="D109" s="4"/>
      <c r="E109" s="4"/>
      <c r="F109" s="4"/>
      <c r="G109" s="4"/>
      <c r="H109" s="4"/>
      <c r="I109" s="4"/>
      <c r="J109" s="4"/>
    </row>
    <row r="110" spans="3:10" x14ac:dyDescent="0.2">
      <c r="C110" s="4"/>
      <c r="D110" s="4"/>
      <c r="E110" s="4"/>
      <c r="F110" s="4"/>
      <c r="G110" s="4"/>
      <c r="H110" s="4"/>
      <c r="I110" s="4"/>
      <c r="J110" s="4"/>
    </row>
    <row r="111" spans="3:10" x14ac:dyDescent="0.2">
      <c r="C111" s="4"/>
      <c r="D111" s="4"/>
      <c r="E111" s="4"/>
      <c r="F111" s="4"/>
      <c r="G111" s="4"/>
      <c r="H111" s="4"/>
      <c r="I111" s="4"/>
      <c r="J111" s="4"/>
    </row>
    <row r="112" spans="3:10" x14ac:dyDescent="0.2">
      <c r="C112" s="4"/>
      <c r="D112" s="4"/>
      <c r="E112" s="4"/>
      <c r="F112" s="4"/>
      <c r="G112" s="4"/>
      <c r="H112" s="4"/>
      <c r="I112" s="4"/>
      <c r="J112" s="4"/>
    </row>
    <row r="113" spans="3:10" x14ac:dyDescent="0.2">
      <c r="C113" s="4"/>
      <c r="D113" s="4"/>
      <c r="E113" s="4"/>
      <c r="F113" s="4"/>
      <c r="G113" s="4"/>
      <c r="H113" s="4"/>
      <c r="I113" s="4"/>
      <c r="J113" s="4"/>
    </row>
  </sheetData>
  <hyperlinks>
    <hyperlink ref="A1" location="Main!A1" display="Main" xr:uid="{91165049-B644-4930-A67B-49555F58AE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A7DD-FB67-4EEC-9386-8586C3B2E8BA}">
  <dimension ref="A1:X76"/>
  <sheetViews>
    <sheetView showGridLines="0" workbookViewId="0">
      <selection activeCell="F7" sqref="F7"/>
    </sheetView>
  </sheetViews>
  <sheetFormatPr defaultRowHeight="12.75" x14ac:dyDescent="0.2"/>
  <cols>
    <col min="1" max="1" width="5.42578125" style="2" bestFit="1" customWidth="1"/>
    <col min="2" max="2" width="9.140625" style="2"/>
    <col min="3" max="3" width="9.28515625" style="2" bestFit="1" customWidth="1"/>
    <col min="4" max="4" width="9.140625" style="2"/>
    <col min="5" max="5" width="11.28515625" style="2" bestFit="1" customWidth="1"/>
    <col min="6" max="6" width="9.140625" style="2"/>
    <col min="7" max="22" width="9.28515625" style="2" bestFit="1" customWidth="1"/>
    <col min="23" max="16384" width="9.140625" style="2"/>
  </cols>
  <sheetData>
    <row r="1" spans="1:24" x14ac:dyDescent="0.2">
      <c r="A1" s="37" t="s">
        <v>6</v>
      </c>
      <c r="B1" s="38" t="s">
        <v>315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">
      <c r="E2" s="39"/>
    </row>
    <row r="3" spans="1:24" x14ac:dyDescent="0.2">
      <c r="B3" s="2" t="s">
        <v>316</v>
      </c>
      <c r="E3" s="40"/>
      <c r="G3" s="2" t="s">
        <v>317</v>
      </c>
      <c r="J3" s="40"/>
      <c r="L3" s="2" t="s">
        <v>317</v>
      </c>
      <c r="O3" s="40">
        <f>+J3</f>
        <v>0</v>
      </c>
    </row>
    <row r="4" spans="1:24" x14ac:dyDescent="0.2">
      <c r="B4" s="2" t="s">
        <v>318</v>
      </c>
      <c r="E4" s="41">
        <f ca="1">+TODAY()</f>
        <v>45902</v>
      </c>
      <c r="G4" s="2" t="s">
        <v>319</v>
      </c>
      <c r="J4" s="42" t="e">
        <f ca="1">V62</f>
        <v>#DIV/0!</v>
      </c>
      <c r="L4" s="2" t="s">
        <v>320</v>
      </c>
      <c r="O4" s="43">
        <f>+J15+O15+T15</f>
        <v>0</v>
      </c>
    </row>
    <row r="5" spans="1:24" x14ac:dyDescent="0.2">
      <c r="B5" s="2" t="s">
        <v>321</v>
      </c>
      <c r="E5" s="44"/>
      <c r="G5" s="2" t="s">
        <v>322</v>
      </c>
      <c r="J5" s="45" t="e">
        <f ca="1">J4/J3-1</f>
        <v>#DIV/0!</v>
      </c>
      <c r="L5" s="2" t="s">
        <v>322</v>
      </c>
      <c r="O5" s="45" t="e">
        <f>O4/O3-1</f>
        <v>#DIV/0!</v>
      </c>
    </row>
    <row r="7" spans="1:24" x14ac:dyDescent="0.2">
      <c r="A7" s="46" t="s">
        <v>192</v>
      </c>
      <c r="B7" s="47" t="s">
        <v>323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 spans="1:24" x14ac:dyDescent="0.2">
      <c r="A8" s="46"/>
    </row>
    <row r="9" spans="1:24" x14ac:dyDescent="0.2">
      <c r="A9" s="46"/>
      <c r="B9" s="48" t="s">
        <v>324</v>
      </c>
      <c r="C9" s="49"/>
      <c r="D9" s="49"/>
      <c r="E9" s="49"/>
      <c r="G9" s="48" t="s">
        <v>325</v>
      </c>
      <c r="H9" s="48"/>
      <c r="I9" s="49"/>
      <c r="J9" s="49"/>
      <c r="L9" s="48" t="s">
        <v>326</v>
      </c>
      <c r="M9" s="49"/>
      <c r="N9" s="49"/>
      <c r="O9" s="49"/>
      <c r="Q9" s="48" t="s">
        <v>327</v>
      </c>
      <c r="R9" s="49"/>
      <c r="S9" s="49"/>
      <c r="T9" s="49"/>
    </row>
    <row r="10" spans="1:24" x14ac:dyDescent="0.2">
      <c r="A10" s="46"/>
      <c r="B10" s="9" t="s">
        <v>328</v>
      </c>
      <c r="G10" s="9" t="s">
        <v>328</v>
      </c>
      <c r="H10" s="9"/>
      <c r="I10" s="9" t="s">
        <v>329</v>
      </c>
      <c r="J10" s="9" t="s">
        <v>330</v>
      </c>
      <c r="L10" s="9" t="s">
        <v>328</v>
      </c>
      <c r="N10" s="9" t="s">
        <v>329</v>
      </c>
      <c r="O10" s="9" t="s">
        <v>330</v>
      </c>
      <c r="Q10" s="9" t="s">
        <v>328</v>
      </c>
      <c r="S10" s="9" t="s">
        <v>329</v>
      </c>
      <c r="T10" s="9" t="s">
        <v>330</v>
      </c>
    </row>
    <row r="11" spans="1:24" x14ac:dyDescent="0.2">
      <c r="B11" s="2" t="s">
        <v>22</v>
      </c>
      <c r="E11" s="44">
        <v>2</v>
      </c>
      <c r="G11" s="2" t="s">
        <v>331</v>
      </c>
      <c r="K11" s="1"/>
      <c r="L11" s="2" t="s">
        <v>331</v>
      </c>
      <c r="Q11" s="2" t="s">
        <v>331</v>
      </c>
    </row>
    <row r="12" spans="1:24" x14ac:dyDescent="0.2">
      <c r="B12" s="2" t="s">
        <v>332</v>
      </c>
      <c r="E12" s="44">
        <v>2</v>
      </c>
      <c r="G12" s="2" t="s">
        <v>332</v>
      </c>
      <c r="L12" s="2" t="s">
        <v>332</v>
      </c>
      <c r="Q12" s="2" t="s">
        <v>332</v>
      </c>
    </row>
    <row r="13" spans="1:24" x14ac:dyDescent="0.2">
      <c r="B13" s="2" t="s">
        <v>312</v>
      </c>
      <c r="E13" s="44">
        <v>2</v>
      </c>
      <c r="G13" s="2" t="s">
        <v>333</v>
      </c>
      <c r="J13" s="50"/>
      <c r="O13" s="50"/>
      <c r="T13" s="50"/>
    </row>
    <row r="14" spans="1:24" x14ac:dyDescent="0.2">
      <c r="B14" s="2" t="s">
        <v>334</v>
      </c>
      <c r="E14" s="44">
        <v>2</v>
      </c>
      <c r="G14" s="2" t="s">
        <v>335</v>
      </c>
      <c r="J14" s="50"/>
      <c r="L14" s="2" t="s">
        <v>335</v>
      </c>
      <c r="O14" s="50"/>
      <c r="Q14" s="2" t="s">
        <v>335</v>
      </c>
      <c r="T14" s="50"/>
    </row>
    <row r="15" spans="1:24" x14ac:dyDescent="0.2">
      <c r="B15" s="2" t="s">
        <v>336</v>
      </c>
      <c r="E15" s="44">
        <v>2</v>
      </c>
      <c r="G15" s="2" t="s">
        <v>337</v>
      </c>
      <c r="J15" s="50"/>
      <c r="L15" s="2" t="s">
        <v>337</v>
      </c>
      <c r="O15" s="50"/>
      <c r="Q15" s="2" t="s">
        <v>337</v>
      </c>
      <c r="T15" s="50"/>
    </row>
    <row r="17" spans="1:22" x14ac:dyDescent="0.2">
      <c r="B17" s="9" t="s">
        <v>338</v>
      </c>
    </row>
    <row r="18" spans="1:22" x14ac:dyDescent="0.2">
      <c r="B18" s="2" t="s">
        <v>312</v>
      </c>
      <c r="E18" s="50">
        <f>CHOOSE(E13,J18,O18,T18)</f>
        <v>0</v>
      </c>
      <c r="G18" s="2" t="s">
        <v>312</v>
      </c>
      <c r="J18" s="50"/>
      <c r="L18" s="2" t="s">
        <v>312</v>
      </c>
      <c r="O18" s="50"/>
      <c r="Q18" s="2" t="s">
        <v>312</v>
      </c>
      <c r="T18" s="50"/>
    </row>
    <row r="19" spans="1:22" x14ac:dyDescent="0.2">
      <c r="B19" s="2" t="s">
        <v>334</v>
      </c>
      <c r="E19" s="50">
        <f>CHOOSE(E14,J19,O19,T19)</f>
        <v>0</v>
      </c>
      <c r="G19" s="2" t="s">
        <v>334</v>
      </c>
      <c r="J19" s="50"/>
      <c r="L19" s="2" t="s">
        <v>334</v>
      </c>
      <c r="O19" s="50"/>
      <c r="Q19" s="2" t="s">
        <v>334</v>
      </c>
      <c r="T19" s="50"/>
    </row>
    <row r="20" spans="1:22" x14ac:dyDescent="0.2">
      <c r="B20" s="2" t="s">
        <v>339</v>
      </c>
      <c r="E20" s="50">
        <f>CHOOSE(E15,J20,O20,T20)</f>
        <v>0</v>
      </c>
      <c r="G20" s="2" t="s">
        <v>339</v>
      </c>
      <c r="J20" s="50"/>
      <c r="L20" s="2" t="s">
        <v>339</v>
      </c>
      <c r="O20" s="50"/>
      <c r="Q20" s="2" t="s">
        <v>339</v>
      </c>
      <c r="T20" s="50"/>
    </row>
    <row r="24" spans="1:22" x14ac:dyDescent="0.2">
      <c r="A24" s="46" t="s">
        <v>192</v>
      </c>
      <c r="B24" s="47" t="s">
        <v>340</v>
      </c>
      <c r="C24" s="47"/>
      <c r="D24" s="47"/>
      <c r="E24" s="47"/>
      <c r="F24" s="47"/>
      <c r="G24" s="51">
        <v>19</v>
      </c>
      <c r="H24" s="51">
        <f>G24+1</f>
        <v>20</v>
      </c>
      <c r="I24" s="51">
        <f t="shared" ref="I24:V24" si="0">H24+1</f>
        <v>21</v>
      </c>
      <c r="J24" s="51">
        <f t="shared" si="0"/>
        <v>22</v>
      </c>
      <c r="K24" s="51">
        <f t="shared" si="0"/>
        <v>23</v>
      </c>
      <c r="L24" s="51">
        <f t="shared" si="0"/>
        <v>24</v>
      </c>
      <c r="M24" s="51">
        <f t="shared" si="0"/>
        <v>25</v>
      </c>
      <c r="N24" s="51">
        <f t="shared" si="0"/>
        <v>26</v>
      </c>
      <c r="O24" s="51">
        <f t="shared" si="0"/>
        <v>27</v>
      </c>
      <c r="P24" s="51">
        <f t="shared" si="0"/>
        <v>28</v>
      </c>
      <c r="Q24" s="51">
        <f t="shared" si="0"/>
        <v>29</v>
      </c>
      <c r="R24" s="51">
        <f t="shared" si="0"/>
        <v>30</v>
      </c>
      <c r="S24" s="51">
        <f t="shared" si="0"/>
        <v>31</v>
      </c>
      <c r="T24" s="51">
        <f t="shared" si="0"/>
        <v>32</v>
      </c>
      <c r="U24" s="51">
        <f t="shared" si="0"/>
        <v>33</v>
      </c>
      <c r="V24" s="51">
        <f t="shared" si="0"/>
        <v>34</v>
      </c>
    </row>
    <row r="25" spans="1:22" x14ac:dyDescent="0.2">
      <c r="B25" s="2" t="s">
        <v>331</v>
      </c>
      <c r="G25" s="4"/>
      <c r="H25" s="4"/>
      <c r="I25" s="4"/>
      <c r="J25" s="4"/>
      <c r="K25" s="4"/>
      <c r="L25" s="4"/>
      <c r="M25" s="4">
        <f ca="1">L25*(1+M26)</f>
        <v>0</v>
      </c>
      <c r="N25" s="4">
        <f t="shared" ref="N25:V25" ca="1" si="1">M25*(1+N26)</f>
        <v>0</v>
      </c>
      <c r="O25" s="4">
        <f t="shared" ca="1" si="1"/>
        <v>0</v>
      </c>
      <c r="P25" s="4">
        <f t="shared" ca="1" si="1"/>
        <v>0</v>
      </c>
      <c r="Q25" s="4">
        <f t="shared" ca="1" si="1"/>
        <v>0</v>
      </c>
      <c r="R25" s="4">
        <f t="shared" ca="1" si="1"/>
        <v>0</v>
      </c>
      <c r="S25" s="4">
        <f t="shared" ca="1" si="1"/>
        <v>0</v>
      </c>
      <c r="T25" s="4">
        <f t="shared" ca="1" si="1"/>
        <v>0</v>
      </c>
      <c r="U25" s="4">
        <f t="shared" ca="1" si="1"/>
        <v>0</v>
      </c>
      <c r="V25" s="4">
        <f t="shared" ca="1" si="1"/>
        <v>0</v>
      </c>
    </row>
    <row r="26" spans="1:22" x14ac:dyDescent="0.2">
      <c r="B26" s="52" t="s">
        <v>341</v>
      </c>
      <c r="C26" s="53"/>
      <c r="G26" s="54"/>
      <c r="H26" s="55" t="e">
        <f t="shared" ref="H26:L26" si="2">H25/G25-1</f>
        <v>#DIV/0!</v>
      </c>
      <c r="I26" s="55" t="e">
        <f t="shared" si="2"/>
        <v>#DIV/0!</v>
      </c>
      <c r="J26" s="55" t="e">
        <f t="shared" si="2"/>
        <v>#DIV/0!</v>
      </c>
      <c r="K26" s="55" t="e">
        <f t="shared" si="2"/>
        <v>#DIV/0!</v>
      </c>
      <c r="L26" s="55" t="e">
        <f t="shared" si="2"/>
        <v>#DIV/0!</v>
      </c>
      <c r="M26" s="55" cm="1">
        <f t="array" aca="1" ref="M26" ca="1">OFFSET(M26,$E$11,,)</f>
        <v>0</v>
      </c>
      <c r="N26" s="55" cm="1">
        <f t="array" aca="1" ref="N26" ca="1">OFFSET(N26,$E$11,,)</f>
        <v>0</v>
      </c>
      <c r="O26" s="55" cm="1">
        <f t="array" aca="1" ref="O26" ca="1">OFFSET(O26,$E$11,,)</f>
        <v>0</v>
      </c>
      <c r="P26" s="55" cm="1">
        <f t="array" aca="1" ref="P26" ca="1">OFFSET(P26,$E$11,,)</f>
        <v>0</v>
      </c>
      <c r="Q26" s="55" cm="1">
        <f t="array" aca="1" ref="Q26" ca="1">OFFSET(Q26,$E$11,,)</f>
        <v>0</v>
      </c>
      <c r="R26" s="55" cm="1">
        <f t="array" aca="1" ref="R26" ca="1">OFFSET(R26,$E$11,,)</f>
        <v>0</v>
      </c>
      <c r="S26" s="55" cm="1">
        <f t="array" aca="1" ref="S26" ca="1">OFFSET(S26,$E$11,,)</f>
        <v>0</v>
      </c>
      <c r="T26" s="55" cm="1">
        <f t="array" aca="1" ref="T26" ca="1">OFFSET(T26,$E$11,,)</f>
        <v>0</v>
      </c>
      <c r="U26" s="55" cm="1">
        <f t="array" aca="1" ref="U26" ca="1">OFFSET(U26,$E$11,,)</f>
        <v>0</v>
      </c>
      <c r="V26" s="55" cm="1">
        <f t="array" aca="1" ref="V26" ca="1">OFFSET(V26,$E$11,,)</f>
        <v>0</v>
      </c>
    </row>
    <row r="27" spans="1:22" x14ac:dyDescent="0.2">
      <c r="B27" s="52" t="s">
        <v>325</v>
      </c>
      <c r="C27" s="53"/>
      <c r="I27" s="28"/>
      <c r="J27" s="28"/>
      <c r="K27" s="28"/>
      <c r="L27" s="28"/>
      <c r="M27" s="56"/>
      <c r="N27" s="56"/>
      <c r="O27" s="56"/>
      <c r="P27" s="56"/>
      <c r="Q27" s="56"/>
      <c r="R27" s="56"/>
      <c r="S27" s="56"/>
      <c r="T27" s="56"/>
      <c r="U27" s="56"/>
      <c r="V27" s="56"/>
    </row>
    <row r="28" spans="1:22" x14ac:dyDescent="0.2">
      <c r="B28" s="52" t="s">
        <v>342</v>
      </c>
      <c r="C28" s="53"/>
      <c r="I28" s="28"/>
      <c r="J28" s="28"/>
      <c r="K28" s="28"/>
      <c r="L28" s="28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spans="1:22" x14ac:dyDescent="0.2">
      <c r="B29" s="52" t="s">
        <v>343</v>
      </c>
      <c r="C29" s="53"/>
      <c r="I29" s="28"/>
      <c r="J29" s="28"/>
      <c r="K29" s="28"/>
      <c r="L29" s="28"/>
      <c r="M29" s="56"/>
      <c r="N29" s="56"/>
      <c r="O29" s="56"/>
      <c r="P29" s="56"/>
      <c r="Q29" s="56"/>
      <c r="R29" s="56"/>
      <c r="S29" s="56"/>
      <c r="T29" s="56"/>
      <c r="U29" s="56"/>
      <c r="V29" s="56"/>
    </row>
    <row r="31" spans="1:22" x14ac:dyDescent="0.2">
      <c r="B31" s="2" t="s">
        <v>332</v>
      </c>
      <c r="G31" s="4"/>
      <c r="H31" s="4"/>
      <c r="I31" s="4"/>
      <c r="J31" s="4"/>
      <c r="K31" s="4"/>
      <c r="L31" s="4"/>
      <c r="M31" s="4">
        <f ca="1">M32*M25</f>
        <v>0</v>
      </c>
      <c r="N31" s="4">
        <f t="shared" ref="N31:V31" ca="1" si="3">N32*N25</f>
        <v>0</v>
      </c>
      <c r="O31" s="4">
        <f t="shared" ca="1" si="3"/>
        <v>0</v>
      </c>
      <c r="P31" s="4">
        <f t="shared" ca="1" si="3"/>
        <v>0</v>
      </c>
      <c r="Q31" s="4">
        <f t="shared" ca="1" si="3"/>
        <v>0</v>
      </c>
      <c r="R31" s="4">
        <f t="shared" ca="1" si="3"/>
        <v>0</v>
      </c>
      <c r="S31" s="4">
        <f t="shared" ca="1" si="3"/>
        <v>0</v>
      </c>
      <c r="T31" s="4">
        <f t="shared" ca="1" si="3"/>
        <v>0</v>
      </c>
      <c r="U31" s="4">
        <f t="shared" ca="1" si="3"/>
        <v>0</v>
      </c>
      <c r="V31" s="4">
        <f t="shared" ca="1" si="3"/>
        <v>0</v>
      </c>
    </row>
    <row r="32" spans="1:22" x14ac:dyDescent="0.2">
      <c r="B32" s="52" t="s">
        <v>344</v>
      </c>
      <c r="G32" s="55" t="e">
        <f>G31/G25</f>
        <v>#DIV/0!</v>
      </c>
      <c r="H32" s="55" t="e">
        <f t="shared" ref="H32:L32" si="4">H31/H25</f>
        <v>#DIV/0!</v>
      </c>
      <c r="I32" s="55" t="e">
        <f t="shared" si="4"/>
        <v>#DIV/0!</v>
      </c>
      <c r="J32" s="55" t="e">
        <f t="shared" si="4"/>
        <v>#DIV/0!</v>
      </c>
      <c r="K32" s="55" t="e">
        <f t="shared" si="4"/>
        <v>#DIV/0!</v>
      </c>
      <c r="L32" s="55" t="e">
        <f t="shared" si="4"/>
        <v>#DIV/0!</v>
      </c>
      <c r="M32" s="55" cm="1">
        <f t="array" aca="1" ref="M32" ca="1">OFFSET(M32,$E$12,,)</f>
        <v>0</v>
      </c>
      <c r="N32" s="55" cm="1">
        <f t="array" aca="1" ref="N32" ca="1">OFFSET(N32,$E$12,,)</f>
        <v>0</v>
      </c>
      <c r="O32" s="55" cm="1">
        <f t="array" aca="1" ref="O32" ca="1">OFFSET(O32,$E$12,,)</f>
        <v>0</v>
      </c>
      <c r="P32" s="55" cm="1">
        <f t="array" aca="1" ref="P32" ca="1">OFFSET(P32,$E$12,,)</f>
        <v>0</v>
      </c>
      <c r="Q32" s="55" cm="1">
        <f t="array" aca="1" ref="Q32" ca="1">OFFSET(Q32,$E$12,,)</f>
        <v>0</v>
      </c>
      <c r="R32" s="55" cm="1">
        <f t="array" aca="1" ref="R32" ca="1">OFFSET(R32,$E$12,,)</f>
        <v>0</v>
      </c>
      <c r="S32" s="55" cm="1">
        <f t="array" aca="1" ref="S32" ca="1">OFFSET(S32,$E$12,,)</f>
        <v>0</v>
      </c>
      <c r="T32" s="55" cm="1">
        <f t="array" aca="1" ref="T32" ca="1">OFFSET(T32,$E$12,,)</f>
        <v>0</v>
      </c>
      <c r="U32" s="55" cm="1">
        <f t="array" aca="1" ref="U32" ca="1">OFFSET(U32,$E$12,,)</f>
        <v>0</v>
      </c>
      <c r="V32" s="55" cm="1">
        <f t="array" aca="1" ref="V32" ca="1">OFFSET(V32,$E$12,,)</f>
        <v>0</v>
      </c>
    </row>
    <row r="33" spans="2:22" x14ac:dyDescent="0.2">
      <c r="B33" s="52" t="s">
        <v>325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</row>
    <row r="34" spans="2:22" x14ac:dyDescent="0.2">
      <c r="B34" s="52" t="s">
        <v>342</v>
      </c>
      <c r="M34" s="56"/>
      <c r="N34" s="56"/>
      <c r="O34" s="56"/>
      <c r="P34" s="56"/>
      <c r="Q34" s="56"/>
      <c r="R34" s="56"/>
      <c r="S34" s="56"/>
      <c r="T34" s="56"/>
      <c r="U34" s="56"/>
      <c r="V34" s="56"/>
    </row>
    <row r="35" spans="2:22" x14ac:dyDescent="0.2">
      <c r="B35" s="52" t="s">
        <v>343</v>
      </c>
      <c r="M35" s="56"/>
      <c r="N35" s="56"/>
      <c r="O35" s="56"/>
      <c r="P35" s="56"/>
      <c r="Q35" s="56"/>
      <c r="R35" s="56"/>
      <c r="S35" s="56"/>
      <c r="T35" s="56"/>
      <c r="U35" s="56"/>
      <c r="V35" s="56"/>
    </row>
    <row r="37" spans="2:22" x14ac:dyDescent="0.2">
      <c r="B37" s="2" t="s">
        <v>345</v>
      </c>
      <c r="G37" s="4"/>
      <c r="H37" s="4"/>
      <c r="I37" s="4"/>
      <c r="J37" s="4"/>
      <c r="K37" s="4"/>
      <c r="L37" s="4"/>
      <c r="M37" s="4">
        <f ca="1">M38*M31</f>
        <v>0</v>
      </c>
      <c r="N37" s="4">
        <f t="shared" ref="N37:V37" ca="1" si="5">N38*N31</f>
        <v>0</v>
      </c>
      <c r="O37" s="4">
        <f t="shared" ca="1" si="5"/>
        <v>0</v>
      </c>
      <c r="P37" s="4">
        <f t="shared" ca="1" si="5"/>
        <v>0</v>
      </c>
      <c r="Q37" s="4">
        <f t="shared" ca="1" si="5"/>
        <v>0</v>
      </c>
      <c r="R37" s="4">
        <f t="shared" ca="1" si="5"/>
        <v>0</v>
      </c>
      <c r="S37" s="4">
        <f t="shared" ca="1" si="5"/>
        <v>0</v>
      </c>
      <c r="T37" s="4">
        <f t="shared" ca="1" si="5"/>
        <v>0</v>
      </c>
      <c r="U37" s="4">
        <f t="shared" ca="1" si="5"/>
        <v>0</v>
      </c>
      <c r="V37" s="4">
        <f t="shared" ca="1" si="5"/>
        <v>0</v>
      </c>
    </row>
    <row r="38" spans="2:22" x14ac:dyDescent="0.2">
      <c r="B38" s="53" t="s">
        <v>346</v>
      </c>
      <c r="G38" s="55" t="e">
        <f t="shared" ref="G38:L38" si="6">G37/G31</f>
        <v>#DIV/0!</v>
      </c>
      <c r="H38" s="55" t="e">
        <f t="shared" si="6"/>
        <v>#DIV/0!</v>
      </c>
      <c r="I38" s="55" t="e">
        <f t="shared" si="6"/>
        <v>#DIV/0!</v>
      </c>
      <c r="J38" s="55" t="e">
        <f t="shared" si="6"/>
        <v>#DIV/0!</v>
      </c>
      <c r="K38" s="55" t="e">
        <f t="shared" si="6"/>
        <v>#DIV/0!</v>
      </c>
      <c r="L38" s="55" t="e">
        <f t="shared" si="6"/>
        <v>#DIV/0!</v>
      </c>
      <c r="M38" s="55"/>
      <c r="N38" s="55"/>
      <c r="O38" s="55"/>
      <c r="P38" s="55"/>
      <c r="Q38" s="55"/>
      <c r="R38" s="55"/>
      <c r="S38" s="55"/>
      <c r="T38" s="55"/>
      <c r="U38" s="55"/>
      <c r="V38" s="55"/>
    </row>
    <row r="39" spans="2:22" x14ac:dyDescent="0.2">
      <c r="B39" s="53"/>
    </row>
    <row r="40" spans="2:22" x14ac:dyDescent="0.2">
      <c r="B40" s="57" t="s">
        <v>347</v>
      </c>
      <c r="C40" s="58"/>
      <c r="D40" s="58"/>
      <c r="E40" s="58"/>
      <c r="F40" s="58"/>
      <c r="G40" s="59">
        <f t="shared" ref="G40:V40" si="7">G31-G37</f>
        <v>0</v>
      </c>
      <c r="H40" s="59">
        <f t="shared" si="7"/>
        <v>0</v>
      </c>
      <c r="I40" s="59">
        <f t="shared" si="7"/>
        <v>0</v>
      </c>
      <c r="J40" s="59">
        <f t="shared" si="7"/>
        <v>0</v>
      </c>
      <c r="K40" s="59">
        <f t="shared" si="7"/>
        <v>0</v>
      </c>
      <c r="L40" s="59">
        <f t="shared" si="7"/>
        <v>0</v>
      </c>
      <c r="M40" s="59">
        <f t="shared" ca="1" si="7"/>
        <v>0</v>
      </c>
      <c r="N40" s="59">
        <f t="shared" ca="1" si="7"/>
        <v>0</v>
      </c>
      <c r="O40" s="59">
        <f t="shared" ca="1" si="7"/>
        <v>0</v>
      </c>
      <c r="P40" s="59">
        <f t="shared" ca="1" si="7"/>
        <v>0</v>
      </c>
      <c r="Q40" s="59">
        <f t="shared" ca="1" si="7"/>
        <v>0</v>
      </c>
      <c r="R40" s="59">
        <f t="shared" ca="1" si="7"/>
        <v>0</v>
      </c>
      <c r="S40" s="59">
        <f t="shared" ca="1" si="7"/>
        <v>0</v>
      </c>
      <c r="T40" s="59">
        <f t="shared" ca="1" si="7"/>
        <v>0</v>
      </c>
      <c r="U40" s="59">
        <f t="shared" ca="1" si="7"/>
        <v>0</v>
      </c>
      <c r="V40" s="60">
        <f t="shared" ca="1" si="7"/>
        <v>0</v>
      </c>
    </row>
    <row r="42" spans="2:22" x14ac:dyDescent="0.2">
      <c r="B42" s="2" t="s">
        <v>348</v>
      </c>
      <c r="G42" s="4"/>
      <c r="H42" s="4"/>
      <c r="I42" s="4"/>
      <c r="J42" s="4"/>
      <c r="K42" s="4"/>
      <c r="L42" s="4"/>
      <c r="M42" s="4">
        <f ca="1">M43*M25</f>
        <v>0</v>
      </c>
      <c r="N42" s="4">
        <f t="shared" ref="N42:V42" ca="1" si="8">N43*N25</f>
        <v>0</v>
      </c>
      <c r="O42" s="4">
        <f t="shared" ca="1" si="8"/>
        <v>0</v>
      </c>
      <c r="P42" s="4">
        <f t="shared" ca="1" si="8"/>
        <v>0</v>
      </c>
      <c r="Q42" s="4">
        <f t="shared" ca="1" si="8"/>
        <v>0</v>
      </c>
      <c r="R42" s="4">
        <f t="shared" ca="1" si="8"/>
        <v>0</v>
      </c>
      <c r="S42" s="4">
        <f t="shared" ca="1" si="8"/>
        <v>0</v>
      </c>
      <c r="T42" s="4">
        <f t="shared" ca="1" si="8"/>
        <v>0</v>
      </c>
      <c r="U42" s="4">
        <f t="shared" ca="1" si="8"/>
        <v>0</v>
      </c>
      <c r="V42" s="4">
        <f t="shared" ca="1" si="8"/>
        <v>0</v>
      </c>
    </row>
    <row r="43" spans="2:22" x14ac:dyDescent="0.2">
      <c r="B43" s="52" t="s">
        <v>344</v>
      </c>
      <c r="C43" s="54"/>
      <c r="D43" s="54"/>
      <c r="E43" s="54"/>
      <c r="F43" s="54"/>
      <c r="G43" s="61" t="e">
        <f t="shared" ref="G43:L43" si="9">G42/G25</f>
        <v>#DIV/0!</v>
      </c>
      <c r="H43" s="61" t="e">
        <f t="shared" si="9"/>
        <v>#DIV/0!</v>
      </c>
      <c r="I43" s="61" t="e">
        <f t="shared" si="9"/>
        <v>#DIV/0!</v>
      </c>
      <c r="J43" s="61" t="e">
        <f t="shared" si="9"/>
        <v>#DIV/0!</v>
      </c>
      <c r="K43" s="61" t="e">
        <f t="shared" si="9"/>
        <v>#DIV/0!</v>
      </c>
      <c r="L43" s="61" t="e">
        <f t="shared" si="9"/>
        <v>#DIV/0!</v>
      </c>
      <c r="M43" s="62"/>
      <c r="N43" s="62"/>
      <c r="O43" s="62"/>
      <c r="P43" s="62"/>
      <c r="Q43" s="62"/>
      <c r="R43" s="62"/>
      <c r="S43" s="62"/>
      <c r="T43" s="62"/>
      <c r="U43" s="62"/>
      <c r="V43" s="62"/>
    </row>
    <row r="45" spans="2:22" x14ac:dyDescent="0.2">
      <c r="B45" s="2" t="s">
        <v>171</v>
      </c>
      <c r="G45" s="4"/>
      <c r="H45" s="4"/>
      <c r="I45" s="4"/>
      <c r="J45" s="4"/>
      <c r="K45" s="4"/>
      <c r="L45" s="4"/>
      <c r="M45" s="4">
        <f ca="1">M46*M25</f>
        <v>0</v>
      </c>
      <c r="N45" s="4">
        <f t="shared" ref="N45:V45" ca="1" si="10">N46*N25</f>
        <v>0</v>
      </c>
      <c r="O45" s="4">
        <f t="shared" ca="1" si="10"/>
        <v>0</v>
      </c>
      <c r="P45" s="4">
        <f t="shared" ca="1" si="10"/>
        <v>0</v>
      </c>
      <c r="Q45" s="4">
        <f t="shared" ca="1" si="10"/>
        <v>0</v>
      </c>
      <c r="R45" s="4">
        <f t="shared" ca="1" si="10"/>
        <v>0</v>
      </c>
      <c r="S45" s="4">
        <f t="shared" ca="1" si="10"/>
        <v>0</v>
      </c>
      <c r="T45" s="4">
        <f t="shared" ca="1" si="10"/>
        <v>0</v>
      </c>
      <c r="U45" s="4">
        <f t="shared" ca="1" si="10"/>
        <v>0</v>
      </c>
      <c r="V45" s="4">
        <f t="shared" ca="1" si="10"/>
        <v>0</v>
      </c>
    </row>
    <row r="46" spans="2:22" x14ac:dyDescent="0.2">
      <c r="B46" s="52" t="s">
        <v>344</v>
      </c>
      <c r="G46" s="61" t="e">
        <f t="shared" ref="G46:L46" si="11">G45/G25</f>
        <v>#DIV/0!</v>
      </c>
      <c r="H46" s="61" t="e">
        <f t="shared" si="11"/>
        <v>#DIV/0!</v>
      </c>
      <c r="I46" s="61" t="e">
        <f t="shared" si="11"/>
        <v>#DIV/0!</v>
      </c>
      <c r="J46" s="61" t="e">
        <f t="shared" si="11"/>
        <v>#DIV/0!</v>
      </c>
      <c r="K46" s="61" t="e">
        <f t="shared" si="11"/>
        <v>#DIV/0!</v>
      </c>
      <c r="L46" s="61" t="e">
        <f t="shared" si="11"/>
        <v>#DIV/0!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</row>
    <row r="48" spans="2:22" x14ac:dyDescent="0.2">
      <c r="B48" s="2" t="s">
        <v>166</v>
      </c>
      <c r="G48" s="4"/>
      <c r="H48" s="4"/>
      <c r="I48" s="4"/>
      <c r="J48" s="4"/>
      <c r="K48" s="4"/>
      <c r="L48" s="4"/>
      <c r="M48" s="4">
        <f ca="1">M49*M25</f>
        <v>0</v>
      </c>
      <c r="N48" s="4">
        <f t="shared" ref="N48:V48" ca="1" si="12">N49*N25</f>
        <v>0</v>
      </c>
      <c r="O48" s="4">
        <f t="shared" ca="1" si="12"/>
        <v>0</v>
      </c>
      <c r="P48" s="4">
        <f t="shared" ca="1" si="12"/>
        <v>0</v>
      </c>
      <c r="Q48" s="4">
        <f t="shared" ca="1" si="12"/>
        <v>0</v>
      </c>
      <c r="R48" s="4">
        <f t="shared" ca="1" si="12"/>
        <v>0</v>
      </c>
      <c r="S48" s="4">
        <f t="shared" ca="1" si="12"/>
        <v>0</v>
      </c>
      <c r="T48" s="4">
        <f t="shared" ca="1" si="12"/>
        <v>0</v>
      </c>
      <c r="U48" s="4">
        <f t="shared" ca="1" si="12"/>
        <v>0</v>
      </c>
      <c r="V48" s="4">
        <f t="shared" ca="1" si="12"/>
        <v>0</v>
      </c>
    </row>
    <row r="49" spans="2:24" x14ac:dyDescent="0.2">
      <c r="B49" s="52" t="s">
        <v>344</v>
      </c>
      <c r="G49" s="61" t="e">
        <f t="shared" ref="G49:L49" si="13">G48/G25</f>
        <v>#DIV/0!</v>
      </c>
      <c r="H49" s="61" t="e">
        <f t="shared" si="13"/>
        <v>#DIV/0!</v>
      </c>
      <c r="I49" s="61" t="e">
        <f t="shared" si="13"/>
        <v>#DIV/0!</v>
      </c>
      <c r="J49" s="61" t="e">
        <f t="shared" si="13"/>
        <v>#DIV/0!</v>
      </c>
      <c r="K49" s="61" t="e">
        <f t="shared" si="13"/>
        <v>#DIV/0!</v>
      </c>
      <c r="L49" s="61" t="e">
        <f t="shared" si="13"/>
        <v>#DIV/0!</v>
      </c>
      <c r="M49" s="62"/>
      <c r="N49" s="62"/>
      <c r="O49" s="62"/>
      <c r="P49" s="62"/>
      <c r="Q49" s="62"/>
      <c r="R49" s="62"/>
      <c r="S49" s="62"/>
      <c r="T49" s="62"/>
      <c r="U49" s="62"/>
      <c r="V49" s="62"/>
    </row>
    <row r="51" spans="2:24" x14ac:dyDescent="0.2">
      <c r="B51" s="63" t="s">
        <v>349</v>
      </c>
      <c r="C51" s="64"/>
      <c r="D51" s="64"/>
      <c r="E51" s="64"/>
      <c r="F51" s="64"/>
      <c r="G51" s="65">
        <f>G40+G42+G45+G48</f>
        <v>0</v>
      </c>
      <c r="H51" s="65">
        <f t="shared" ref="H51:U51" si="14">H40+H42+H45+H48</f>
        <v>0</v>
      </c>
      <c r="I51" s="65">
        <f t="shared" si="14"/>
        <v>0</v>
      </c>
      <c r="J51" s="65">
        <f t="shared" si="14"/>
        <v>0</v>
      </c>
      <c r="K51" s="65">
        <f t="shared" si="14"/>
        <v>0</v>
      </c>
      <c r="L51" s="65">
        <f t="shared" si="14"/>
        <v>0</v>
      </c>
      <c r="M51" s="65">
        <f ca="1">M40+M42+M45+M48</f>
        <v>0</v>
      </c>
      <c r="N51" s="65">
        <f t="shared" ca="1" si="14"/>
        <v>0</v>
      </c>
      <c r="O51" s="65">
        <f t="shared" ca="1" si="14"/>
        <v>0</v>
      </c>
      <c r="P51" s="65">
        <f t="shared" ca="1" si="14"/>
        <v>0</v>
      </c>
      <c r="Q51" s="65">
        <f t="shared" ca="1" si="14"/>
        <v>0</v>
      </c>
      <c r="R51" s="65">
        <f t="shared" ca="1" si="14"/>
        <v>0</v>
      </c>
      <c r="S51" s="65">
        <f t="shared" ca="1" si="14"/>
        <v>0</v>
      </c>
      <c r="T51" s="65">
        <f t="shared" ca="1" si="14"/>
        <v>0</v>
      </c>
      <c r="U51" s="65">
        <f t="shared" ca="1" si="14"/>
        <v>0</v>
      </c>
      <c r="V51" s="66">
        <f ca="1">V40+V42+V45+V48</f>
        <v>0</v>
      </c>
    </row>
    <row r="52" spans="2:24" x14ac:dyDescent="0.2">
      <c r="B52" s="67" t="s">
        <v>350</v>
      </c>
      <c r="C52" s="68"/>
      <c r="D52" s="68"/>
      <c r="E52" s="68"/>
      <c r="F52" s="68"/>
      <c r="G52" s="69"/>
      <c r="H52" s="69"/>
      <c r="I52" s="69"/>
      <c r="J52" s="69"/>
      <c r="K52" s="69"/>
      <c r="L52" s="69"/>
      <c r="M52" s="69">
        <f ca="1">(M51/(1+$E$18)^M53)*M53</f>
        <v>0</v>
      </c>
      <c r="N52" s="69">
        <f ca="1">N51/(1+$E$18)^N53</f>
        <v>0</v>
      </c>
      <c r="O52" s="69">
        <f t="shared" ref="O52:U52" ca="1" si="15">O51/(1+$E$18)^O53</f>
        <v>0</v>
      </c>
      <c r="P52" s="69">
        <f t="shared" ca="1" si="15"/>
        <v>0</v>
      </c>
      <c r="Q52" s="69">
        <f t="shared" ca="1" si="15"/>
        <v>0</v>
      </c>
      <c r="R52" s="69">
        <f t="shared" ca="1" si="15"/>
        <v>0</v>
      </c>
      <c r="S52" s="69">
        <f t="shared" ca="1" si="15"/>
        <v>0</v>
      </c>
      <c r="T52" s="69">
        <f t="shared" ca="1" si="15"/>
        <v>0</v>
      </c>
      <c r="U52" s="69">
        <f t="shared" ca="1" si="15"/>
        <v>0</v>
      </c>
      <c r="V52" s="70">
        <f ca="1">V51/(1+$E$18)^V53</f>
        <v>0</v>
      </c>
    </row>
    <row r="53" spans="2:24" x14ac:dyDescent="0.2">
      <c r="B53" s="2" t="s">
        <v>351</v>
      </c>
      <c r="M53" s="2">
        <f ca="1">YEARFRAC(E4,E5)</f>
        <v>125.67222222222222</v>
      </c>
      <c r="N53" s="2">
        <f ca="1">M53+1</f>
        <v>126.67222222222222</v>
      </c>
      <c r="O53" s="2">
        <f ca="1">N53+1</f>
        <v>127.67222222222222</v>
      </c>
      <c r="P53" s="2">
        <f t="shared" ref="P53:V53" ca="1" si="16">O53+1</f>
        <v>128.67222222222222</v>
      </c>
      <c r="Q53" s="2">
        <f t="shared" ca="1" si="16"/>
        <v>129.67222222222222</v>
      </c>
      <c r="R53" s="2">
        <f t="shared" ca="1" si="16"/>
        <v>130.67222222222222</v>
      </c>
      <c r="S53" s="2">
        <f t="shared" ca="1" si="16"/>
        <v>131.67222222222222</v>
      </c>
      <c r="T53" s="2">
        <f t="shared" ca="1" si="16"/>
        <v>132.67222222222222</v>
      </c>
      <c r="U53" s="2">
        <f t="shared" ca="1" si="16"/>
        <v>133.67222222222222</v>
      </c>
      <c r="V53" s="2">
        <f t="shared" ca="1" si="16"/>
        <v>134.67222222222222</v>
      </c>
    </row>
    <row r="54" spans="2:24" x14ac:dyDescent="0.2">
      <c r="B54" s="2" t="s">
        <v>352</v>
      </c>
      <c r="N54" s="71"/>
      <c r="O54" s="71"/>
      <c r="P54" s="71"/>
      <c r="Q54" s="71"/>
      <c r="V54" s="4">
        <f ca="1">SUM(M52:V52)</f>
        <v>0</v>
      </c>
    </row>
    <row r="55" spans="2:24" x14ac:dyDescent="0.2">
      <c r="B55" s="2" t="s">
        <v>353</v>
      </c>
      <c r="N55" s="71"/>
      <c r="O55" s="71"/>
      <c r="P55" s="71"/>
      <c r="Q55" s="71"/>
      <c r="V55" s="4" t="e">
        <f ca="1">+(V40*(1+E19))*(1-(E19/E20))/(E18-E19)</f>
        <v>#DIV/0!</v>
      </c>
      <c r="X55" s="36" t="s">
        <v>354</v>
      </c>
    </row>
    <row r="56" spans="2:24" x14ac:dyDescent="0.2">
      <c r="B56" s="19" t="s">
        <v>355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72"/>
      <c r="O56" s="72"/>
      <c r="P56" s="72"/>
      <c r="Q56" s="72"/>
      <c r="R56" s="72"/>
      <c r="S56" s="72"/>
      <c r="T56" s="72"/>
      <c r="U56" s="72"/>
      <c r="V56" s="73" t="e">
        <f ca="1">V55/(1+E18)^V53</f>
        <v>#DIV/0!</v>
      </c>
    </row>
    <row r="57" spans="2:24" x14ac:dyDescent="0.2">
      <c r="B57" s="74" t="s">
        <v>356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5"/>
      <c r="O57" s="75"/>
      <c r="P57" s="75"/>
      <c r="Q57" s="75"/>
      <c r="R57" s="75"/>
      <c r="S57" s="75"/>
      <c r="T57" s="75"/>
      <c r="U57" s="75"/>
      <c r="V57" s="76" t="e">
        <f ca="1">V54+V56</f>
        <v>#DIV/0!</v>
      </c>
    </row>
    <row r="58" spans="2:24" x14ac:dyDescent="0.2">
      <c r="B58" s="2" t="s">
        <v>357</v>
      </c>
      <c r="N58" s="71"/>
      <c r="O58" s="71"/>
      <c r="P58" s="71"/>
      <c r="Q58" s="71"/>
      <c r="V58" s="77"/>
    </row>
    <row r="59" spans="2:24" x14ac:dyDescent="0.2">
      <c r="B59" s="19" t="s">
        <v>358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72"/>
      <c r="O59" s="72"/>
      <c r="P59" s="72"/>
      <c r="Q59" s="72"/>
      <c r="R59" s="72"/>
      <c r="S59" s="72"/>
      <c r="T59" s="72"/>
      <c r="U59" s="72"/>
      <c r="V59" s="73"/>
    </row>
    <row r="60" spans="2:24" x14ac:dyDescent="0.2">
      <c r="B60" s="2" t="s">
        <v>359</v>
      </c>
      <c r="N60" s="71"/>
      <c r="O60" s="71"/>
      <c r="P60" s="71"/>
      <c r="Q60" s="71"/>
      <c r="V60" s="77" t="e">
        <f ca="1">V57+V58-V59</f>
        <v>#DIV/0!</v>
      </c>
    </row>
    <row r="61" spans="2:24" x14ac:dyDescent="0.2">
      <c r="B61" s="19" t="s">
        <v>360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72"/>
      <c r="O61" s="72"/>
      <c r="P61" s="72"/>
      <c r="Q61" s="72"/>
      <c r="R61" s="72"/>
      <c r="S61" s="72"/>
      <c r="T61" s="72"/>
      <c r="U61" s="72"/>
      <c r="V61" s="73"/>
    </row>
    <row r="62" spans="2:24" x14ac:dyDescent="0.2">
      <c r="B62" s="2" t="s">
        <v>317</v>
      </c>
      <c r="V62" s="77" t="e">
        <f ca="1">V60/V61</f>
        <v>#DIV/0!</v>
      </c>
    </row>
    <row r="66" spans="1:22" x14ac:dyDescent="0.2">
      <c r="A66" s="46" t="s">
        <v>192</v>
      </c>
      <c r="B66" s="47" t="s">
        <v>361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</row>
    <row r="68" spans="1:22" x14ac:dyDescent="0.2">
      <c r="B68" s="78"/>
      <c r="C68" s="79" t="s">
        <v>334</v>
      </c>
      <c r="D68" s="79"/>
      <c r="E68" s="79"/>
      <c r="F68" s="79"/>
      <c r="G68" s="79"/>
      <c r="H68" s="79"/>
      <c r="I68" s="79"/>
      <c r="J68" s="80"/>
      <c r="M68" s="78"/>
      <c r="N68" s="81" t="s">
        <v>362</v>
      </c>
      <c r="O68" s="81"/>
      <c r="P68" s="81"/>
      <c r="Q68" s="81"/>
      <c r="R68" s="81"/>
      <c r="S68" s="81"/>
      <c r="T68" s="81"/>
      <c r="U68" s="82"/>
    </row>
    <row r="69" spans="1:22" x14ac:dyDescent="0.2">
      <c r="B69" s="83" t="s">
        <v>312</v>
      </c>
      <c r="C69" s="84" t="e">
        <f ca="1">+J4</f>
        <v>#DIV/0!</v>
      </c>
      <c r="D69" s="85"/>
      <c r="E69" s="85"/>
      <c r="F69" s="85"/>
      <c r="G69" s="85"/>
      <c r="H69" s="85"/>
      <c r="I69" s="85"/>
      <c r="J69" s="85"/>
      <c r="M69" s="83" t="s">
        <v>312</v>
      </c>
      <c r="N69" s="84" t="e">
        <f ca="1">+J4</f>
        <v>#DIV/0!</v>
      </c>
      <c r="O69" s="85"/>
      <c r="P69" s="85"/>
      <c r="Q69" s="85"/>
      <c r="R69" s="85"/>
      <c r="S69" s="85"/>
      <c r="T69" s="85"/>
      <c r="U69" s="85"/>
    </row>
    <row r="70" spans="1:22" x14ac:dyDescent="0.2">
      <c r="B70" s="83"/>
      <c r="C70" s="86"/>
      <c r="D70" s="87"/>
      <c r="E70" s="87"/>
      <c r="F70" s="87"/>
      <c r="G70" s="88"/>
      <c r="H70" s="87"/>
      <c r="I70" s="87"/>
      <c r="J70" s="87"/>
      <c r="M70" s="83"/>
      <c r="N70" s="86"/>
      <c r="O70" s="87"/>
      <c r="P70" s="87"/>
      <c r="Q70" s="87"/>
      <c r="R70" s="88"/>
      <c r="S70" s="87"/>
      <c r="T70" s="87"/>
      <c r="U70" s="87"/>
    </row>
    <row r="71" spans="1:22" x14ac:dyDescent="0.2">
      <c r="B71" s="83"/>
      <c r="C71" s="86"/>
      <c r="D71" s="87"/>
      <c r="E71" s="87"/>
      <c r="F71" s="87"/>
      <c r="G71" s="88"/>
      <c r="H71" s="87"/>
      <c r="I71" s="87"/>
      <c r="J71" s="87"/>
      <c r="M71" s="83"/>
      <c r="N71" s="86"/>
      <c r="O71" s="87"/>
      <c r="P71" s="87"/>
      <c r="Q71" s="87"/>
      <c r="R71" s="88"/>
      <c r="S71" s="87"/>
      <c r="T71" s="87"/>
      <c r="U71" s="87"/>
    </row>
    <row r="72" spans="1:22" x14ac:dyDescent="0.2">
      <c r="B72" s="83"/>
      <c r="C72" s="86"/>
      <c r="D72" s="88"/>
      <c r="E72" s="88"/>
      <c r="F72" s="88"/>
      <c r="G72" s="88"/>
      <c r="H72" s="88"/>
      <c r="I72" s="88"/>
      <c r="J72" s="88"/>
      <c r="M72" s="83"/>
      <c r="N72" s="86"/>
      <c r="O72" s="88"/>
      <c r="P72" s="88"/>
      <c r="Q72" s="88"/>
      <c r="R72" s="88"/>
      <c r="S72" s="88"/>
      <c r="T72" s="88"/>
      <c r="U72" s="88"/>
    </row>
    <row r="73" spans="1:22" x14ac:dyDescent="0.2">
      <c r="B73" s="83"/>
      <c r="C73" s="86"/>
      <c r="D73" s="87"/>
      <c r="E73" s="87"/>
      <c r="F73" s="87"/>
      <c r="G73" s="88"/>
      <c r="H73" s="87"/>
      <c r="I73" s="87"/>
      <c r="J73" s="87"/>
      <c r="M73" s="83"/>
      <c r="N73" s="86"/>
      <c r="O73" s="87"/>
      <c r="P73" s="87"/>
      <c r="Q73" s="87"/>
      <c r="R73" s="88"/>
      <c r="S73" s="87"/>
      <c r="T73" s="87"/>
      <c r="U73" s="87"/>
    </row>
    <row r="74" spans="1:22" x14ac:dyDescent="0.2">
      <c r="B74" s="83"/>
      <c r="C74" s="86"/>
      <c r="D74" s="87"/>
      <c r="E74" s="87"/>
      <c r="F74" s="87"/>
      <c r="G74" s="88"/>
      <c r="H74" s="87"/>
      <c r="I74" s="87"/>
      <c r="J74" s="87"/>
      <c r="M74" s="83"/>
      <c r="N74" s="86"/>
      <c r="O74" s="87"/>
      <c r="P74" s="87"/>
      <c r="Q74" s="87"/>
      <c r="R74" s="88"/>
      <c r="S74" s="87"/>
      <c r="T74" s="87"/>
      <c r="U74" s="87"/>
    </row>
    <row r="75" spans="1:22" x14ac:dyDescent="0.2">
      <c r="B75" s="83"/>
      <c r="C75" s="86"/>
      <c r="D75" s="87"/>
      <c r="E75" s="87"/>
      <c r="F75" s="87"/>
      <c r="G75" s="88"/>
      <c r="H75" s="87"/>
      <c r="I75" s="87"/>
      <c r="J75" s="87"/>
      <c r="M75" s="83"/>
      <c r="N75" s="86"/>
      <c r="O75" s="87"/>
      <c r="P75" s="87"/>
      <c r="Q75" s="87"/>
      <c r="R75" s="88"/>
      <c r="S75" s="87"/>
      <c r="T75" s="87"/>
      <c r="U75" s="87"/>
    </row>
    <row r="76" spans="1:22" x14ac:dyDescent="0.2">
      <c r="B76" s="89"/>
      <c r="C76" s="86"/>
      <c r="D76" s="87"/>
      <c r="E76" s="87"/>
      <c r="F76" s="87"/>
      <c r="G76" s="88"/>
      <c r="H76" s="87"/>
      <c r="I76" s="87"/>
      <c r="J76" s="87"/>
      <c r="M76" s="89"/>
      <c r="N76" s="86"/>
      <c r="O76" s="87"/>
      <c r="P76" s="87"/>
      <c r="Q76" s="87"/>
      <c r="R76" s="88"/>
      <c r="S76" s="87"/>
      <c r="T76" s="87"/>
      <c r="U76" s="87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6081869B-AD02-4DDF-8D09-65B77001313A}">
      <formula1>"1,2,3"</formula1>
    </dataValidation>
  </dataValidations>
  <hyperlinks>
    <hyperlink ref="A1" location="Main!A1" display="Main" xr:uid="{C0C6AFE1-CA6A-46DB-ABD1-BC25536D82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60D2-37B1-4DAF-9BC1-79D4AB8F1764}">
  <dimension ref="A1:I48"/>
  <sheetViews>
    <sheetView showGridLines="0" zoomScaleNormal="100" workbookViewId="0">
      <selection activeCell="E7" sqref="E7"/>
    </sheetView>
  </sheetViews>
  <sheetFormatPr defaultRowHeight="12.75" x14ac:dyDescent="0.2"/>
  <cols>
    <col min="1" max="1" width="5.42578125" style="2" bestFit="1" customWidth="1"/>
    <col min="2" max="16384" width="9.140625" style="2"/>
  </cols>
  <sheetData>
    <row r="1" spans="1:8" x14ac:dyDescent="0.2">
      <c r="A1" s="7" t="s">
        <v>6</v>
      </c>
    </row>
    <row r="3" spans="1:8" x14ac:dyDescent="0.2">
      <c r="B3" s="47" t="s">
        <v>278</v>
      </c>
      <c r="C3" s="47"/>
      <c r="D3" s="47"/>
      <c r="E3" s="47"/>
      <c r="F3" s="47"/>
    </row>
    <row r="4" spans="1:8" x14ac:dyDescent="0.2">
      <c r="A4" s="35" t="s">
        <v>192</v>
      </c>
      <c r="B4" s="6" t="s">
        <v>279</v>
      </c>
    </row>
    <row r="5" spans="1:8" x14ac:dyDescent="0.2">
      <c r="B5" s="6" t="s">
        <v>280</v>
      </c>
    </row>
    <row r="6" spans="1:8" x14ac:dyDescent="0.2">
      <c r="B6" s="2" t="s">
        <v>281</v>
      </c>
      <c r="H6" s="36" t="s">
        <v>282</v>
      </c>
    </row>
    <row r="7" spans="1:8" x14ac:dyDescent="0.2">
      <c r="B7" s="2" t="s">
        <v>283</v>
      </c>
      <c r="H7" s="36" t="s">
        <v>284</v>
      </c>
    </row>
    <row r="8" spans="1:8" x14ac:dyDescent="0.2">
      <c r="B8" s="2" t="s">
        <v>280</v>
      </c>
      <c r="F8" s="2">
        <f>F6+F7</f>
        <v>0</v>
      </c>
      <c r="H8" s="36" t="s">
        <v>285</v>
      </c>
    </row>
    <row r="10" spans="1:8" x14ac:dyDescent="0.2">
      <c r="A10" s="35" t="s">
        <v>192</v>
      </c>
      <c r="B10" s="6" t="s">
        <v>286</v>
      </c>
    </row>
    <row r="11" spans="1:8" x14ac:dyDescent="0.2">
      <c r="B11" s="2" t="s">
        <v>287</v>
      </c>
      <c r="H11" s="36" t="s">
        <v>288</v>
      </c>
    </row>
    <row r="12" spans="1:8" x14ac:dyDescent="0.2">
      <c r="B12" s="2" t="s">
        <v>289</v>
      </c>
      <c r="H12" s="36" t="s">
        <v>290</v>
      </c>
    </row>
    <row r="13" spans="1:8" x14ac:dyDescent="0.2">
      <c r="B13" s="2" t="s">
        <v>291</v>
      </c>
      <c r="H13" s="36" t="s">
        <v>292</v>
      </c>
    </row>
    <row r="14" spans="1:8" x14ac:dyDescent="0.2">
      <c r="B14" s="2" t="s">
        <v>293</v>
      </c>
      <c r="H14" s="36" t="s">
        <v>294</v>
      </c>
    </row>
    <row r="15" spans="1:8" x14ac:dyDescent="0.2">
      <c r="B15" s="2" t="s">
        <v>295</v>
      </c>
      <c r="H15" s="36" t="s">
        <v>296</v>
      </c>
    </row>
    <row r="17" spans="1:8" x14ac:dyDescent="0.2">
      <c r="A17" s="35" t="s">
        <v>192</v>
      </c>
      <c r="B17" s="6" t="s">
        <v>297</v>
      </c>
    </row>
    <row r="18" spans="1:8" x14ac:dyDescent="0.2">
      <c r="B18" s="2" t="s">
        <v>298</v>
      </c>
      <c r="H18" s="36" t="s">
        <v>299</v>
      </c>
    </row>
    <row r="19" spans="1:8" x14ac:dyDescent="0.2">
      <c r="B19" s="2" t="s">
        <v>280</v>
      </c>
    </row>
    <row r="20" spans="1:8" x14ac:dyDescent="0.2">
      <c r="B20" s="2" t="s">
        <v>297</v>
      </c>
      <c r="F20" s="2">
        <f>F18-F19</f>
        <v>0</v>
      </c>
    </row>
    <row r="22" spans="1:8" x14ac:dyDescent="0.2">
      <c r="A22" s="35" t="s">
        <v>192</v>
      </c>
      <c r="B22" s="90" t="s">
        <v>279</v>
      </c>
      <c r="C22" s="74"/>
      <c r="D22" s="74"/>
      <c r="E22" s="74"/>
      <c r="F22" s="91">
        <f>F8+F15*F20</f>
        <v>0</v>
      </c>
      <c r="H22" s="36" t="s">
        <v>300</v>
      </c>
    </row>
    <row r="25" spans="1:8" x14ac:dyDescent="0.2">
      <c r="A25" s="35" t="s">
        <v>192</v>
      </c>
      <c r="B25" s="6" t="s">
        <v>301</v>
      </c>
    </row>
    <row r="26" spans="1:8" x14ac:dyDescent="0.2">
      <c r="B26" s="2" t="s">
        <v>302</v>
      </c>
      <c r="H26" s="36" t="s">
        <v>303</v>
      </c>
    </row>
    <row r="27" spans="1:8" x14ac:dyDescent="0.2">
      <c r="B27" s="2" t="s">
        <v>304</v>
      </c>
    </row>
    <row r="28" spans="1:8" x14ac:dyDescent="0.2">
      <c r="B28" s="2" t="s">
        <v>280</v>
      </c>
    </row>
    <row r="29" spans="1:8" x14ac:dyDescent="0.2">
      <c r="B29" s="2" t="s">
        <v>305</v>
      </c>
    </row>
    <row r="30" spans="1:8" x14ac:dyDescent="0.2">
      <c r="B30" s="2" t="s">
        <v>306</v>
      </c>
    </row>
    <row r="32" spans="1:8" x14ac:dyDescent="0.2">
      <c r="A32" s="35" t="s">
        <v>192</v>
      </c>
      <c r="B32" s="90" t="s">
        <v>301</v>
      </c>
      <c r="C32" s="74"/>
      <c r="D32" s="74"/>
      <c r="E32" s="74"/>
      <c r="F32" s="91">
        <f>F28+F29+F30</f>
        <v>0</v>
      </c>
    </row>
    <row r="34" spans="1:9" x14ac:dyDescent="0.2">
      <c r="A34" s="35" t="s">
        <v>192</v>
      </c>
      <c r="B34" s="6" t="s">
        <v>307</v>
      </c>
    </row>
    <row r="35" spans="1:9" x14ac:dyDescent="0.2">
      <c r="B35" s="2" t="s">
        <v>308</v>
      </c>
    </row>
    <row r="36" spans="1:9" x14ac:dyDescent="0.2">
      <c r="B36" s="2" t="s">
        <v>309</v>
      </c>
    </row>
    <row r="37" spans="1:9" x14ac:dyDescent="0.2">
      <c r="B37" s="2" t="s">
        <v>310</v>
      </c>
      <c r="F37" s="2">
        <f>F35+F36</f>
        <v>0</v>
      </c>
    </row>
    <row r="39" spans="1:9" x14ac:dyDescent="0.2">
      <c r="B39" s="2" t="s">
        <v>311</v>
      </c>
    </row>
    <row r="41" spans="1:9" x14ac:dyDescent="0.2">
      <c r="A41" s="35" t="s">
        <v>192</v>
      </c>
      <c r="B41" s="90" t="s">
        <v>312</v>
      </c>
      <c r="C41" s="74"/>
      <c r="D41" s="74"/>
      <c r="E41" s="74"/>
      <c r="F41" s="91" t="e">
        <f>(F32*(F35/F37)*(1-F39))+((F36/F38)*F22)</f>
        <v>#DIV/0!</v>
      </c>
      <c r="H41" s="36" t="s">
        <v>313</v>
      </c>
    </row>
    <row r="47" spans="1:9" x14ac:dyDescent="0.2">
      <c r="I47" s="2" t="e">
        <f>SLOPE(H48:H52,K48:K52)</f>
        <v>#DIV/0!</v>
      </c>
    </row>
    <row r="48" spans="1:9" x14ac:dyDescent="0.2">
      <c r="H48" s="2" t="s">
        <v>314</v>
      </c>
    </row>
  </sheetData>
  <hyperlinks>
    <hyperlink ref="A1" location="Main!A1" display="Main" xr:uid="{0FBE4F93-2C89-43EF-BB8A-A009324A3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Quarters</vt:lpstr>
      <vt:lpstr>Model</vt:lpstr>
      <vt:lpstr>Ratios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2024-07-02T09:23:32Z</dcterms:created>
  <dcterms:modified xsi:type="dcterms:W3CDTF">2025-09-02T11:25:08Z</dcterms:modified>
</cp:coreProperties>
</file>