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C4EE3A8-F77D-4ED7-93E8-31B83DC28080}" xr6:coauthVersionLast="47" xr6:coauthVersionMax="47" xr10:uidLastSave="{00000000-0000-0000-0000-000000000000}"/>
  <bookViews>
    <workbookView xWindow="-120" yWindow="-120" windowWidth="38640" windowHeight="21060" activeTab="1" xr2:uid="{86C4971A-A7D1-48DA-A0F7-A80DD1620C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2" l="1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37" i="2" s="1"/>
  <c r="I6" i="1"/>
  <c r="L10" i="2"/>
  <c r="L9" i="2"/>
  <c r="L8" i="2"/>
  <c r="L32" i="2" s="1"/>
  <c r="L7" i="2"/>
  <c r="L31" i="2" s="1"/>
  <c r="L6" i="2"/>
  <c r="L30" i="2"/>
  <c r="L27" i="2"/>
  <c r="L38" i="2"/>
  <c r="K38" i="2"/>
  <c r="K37" i="2"/>
  <c r="K36" i="2"/>
  <c r="K35" i="2"/>
  <c r="L34" i="2"/>
  <c r="K34" i="2"/>
  <c r="L33" i="2"/>
  <c r="K33" i="2"/>
  <c r="K32" i="2"/>
  <c r="K31" i="2"/>
  <c r="K30" i="2"/>
  <c r="K27" i="2"/>
  <c r="K25" i="2"/>
  <c r="K23" i="2"/>
  <c r="K21" i="2"/>
  <c r="K18" i="2"/>
  <c r="K15" i="2"/>
  <c r="K13" i="2"/>
  <c r="J38" i="2"/>
  <c r="J37" i="2"/>
  <c r="J36" i="2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I38" i="2"/>
  <c r="I37" i="2"/>
  <c r="I36" i="2"/>
  <c r="I24" i="2"/>
  <c r="I22" i="2"/>
  <c r="I20" i="2"/>
  <c r="I19" i="2"/>
  <c r="I17" i="2"/>
  <c r="I16" i="2"/>
  <c r="I14" i="2"/>
  <c r="I12" i="2"/>
  <c r="I10" i="2"/>
  <c r="I9" i="2"/>
  <c r="I8" i="2"/>
  <c r="I7" i="2"/>
  <c r="I6" i="2"/>
  <c r="H24" i="2"/>
  <c r="H22" i="2"/>
  <c r="H20" i="2"/>
  <c r="H19" i="2"/>
  <c r="H17" i="2"/>
  <c r="H16" i="2"/>
  <c r="H14" i="2"/>
  <c r="H12" i="2"/>
  <c r="H11" i="2"/>
  <c r="H13" i="2" s="1"/>
  <c r="H15" i="2" s="1"/>
  <c r="H10" i="2"/>
  <c r="H9" i="2"/>
  <c r="H8" i="2"/>
  <c r="H7" i="2"/>
  <c r="H6" i="2"/>
  <c r="D11" i="2"/>
  <c r="D10" i="2"/>
  <c r="D9" i="2"/>
  <c r="H33" i="2" s="1"/>
  <c r="D8" i="2"/>
  <c r="H32" i="2" s="1"/>
  <c r="D7" i="2"/>
  <c r="H31" i="2" s="1"/>
  <c r="D6" i="2"/>
  <c r="E6" i="2" s="1"/>
  <c r="I30" i="2" s="1"/>
  <c r="C28" i="2"/>
  <c r="G28" i="2"/>
  <c r="J34" i="2"/>
  <c r="J33" i="2"/>
  <c r="J32" i="2"/>
  <c r="J31" i="2"/>
  <c r="J30" i="2"/>
  <c r="G35" i="2"/>
  <c r="G34" i="2"/>
  <c r="G33" i="2"/>
  <c r="G32" i="2"/>
  <c r="G31" i="2"/>
  <c r="G30" i="2"/>
  <c r="R13" i="2"/>
  <c r="R36" i="2" s="1"/>
  <c r="S13" i="2"/>
  <c r="S15" i="2" s="1"/>
  <c r="S36" i="2"/>
  <c r="Q36" i="2"/>
  <c r="P36" i="2"/>
  <c r="T35" i="2"/>
  <c r="S35" i="2"/>
  <c r="R35" i="2"/>
  <c r="U35" i="2"/>
  <c r="T13" i="2"/>
  <c r="T36" i="2" s="1"/>
  <c r="U13" i="2"/>
  <c r="U36" i="2" s="1"/>
  <c r="I4" i="1"/>
  <c r="G13" i="2"/>
  <c r="G15" i="2" s="1"/>
  <c r="G18" i="2" s="1"/>
  <c r="G21" i="2" s="1"/>
  <c r="G23" i="2" s="1"/>
  <c r="G25" i="2" s="1"/>
  <c r="C13" i="2"/>
  <c r="C15" i="2" s="1"/>
  <c r="C18" i="2" s="1"/>
  <c r="C21" i="2" s="1"/>
  <c r="C23" i="2" s="1"/>
  <c r="C25" i="2" s="1"/>
  <c r="C27" i="2" s="1"/>
  <c r="L35" i="2" l="1"/>
  <c r="L36" i="2"/>
  <c r="H18" i="2"/>
  <c r="H21" i="2" s="1"/>
  <c r="H23" i="2" s="1"/>
  <c r="H25" i="2" s="1"/>
  <c r="H27" i="2" s="1"/>
  <c r="H34" i="2"/>
  <c r="D13" i="2"/>
  <c r="D15" i="2" s="1"/>
  <c r="D18" i="2" s="1"/>
  <c r="D21" i="2" s="1"/>
  <c r="D23" i="2" s="1"/>
  <c r="D25" i="2" s="1"/>
  <c r="D27" i="2" s="1"/>
  <c r="E11" i="2"/>
  <c r="E13" i="2" s="1"/>
  <c r="E15" i="2" s="1"/>
  <c r="E18" i="2" s="1"/>
  <c r="E21" i="2" s="1"/>
  <c r="E23" i="2" s="1"/>
  <c r="E25" i="2" s="1"/>
  <c r="E27" i="2" s="1"/>
  <c r="H30" i="2"/>
  <c r="E7" i="2"/>
  <c r="I31" i="2" s="1"/>
  <c r="E8" i="2"/>
  <c r="I32" i="2" s="1"/>
  <c r="E9" i="2"/>
  <c r="I33" i="2" s="1"/>
  <c r="E10" i="2"/>
  <c r="I34" i="2" s="1"/>
  <c r="I11" i="2"/>
  <c r="J11" i="2" s="1"/>
  <c r="H35" i="2"/>
  <c r="G27" i="2"/>
  <c r="U15" i="2"/>
  <c r="U18" i="2" s="1"/>
  <c r="U21" i="2" s="1"/>
  <c r="U23" i="2" s="1"/>
  <c r="U25" i="2" s="1"/>
  <c r="T15" i="2"/>
  <c r="T18" i="2" s="1"/>
  <c r="T21" i="2" s="1"/>
  <c r="T23" i="2" s="1"/>
  <c r="T25" i="2" s="1"/>
  <c r="R15" i="2"/>
  <c r="I7" i="1"/>
  <c r="J13" i="2" l="1"/>
  <c r="J15" i="2" s="1"/>
  <c r="J18" i="2" s="1"/>
  <c r="J21" i="2" s="1"/>
  <c r="J23" i="2" s="1"/>
  <c r="J25" i="2" s="1"/>
  <c r="J27" i="2" s="1"/>
  <c r="I13" i="2"/>
  <c r="I15" i="2" s="1"/>
  <c r="I18" i="2" s="1"/>
  <c r="I21" i="2" s="1"/>
  <c r="I23" i="2" s="1"/>
  <c r="I25" i="2" s="1"/>
  <c r="I27" i="2" s="1"/>
  <c r="I35" i="2"/>
  <c r="F11" i="2"/>
  <c r="F13" i="2" s="1"/>
  <c r="F15" i="2" s="1"/>
  <c r="F18" i="2" s="1"/>
  <c r="F21" i="2" s="1"/>
  <c r="F23" i="2" s="1"/>
  <c r="F25" i="2" s="1"/>
  <c r="F27" i="2" s="1"/>
  <c r="J3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H28" authorId="0" shapeId="0" xr:uid="{2433AD1F-7026-4777-9395-9F162F3DAAE9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Stock Split 4 for 1 June 27th 2024</t>
        </r>
      </text>
    </comment>
  </commentList>
</comments>
</file>

<file path=xl/sharedStrings.xml><?xml version="1.0" encoding="utf-8"?>
<sst xmlns="http://schemas.openxmlformats.org/spreadsheetml/2006/main" count="70" uniqueCount="60">
  <si>
    <t>Asics Group</t>
  </si>
  <si>
    <t>Price</t>
  </si>
  <si>
    <t>Shares</t>
  </si>
  <si>
    <t>MC</t>
  </si>
  <si>
    <t>Cash</t>
  </si>
  <si>
    <t>Debt</t>
  </si>
  <si>
    <t>EV</t>
  </si>
  <si>
    <t>7936.T</t>
  </si>
  <si>
    <t>IR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</si>
  <si>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</si>
  <si>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</si>
  <si>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</si>
  <si>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</si>
  <si>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</si>
  <si>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</si>
  <si>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</si>
  <si>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</si>
  <si>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</si>
  <si>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</si>
  <si>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</si>
  <si>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</si>
  <si>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OneASICS membership</t>
  </si>
  <si>
    <t>E-commerce sales</t>
  </si>
  <si>
    <t>numbers in mio YEN</t>
  </si>
  <si>
    <t>SGA</t>
  </si>
  <si>
    <t>Operating Income</t>
  </si>
  <si>
    <t>Non-operating Income</t>
  </si>
  <si>
    <t>Non-operating expense</t>
  </si>
  <si>
    <t>Extraordinary Income</t>
  </si>
  <si>
    <t>Extraordinary Losses</t>
  </si>
  <si>
    <t>Ordinary Profit</t>
  </si>
  <si>
    <t>Pretax Income</t>
  </si>
  <si>
    <t>Tax Expense</t>
  </si>
  <si>
    <t>Net Income</t>
  </si>
  <si>
    <t>Minority Interest Share</t>
  </si>
  <si>
    <t>Net Income to Company</t>
  </si>
  <si>
    <t>EPS</t>
  </si>
  <si>
    <t>Performance Running</t>
  </si>
  <si>
    <t>Core Performance Sport</t>
  </si>
  <si>
    <t>Appereal &amp; Equipment</t>
  </si>
  <si>
    <t>Sportstyle</t>
  </si>
  <si>
    <t>Onitsuka Tiger</t>
  </si>
  <si>
    <t>FY19</t>
  </si>
  <si>
    <t>FY20</t>
  </si>
  <si>
    <t>FY21</t>
  </si>
  <si>
    <t>FY22</t>
  </si>
  <si>
    <t>FY23</t>
  </si>
  <si>
    <t>FY24</t>
  </si>
  <si>
    <t>Brands:</t>
  </si>
  <si>
    <t>Asics</t>
  </si>
  <si>
    <t xml:space="preserve">Asics Tiger </t>
  </si>
  <si>
    <t>Haglöfs</t>
  </si>
  <si>
    <t>Q125</t>
  </si>
  <si>
    <t>Q225</t>
  </si>
  <si>
    <t>Q325</t>
  </si>
  <si>
    <t>Q425</t>
  </si>
  <si>
    <t>Revenue Growth</t>
  </si>
  <si>
    <t>Operating Margin</t>
  </si>
  <si>
    <t>Gros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</si>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</sst>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;\(#,##0\)"/>
    <numFmt numFmtId="167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6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7" fillId="0" borderId="0" xfId="1" applyFont="1"/>
    <xf numFmtId="164" fontId="1" fillId="0" borderId="0" xfId="0" applyNumberFormat="1" applyFont="1"/>
    <xf numFmtId="3" fontId="6" fillId="0" borderId="0" xfId="0" applyNumberFormat="1" applyFont="1"/>
    <xf numFmtId="165" fontId="1" fillId="0" borderId="0" xfId="0" applyNumberFormat="1" applyFont="1"/>
    <xf numFmtId="9" fontId="1" fillId="0" borderId="0" xfId="2" applyFont="1"/>
    <xf numFmtId="9" fontId="6" fillId="0" borderId="0" xfId="2" applyFont="1"/>
    <xf numFmtId="165" fontId="6" fillId="0" borderId="0" xfId="0" applyNumberFormat="1" applyFont="1"/>
    <xf numFmtId="167" fontId="1" fillId="0" borderId="0" xfId="0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.asics.com/en/investor_relation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CA5A-AD74-4A89-82B4-2A5ED42596B0}">
  <dimension ref="A1:J11"/>
  <sheetViews>
    <sheetView zoomScale="200" zoomScaleNormal="200" workbookViewId="0">
      <selection activeCell="B11" sqref="B11"/>
    </sheetView>
  </sheetViews>
  <sheetFormatPr defaultRowHeight="12.75" x14ac:dyDescent="0.2"/>
  <cols>
    <col min="1" max="1" width="4.5703125" style="2" customWidth="1"/>
    <col min="2" max="8" width="9.140625" style="2"/>
    <col min="9" max="9" width="10.140625" style="2" bestFit="1" customWidth="1"/>
    <col min="10" max="16384" width="9.140625" style="2"/>
  </cols>
  <sheetData>
    <row r="1" spans="1:10" x14ac:dyDescent="0.2">
      <c r="A1" s="1" t="s">
        <v>0</v>
      </c>
    </row>
    <row r="2" spans="1:10" x14ac:dyDescent="0.2">
      <c r="A2" s="2" t="s">
        <v>23</v>
      </c>
      <c r="H2" s="2" t="s">
        <v>1</v>
      </c>
      <c r="I2" s="3">
        <v>4245</v>
      </c>
    </row>
    <row r="3" spans="1:10" x14ac:dyDescent="0.2">
      <c r="H3" s="2" t="s">
        <v>2</v>
      </c>
      <c r="I3" s="3">
        <v>734.48223599999994</v>
      </c>
      <c r="J3" s="4" t="s">
        <v>53</v>
      </c>
    </row>
    <row r="4" spans="1:10" x14ac:dyDescent="0.2">
      <c r="B4" s="2" t="s">
        <v>7</v>
      </c>
      <c r="H4" s="2" t="s">
        <v>3</v>
      </c>
      <c r="I4" s="3">
        <f>+I2*I3</f>
        <v>3117877.0918199997</v>
      </c>
    </row>
    <row r="5" spans="1:10" x14ac:dyDescent="0.2">
      <c r="B5" s="5" t="s">
        <v>8</v>
      </c>
      <c r="H5" s="2" t="s">
        <v>4</v>
      </c>
      <c r="I5" s="3">
        <v>124662</v>
      </c>
      <c r="J5" s="4" t="s">
        <v>53</v>
      </c>
    </row>
    <row r="6" spans="1:10" x14ac:dyDescent="0.2">
      <c r="H6" s="2" t="s">
        <v>5</v>
      </c>
      <c r="I6" s="3">
        <f>0+25000+35000</f>
        <v>60000</v>
      </c>
      <c r="J6" s="4" t="s">
        <v>53</v>
      </c>
    </row>
    <row r="7" spans="1:10" x14ac:dyDescent="0.2">
      <c r="B7" s="2" t="s">
        <v>48</v>
      </c>
      <c r="H7" s="2" t="s">
        <v>6</v>
      </c>
      <c r="I7" s="3">
        <f>+I4-I5+I6</f>
        <v>3053215.0918199997</v>
      </c>
    </row>
    <row r="8" spans="1:10" x14ac:dyDescent="0.2">
      <c r="B8" s="2" t="s">
        <v>49</v>
      </c>
    </row>
    <row r="9" spans="1:10" x14ac:dyDescent="0.2">
      <c r="B9" s="2" t="s">
        <v>41</v>
      </c>
    </row>
    <row r="10" spans="1:10" x14ac:dyDescent="0.2">
      <c r="B10" s="2" t="s">
        <v>50</v>
      </c>
    </row>
    <row r="11" spans="1:10" x14ac:dyDescent="0.2">
      <c r="B11" s="2" t="s">
        <v>51</v>
      </c>
    </row>
  </sheetData>
  <hyperlinks>
    <hyperlink ref="B5" r:id="rId1" xr:uid="{0CDF24B8-6EA2-4916-9557-164E0E9110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1B03-897F-4FBF-8E19-27D8F6677ACE}">
  <dimension ref="A1:BN318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7" sqref="D27"/>
    </sheetView>
  </sheetViews>
  <sheetFormatPr defaultRowHeight="12.75" x14ac:dyDescent="0.2"/>
  <cols>
    <col min="1" max="1" width="5.42578125" style="2" bestFit="1" customWidth="1"/>
    <col min="2" max="2" width="24.85546875" style="2" customWidth="1"/>
    <col min="3" max="16384" width="9.140625" style="2"/>
  </cols>
  <sheetData>
    <row r="1" spans="1:21" x14ac:dyDescent="0.2">
      <c r="A1" s="5" t="s">
        <v>9</v>
      </c>
    </row>
    <row r="2" spans="1:21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52</v>
      </c>
      <c r="L2" s="4" t="s">
        <v>53</v>
      </c>
      <c r="M2" s="4" t="s">
        <v>54</v>
      </c>
      <c r="N2" s="4" t="s">
        <v>55</v>
      </c>
      <c r="P2" s="4" t="s">
        <v>42</v>
      </c>
      <c r="Q2" s="4" t="s">
        <v>43</v>
      </c>
      <c r="R2" s="4" t="s">
        <v>44</v>
      </c>
      <c r="S2" s="4" t="s">
        <v>45</v>
      </c>
      <c r="T2" s="4" t="s">
        <v>46</v>
      </c>
      <c r="U2" s="4" t="s">
        <v>47</v>
      </c>
    </row>
    <row r="3" spans="1:21" s="8" customFormat="1" x14ac:dyDescent="0.2">
      <c r="A3" s="2"/>
      <c r="B3" s="2" t="s">
        <v>21</v>
      </c>
      <c r="I3" s="8">
        <v>16.600000000000001</v>
      </c>
    </row>
    <row r="4" spans="1:21" s="8" customFormat="1" x14ac:dyDescent="0.2">
      <c r="A4" s="2"/>
      <c r="B4" s="2" t="s">
        <v>22</v>
      </c>
      <c r="I4" s="8">
        <v>101000</v>
      </c>
    </row>
    <row r="5" spans="1:21" s="8" customFormat="1" x14ac:dyDescent="0.2">
      <c r="A5" s="2"/>
      <c r="B5" s="2"/>
    </row>
    <row r="6" spans="1:21" s="8" customFormat="1" x14ac:dyDescent="0.2">
      <c r="A6" s="2"/>
      <c r="B6" s="2" t="s">
        <v>37</v>
      </c>
      <c r="C6" s="8">
        <v>77913</v>
      </c>
      <c r="D6" s="8">
        <f>147839-C6</f>
        <v>69926</v>
      </c>
      <c r="E6" s="8">
        <f>227070-SUM(C6:D6)</f>
        <v>79231</v>
      </c>
      <c r="G6" s="8">
        <v>87894</v>
      </c>
      <c r="H6" s="8">
        <f>170903-G6</f>
        <v>83009</v>
      </c>
      <c r="I6" s="8">
        <f>258277-SUM(G6:H6)</f>
        <v>87374</v>
      </c>
      <c r="K6" s="8">
        <v>98003</v>
      </c>
      <c r="L6" s="8">
        <f>184964-K6</f>
        <v>86961</v>
      </c>
      <c r="T6" s="8">
        <v>285929</v>
      </c>
      <c r="U6" s="8">
        <v>326936</v>
      </c>
    </row>
    <row r="7" spans="1:21" s="8" customFormat="1" x14ac:dyDescent="0.2">
      <c r="A7" s="2"/>
      <c r="B7" s="2" t="s">
        <v>38</v>
      </c>
      <c r="C7" s="8">
        <v>22741</v>
      </c>
      <c r="D7" s="8">
        <f>40430-C7</f>
        <v>17689</v>
      </c>
      <c r="E7" s="8">
        <f>61048-SUM(C7:D7)</f>
        <v>20618</v>
      </c>
      <c r="G7" s="8">
        <v>24884</v>
      </c>
      <c r="H7" s="8">
        <f>42086-G7</f>
        <v>17202</v>
      </c>
      <c r="I7" s="8">
        <f>64884-SUM(G7:H7)</f>
        <v>22798</v>
      </c>
      <c r="K7" s="8">
        <v>25497</v>
      </c>
      <c r="L7" s="8">
        <f>44118-K7</f>
        <v>18621</v>
      </c>
      <c r="T7" s="8">
        <v>72154</v>
      </c>
      <c r="U7" s="8">
        <v>78620</v>
      </c>
    </row>
    <row r="8" spans="1:21" s="8" customFormat="1" x14ac:dyDescent="0.2">
      <c r="A8" s="2"/>
      <c r="B8" s="2" t="s">
        <v>39</v>
      </c>
      <c r="C8" s="8">
        <v>9605</v>
      </c>
      <c r="D8" s="8">
        <f>18075-C8</f>
        <v>8470</v>
      </c>
      <c r="E8" s="8">
        <f>28018-SUM(C8:D8)</f>
        <v>9943</v>
      </c>
      <c r="G8" s="8">
        <v>9325</v>
      </c>
      <c r="H8" s="8">
        <f>18713-G8</f>
        <v>9388</v>
      </c>
      <c r="I8" s="8">
        <f>29130-SUM(G8:H8)</f>
        <v>10417</v>
      </c>
      <c r="K8" s="8">
        <v>10339</v>
      </c>
      <c r="L8" s="8">
        <f>20003-K8</f>
        <v>9664</v>
      </c>
      <c r="T8" s="8">
        <v>36185</v>
      </c>
      <c r="U8" s="8">
        <v>38065</v>
      </c>
    </row>
    <row r="9" spans="1:21" s="8" customFormat="1" x14ac:dyDescent="0.2">
      <c r="A9" s="2"/>
      <c r="B9" s="2" t="s">
        <v>40</v>
      </c>
      <c r="C9" s="8">
        <v>15487</v>
      </c>
      <c r="D9" s="8">
        <f>28077-C9</f>
        <v>12590</v>
      </c>
      <c r="E9" s="8">
        <f>45958-SUM(C9:D9)</f>
        <v>17881</v>
      </c>
      <c r="G9" s="8">
        <v>23493</v>
      </c>
      <c r="H9" s="8">
        <f>45986-G9</f>
        <v>22493</v>
      </c>
      <c r="I9" s="8">
        <f>75085-SUM(G9:H9)</f>
        <v>29099</v>
      </c>
      <c r="K9" s="8">
        <v>35144</v>
      </c>
      <c r="L9" s="8">
        <f>67314-K9</f>
        <v>32170</v>
      </c>
      <c r="T9" s="8">
        <v>59257</v>
      </c>
      <c r="U9" s="8">
        <v>98425</v>
      </c>
    </row>
    <row r="10" spans="1:21" s="8" customFormat="1" x14ac:dyDescent="0.2">
      <c r="A10" s="2"/>
      <c r="B10" s="2" t="s">
        <v>41</v>
      </c>
      <c r="C10" s="8">
        <v>12124</v>
      </c>
      <c r="D10" s="8">
        <f>28297-C10</f>
        <v>16173</v>
      </c>
      <c r="E10" s="8">
        <f>44874-SUM(C10:D10)</f>
        <v>16577</v>
      </c>
      <c r="G10" s="8">
        <v>18024</v>
      </c>
      <c r="H10" s="8">
        <f>43884-G10</f>
        <v>25860</v>
      </c>
      <c r="I10" s="8">
        <f>68535-SUM(G10:H10)</f>
        <v>24651</v>
      </c>
      <c r="K10" s="8">
        <v>28325</v>
      </c>
      <c r="L10" s="8">
        <f>65876-K10</f>
        <v>37551</v>
      </c>
      <c r="T10" s="8">
        <v>60304</v>
      </c>
      <c r="U10" s="8">
        <v>95439</v>
      </c>
    </row>
    <row r="11" spans="1:21" s="8" customFormat="1" x14ac:dyDescent="0.2">
      <c r="A11" s="2"/>
      <c r="B11" s="1" t="s">
        <v>18</v>
      </c>
      <c r="C11" s="11">
        <v>152297</v>
      </c>
      <c r="D11" s="11">
        <f>290079-C11</f>
        <v>137782</v>
      </c>
      <c r="E11" s="11">
        <f>448105-SUM(C11:D11)</f>
        <v>158026</v>
      </c>
      <c r="F11" s="11">
        <f>+T11-SUM(C11:E11)</f>
        <v>122358</v>
      </c>
      <c r="G11" s="11">
        <v>174102</v>
      </c>
      <c r="H11" s="11">
        <f>342199-G11</f>
        <v>168097</v>
      </c>
      <c r="I11" s="11">
        <f>525454-SUM(G11:H11)</f>
        <v>183255</v>
      </c>
      <c r="J11" s="11">
        <f>+U11-SUM(G11:I11)</f>
        <v>153072</v>
      </c>
      <c r="K11" s="11">
        <v>208313</v>
      </c>
      <c r="L11" s="11">
        <f>402798-K11</f>
        <v>194485</v>
      </c>
      <c r="M11" s="11"/>
      <c r="N11" s="11"/>
      <c r="R11" s="11">
        <v>404083</v>
      </c>
      <c r="S11" s="11">
        <v>484601</v>
      </c>
      <c r="T11" s="11">
        <v>570463</v>
      </c>
      <c r="U11" s="11">
        <v>678526</v>
      </c>
    </row>
    <row r="12" spans="1:21" s="8" customFormat="1" x14ac:dyDescent="0.2">
      <c r="A12" s="2"/>
      <c r="B12" s="2" t="s">
        <v>19</v>
      </c>
      <c r="C12" s="8">
        <v>75873</v>
      </c>
      <c r="D12" s="8">
        <v>142083</v>
      </c>
      <c r="E12" s="8">
        <v>218477</v>
      </c>
      <c r="G12" s="8">
        <v>79254</v>
      </c>
      <c r="H12" s="8">
        <f>152108-G12</f>
        <v>72854</v>
      </c>
      <c r="I12" s="8">
        <f>234533-SUM(G12:H12)</f>
        <v>82425</v>
      </c>
      <c r="K12" s="8">
        <v>91990</v>
      </c>
      <c r="L12" s="8">
        <f>174356-K12</f>
        <v>82366</v>
      </c>
      <c r="R12" s="8">
        <v>204205</v>
      </c>
      <c r="S12" s="8">
        <v>243894</v>
      </c>
      <c r="T12" s="8">
        <v>273566</v>
      </c>
      <c r="U12" s="8">
        <v>299648</v>
      </c>
    </row>
    <row r="13" spans="1:21" s="8" customFormat="1" x14ac:dyDescent="0.2">
      <c r="A13" s="2"/>
      <c r="B13" s="2" t="s">
        <v>20</v>
      </c>
      <c r="C13" s="8">
        <f t="shared" ref="C13:H13" si="0">+C11-C12</f>
        <v>76424</v>
      </c>
      <c r="D13" s="8">
        <f t="shared" si="0"/>
        <v>-4301</v>
      </c>
      <c r="E13" s="8">
        <f t="shared" si="0"/>
        <v>-60451</v>
      </c>
      <c r="F13" s="8">
        <f t="shared" si="0"/>
        <v>122358</v>
      </c>
      <c r="G13" s="8">
        <f t="shared" si="0"/>
        <v>94848</v>
      </c>
      <c r="H13" s="8">
        <f t="shared" si="0"/>
        <v>95243</v>
      </c>
      <c r="I13" s="8">
        <f>+I11-I12</f>
        <v>100830</v>
      </c>
      <c r="J13" s="8">
        <f t="shared" ref="J13:L13" si="1">+J11-J12</f>
        <v>153072</v>
      </c>
      <c r="K13" s="8">
        <f t="shared" si="1"/>
        <v>116323</v>
      </c>
      <c r="L13" s="8">
        <f t="shared" si="1"/>
        <v>112119</v>
      </c>
      <c r="R13" s="8">
        <f>+R11-R12</f>
        <v>199878</v>
      </c>
      <c r="S13" s="8">
        <f>+S11-S12</f>
        <v>240707</v>
      </c>
      <c r="T13" s="8">
        <f>+T11-T12</f>
        <v>296897</v>
      </c>
      <c r="U13" s="8">
        <f>+U11-U12</f>
        <v>378878</v>
      </c>
    </row>
    <row r="14" spans="1:21" s="8" customFormat="1" x14ac:dyDescent="0.2">
      <c r="A14" s="2"/>
      <c r="B14" s="2" t="s">
        <v>24</v>
      </c>
      <c r="C14" s="8">
        <v>54303</v>
      </c>
      <c r="D14" s="8">
        <v>114385</v>
      </c>
      <c r="E14" s="8">
        <v>173822</v>
      </c>
      <c r="G14" s="8">
        <v>61034</v>
      </c>
      <c r="H14" s="8">
        <f>131094-G14</f>
        <v>70060</v>
      </c>
      <c r="I14" s="8">
        <f>199397-SUM(G14:H14)</f>
        <v>68303</v>
      </c>
      <c r="K14" s="8">
        <v>71810</v>
      </c>
      <c r="L14" s="8">
        <f>147310-K14</f>
        <v>75500</v>
      </c>
      <c r="R14" s="8">
        <v>177932</v>
      </c>
      <c r="S14" s="8">
        <v>206704</v>
      </c>
      <c r="T14" s="8">
        <v>242680</v>
      </c>
      <c r="U14" s="8">
        <v>278766</v>
      </c>
    </row>
    <row r="15" spans="1:21" s="8" customFormat="1" x14ac:dyDescent="0.2">
      <c r="A15" s="2"/>
      <c r="B15" s="2" t="s">
        <v>25</v>
      </c>
      <c r="C15" s="8">
        <f t="shared" ref="C15:H15" si="2">+C13-C14</f>
        <v>22121</v>
      </c>
      <c r="D15" s="8">
        <f t="shared" si="2"/>
        <v>-118686</v>
      </c>
      <c r="E15" s="8">
        <f t="shared" si="2"/>
        <v>-234273</v>
      </c>
      <c r="F15" s="8">
        <f t="shared" si="2"/>
        <v>122358</v>
      </c>
      <c r="G15" s="8">
        <f t="shared" si="2"/>
        <v>33814</v>
      </c>
      <c r="H15" s="8">
        <f t="shared" si="2"/>
        <v>25183</v>
      </c>
      <c r="I15" s="8">
        <f>+I13-I14</f>
        <v>32527</v>
      </c>
      <c r="J15" s="8">
        <f t="shared" ref="J15:L15" si="3">+J13-J14</f>
        <v>153072</v>
      </c>
      <c r="K15" s="8">
        <f t="shared" si="3"/>
        <v>44513</v>
      </c>
      <c r="L15" s="8">
        <f t="shared" si="3"/>
        <v>36619</v>
      </c>
      <c r="R15" s="8">
        <f t="shared" ref="R15:S15" si="4">+R13-R14</f>
        <v>21946</v>
      </c>
      <c r="S15" s="8">
        <f t="shared" si="4"/>
        <v>34003</v>
      </c>
      <c r="T15" s="8">
        <f>+T13-T14</f>
        <v>54217</v>
      </c>
      <c r="U15" s="8">
        <f>+U13-U14</f>
        <v>100112</v>
      </c>
    </row>
    <row r="16" spans="1:21" s="8" customFormat="1" x14ac:dyDescent="0.2">
      <c r="A16" s="2"/>
      <c r="B16" s="2" t="s">
        <v>26</v>
      </c>
      <c r="C16" s="8">
        <v>1511</v>
      </c>
      <c r="D16" s="8">
        <v>3482</v>
      </c>
      <c r="E16" s="8">
        <v>4398</v>
      </c>
      <c r="G16" s="8">
        <v>1636</v>
      </c>
      <c r="H16" s="8">
        <f>3802-G16</f>
        <v>2166</v>
      </c>
      <c r="I16" s="8">
        <f>5815-SUM(G16:H16)</f>
        <v>2013</v>
      </c>
      <c r="K16" s="8">
        <v>1640</v>
      </c>
      <c r="L16" s="8">
        <f>2551-K16</f>
        <v>911</v>
      </c>
      <c r="T16" s="8">
        <v>5301</v>
      </c>
      <c r="U16" s="8">
        <v>5745</v>
      </c>
    </row>
    <row r="17" spans="1:66" s="8" customFormat="1" x14ac:dyDescent="0.2">
      <c r="A17" s="2"/>
      <c r="B17" s="2" t="s">
        <v>27</v>
      </c>
      <c r="C17" s="8">
        <v>1711</v>
      </c>
      <c r="D17" s="8">
        <v>3273</v>
      </c>
      <c r="E17" s="8">
        <v>5455</v>
      </c>
      <c r="G17" s="8">
        <v>2372</v>
      </c>
      <c r="H17" s="8">
        <f>4976-G17</f>
        <v>2604</v>
      </c>
      <c r="I17" s="8">
        <f>9059-SUM(G17:H17)</f>
        <v>4083</v>
      </c>
      <c r="K17" s="8">
        <v>2775</v>
      </c>
      <c r="L17" s="8">
        <f>5056-K17</f>
        <v>2281</v>
      </c>
      <c r="T17" s="8">
        <v>8845</v>
      </c>
      <c r="U17" s="8">
        <v>13255</v>
      </c>
    </row>
    <row r="18" spans="1:66" s="8" customFormat="1" x14ac:dyDescent="0.2">
      <c r="A18" s="2"/>
      <c r="B18" s="2" t="s">
        <v>30</v>
      </c>
      <c r="C18" s="8">
        <f t="shared" ref="C18:H18" si="5">+C15-C17+C16</f>
        <v>21921</v>
      </c>
      <c r="D18" s="8">
        <f t="shared" si="5"/>
        <v>-118477</v>
      </c>
      <c r="E18" s="8">
        <f t="shared" si="5"/>
        <v>-235330</v>
      </c>
      <c r="F18" s="8">
        <f t="shared" si="5"/>
        <v>122358</v>
      </c>
      <c r="G18" s="8">
        <f t="shared" si="5"/>
        <v>33078</v>
      </c>
      <c r="H18" s="8">
        <f t="shared" si="5"/>
        <v>24745</v>
      </c>
      <c r="I18" s="8">
        <f>+I15-I17+I16</f>
        <v>30457</v>
      </c>
      <c r="J18" s="8">
        <f t="shared" ref="J18:L18" si="6">+J15-J17+J16</f>
        <v>153072</v>
      </c>
      <c r="K18" s="8">
        <f t="shared" si="6"/>
        <v>43378</v>
      </c>
      <c r="L18" s="8">
        <f t="shared" si="6"/>
        <v>35249</v>
      </c>
      <c r="T18" s="8">
        <f>+T15+T16-T17</f>
        <v>50673</v>
      </c>
      <c r="U18" s="8">
        <f>+U15+U16-U17</f>
        <v>92602</v>
      </c>
    </row>
    <row r="19" spans="1:66" s="8" customFormat="1" x14ac:dyDescent="0.2">
      <c r="A19" s="2"/>
      <c r="B19" s="2" t="s">
        <v>28</v>
      </c>
      <c r="C19" s="8">
        <v>1</v>
      </c>
      <c r="D19" s="8">
        <v>8</v>
      </c>
      <c r="E19" s="8">
        <v>1499</v>
      </c>
      <c r="G19" s="8">
        <v>1</v>
      </c>
      <c r="H19" s="8">
        <f>267-G19</f>
        <v>266</v>
      </c>
      <c r="I19" s="8">
        <f>5924-SUM(G19:H19)</f>
        <v>5657</v>
      </c>
      <c r="K19" s="8">
        <v>12</v>
      </c>
      <c r="L19" s="8">
        <f>2305-K19</f>
        <v>2293</v>
      </c>
      <c r="T19" s="8">
        <v>8418</v>
      </c>
      <c r="U19" s="8">
        <v>7174</v>
      </c>
    </row>
    <row r="20" spans="1:66" s="8" customFormat="1" x14ac:dyDescent="0.2">
      <c r="A20" s="2"/>
      <c r="B20" s="2" t="s">
        <v>29</v>
      </c>
      <c r="C20" s="8">
        <v>317</v>
      </c>
      <c r="D20" s="8">
        <v>429</v>
      </c>
      <c r="E20" s="8">
        <v>1019</v>
      </c>
      <c r="G20" s="8">
        <v>15</v>
      </c>
      <c r="H20" s="8">
        <f>31-G20</f>
        <v>16</v>
      </c>
      <c r="I20" s="8">
        <f>2129-SUM(G20:H20)</f>
        <v>2098</v>
      </c>
      <c r="K20" s="8">
        <v>6</v>
      </c>
      <c r="L20" s="8">
        <f>200-K20</f>
        <v>194</v>
      </c>
      <c r="T20" s="8">
        <v>8516</v>
      </c>
      <c r="U20" s="8">
        <v>6531</v>
      </c>
    </row>
    <row r="21" spans="1:66" s="8" customFormat="1" x14ac:dyDescent="0.2">
      <c r="A21" s="2"/>
      <c r="B21" s="2" t="s">
        <v>31</v>
      </c>
      <c r="C21" s="8">
        <f t="shared" ref="C21:H21" si="7">+C18+C19-C20</f>
        <v>21605</v>
      </c>
      <c r="D21" s="8">
        <f t="shared" si="7"/>
        <v>-118898</v>
      </c>
      <c r="E21" s="8">
        <f t="shared" si="7"/>
        <v>-234850</v>
      </c>
      <c r="F21" s="8">
        <f t="shared" si="7"/>
        <v>122358</v>
      </c>
      <c r="G21" s="8">
        <f t="shared" si="7"/>
        <v>33064</v>
      </c>
      <c r="H21" s="8">
        <f t="shared" si="7"/>
        <v>24995</v>
      </c>
      <c r="I21" s="8">
        <f>+I18+I19-I20</f>
        <v>34016</v>
      </c>
      <c r="J21" s="8">
        <f t="shared" ref="J21:L21" si="8">+J18+J19-J20</f>
        <v>153072</v>
      </c>
      <c r="K21" s="8">
        <f t="shared" si="8"/>
        <v>43384</v>
      </c>
      <c r="L21" s="8">
        <f t="shared" si="8"/>
        <v>37348</v>
      </c>
      <c r="T21" s="8">
        <f>+T18+T19-T20</f>
        <v>50575</v>
      </c>
      <c r="U21" s="8">
        <f>+U18+U19-U20</f>
        <v>93245</v>
      </c>
    </row>
    <row r="22" spans="1:66" s="8" customFormat="1" x14ac:dyDescent="0.2">
      <c r="A22" s="2"/>
      <c r="B22" s="2" t="s">
        <v>32</v>
      </c>
      <c r="C22" s="8">
        <v>5189</v>
      </c>
      <c r="D22" s="8">
        <v>8473</v>
      </c>
      <c r="E22" s="8">
        <v>14865</v>
      </c>
      <c r="G22" s="8">
        <v>6239</v>
      </c>
      <c r="H22" s="8">
        <f>15761-G22</f>
        <v>9522</v>
      </c>
      <c r="I22" s="8">
        <f>27112-SUM(G22:H22)</f>
        <v>11351</v>
      </c>
      <c r="K22" s="8">
        <v>11654</v>
      </c>
      <c r="L22" s="8">
        <f>27048-K22</f>
        <v>15394</v>
      </c>
      <c r="T22" s="8">
        <v>15119</v>
      </c>
      <c r="U22" s="8">
        <v>29299</v>
      </c>
    </row>
    <row r="23" spans="1:66" s="8" customFormat="1" x14ac:dyDescent="0.2">
      <c r="A23" s="2"/>
      <c r="B23" s="2" t="s">
        <v>33</v>
      </c>
      <c r="C23" s="8">
        <f t="shared" ref="C23:H23" si="9">+C21-C22</f>
        <v>16416</v>
      </c>
      <c r="D23" s="8">
        <f t="shared" si="9"/>
        <v>-127371</v>
      </c>
      <c r="E23" s="8">
        <f t="shared" si="9"/>
        <v>-249715</v>
      </c>
      <c r="F23" s="8">
        <f t="shared" si="9"/>
        <v>122358</v>
      </c>
      <c r="G23" s="8">
        <f t="shared" si="9"/>
        <v>26825</v>
      </c>
      <c r="H23" s="8">
        <f t="shared" si="9"/>
        <v>15473</v>
      </c>
      <c r="I23" s="8">
        <f>+I21-I22</f>
        <v>22665</v>
      </c>
      <c r="J23" s="8">
        <f t="shared" ref="J23:L23" si="10">+J21-J22</f>
        <v>153072</v>
      </c>
      <c r="K23" s="8">
        <f t="shared" si="10"/>
        <v>31730</v>
      </c>
      <c r="L23" s="8">
        <f t="shared" si="10"/>
        <v>21954</v>
      </c>
      <c r="T23" s="8">
        <f>+T21-T22</f>
        <v>35456</v>
      </c>
      <c r="U23" s="8">
        <f>+U21-U22</f>
        <v>63946</v>
      </c>
    </row>
    <row r="24" spans="1:66" s="8" customFormat="1" x14ac:dyDescent="0.2">
      <c r="A24" s="2"/>
      <c r="B24" s="2" t="s">
        <v>34</v>
      </c>
      <c r="C24" s="8">
        <v>105</v>
      </c>
      <c r="D24" s="8">
        <v>129</v>
      </c>
      <c r="E24" s="8">
        <v>81</v>
      </c>
      <c r="G24" s="8">
        <v>85</v>
      </c>
      <c r="H24" s="8">
        <f>77-G24</f>
        <v>-8</v>
      </c>
      <c r="I24" s="8">
        <f>20-SUM(G24:H24)</f>
        <v>-57</v>
      </c>
      <c r="K24" s="8">
        <v>80</v>
      </c>
      <c r="L24" s="8">
        <f>76-K24</f>
        <v>-4</v>
      </c>
      <c r="T24" s="8">
        <v>180</v>
      </c>
      <c r="U24" s="8">
        <v>138</v>
      </c>
    </row>
    <row r="25" spans="1:66" s="8" customFormat="1" x14ac:dyDescent="0.2">
      <c r="A25" s="2"/>
      <c r="B25" s="2" t="s">
        <v>35</v>
      </c>
      <c r="C25" s="8">
        <f t="shared" ref="C25:H25" si="11">+C23-C24</f>
        <v>16311</v>
      </c>
      <c r="D25" s="8">
        <f t="shared" si="11"/>
        <v>-127500</v>
      </c>
      <c r="E25" s="8">
        <f t="shared" si="11"/>
        <v>-249796</v>
      </c>
      <c r="F25" s="8">
        <f t="shared" si="11"/>
        <v>122358</v>
      </c>
      <c r="G25" s="8">
        <f>+G23-G24</f>
        <v>26740</v>
      </c>
      <c r="H25" s="8">
        <f t="shared" si="11"/>
        <v>15481</v>
      </c>
      <c r="I25" s="8">
        <f>+I23-I24</f>
        <v>22722</v>
      </c>
      <c r="J25" s="8">
        <f t="shared" ref="J25:L25" si="12">+J23-J24</f>
        <v>153072</v>
      </c>
      <c r="K25" s="8">
        <f t="shared" si="12"/>
        <v>31650</v>
      </c>
      <c r="L25" s="8">
        <f t="shared" si="12"/>
        <v>21958</v>
      </c>
      <c r="T25" s="8">
        <f>+T23-T24</f>
        <v>35276</v>
      </c>
      <c r="U25" s="8">
        <f>+U23-U24</f>
        <v>63808</v>
      </c>
    </row>
    <row r="26" spans="1:66" s="8" customFormat="1" x14ac:dyDescent="0.2">
      <c r="A26" s="2"/>
      <c r="B26" s="2"/>
    </row>
    <row r="27" spans="1:66" s="8" customFormat="1" x14ac:dyDescent="0.2">
      <c r="A27" s="2"/>
      <c r="B27" s="2" t="s">
        <v>36</v>
      </c>
      <c r="C27" s="12">
        <f t="shared" ref="C27:H27" si="13">+C25/C28</f>
        <v>22.262139298476221</v>
      </c>
      <c r="D27" s="12">
        <f t="shared" si="13"/>
        <v>-174.00271459792663</v>
      </c>
      <c r="E27" s="12">
        <f t="shared" si="13"/>
        <v>-340.87626624938014</v>
      </c>
      <c r="F27" s="12" t="e">
        <f t="shared" si="13"/>
        <v>#DIV/0!</v>
      </c>
      <c r="G27" s="12">
        <f t="shared" si="13"/>
        <v>36.654522788407427</v>
      </c>
      <c r="H27" s="12">
        <f t="shared" si="13"/>
        <v>21.298860831508435</v>
      </c>
      <c r="I27" s="12">
        <f>+I25/I28</f>
        <v>31.354480047458221</v>
      </c>
      <c r="J27" s="12" t="e">
        <f t="shared" ref="J27:L27" si="14">+J25/J28</f>
        <v>#DIV/0!</v>
      </c>
      <c r="K27" s="12">
        <f t="shared" si="14"/>
        <v>44.26723755635679</v>
      </c>
      <c r="L27" s="12">
        <f t="shared" si="14"/>
        <v>30.720007084264751</v>
      </c>
    </row>
    <row r="28" spans="1:66" x14ac:dyDescent="0.2">
      <c r="B28" s="2" t="s">
        <v>2</v>
      </c>
      <c r="C28" s="6">
        <f>183.169728*4</f>
        <v>732.67891199999997</v>
      </c>
      <c r="D28" s="6">
        <v>732.74718900000005</v>
      </c>
      <c r="E28" s="6">
        <v>732.80549199999996</v>
      </c>
      <c r="F28" s="6"/>
      <c r="G28" s="6">
        <f>182.378585*4</f>
        <v>729.51433999999995</v>
      </c>
      <c r="H28" s="6">
        <v>726.84638500000005</v>
      </c>
      <c r="I28" s="6">
        <v>724.68112900000006</v>
      </c>
      <c r="J28" s="6"/>
      <c r="K28" s="6">
        <v>714.97571900000003</v>
      </c>
      <c r="L28" s="6">
        <v>714.77848100000006</v>
      </c>
      <c r="M28" s="6"/>
      <c r="N28" s="6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6"/>
      <c r="AZ28" s="6"/>
      <c r="BA28" s="6"/>
      <c r="BB28" s="6"/>
      <c r="BC28" s="6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6"/>
      <c r="AZ29" s="6"/>
      <c r="BA29" s="6"/>
      <c r="BB29" s="6"/>
      <c r="BC29" s="6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x14ac:dyDescent="0.2">
      <c r="B30" s="2" t="s">
        <v>37</v>
      </c>
      <c r="C30" s="3"/>
      <c r="D30" s="3"/>
      <c r="E30" s="3"/>
      <c r="F30" s="3"/>
      <c r="G30" s="9">
        <f t="shared" ref="G30:G35" si="15">+G6/C6-1</f>
        <v>0.12810442416541523</v>
      </c>
      <c r="H30" s="9">
        <f t="shared" ref="H30:H35" si="16">+H6/D6-1</f>
        <v>0.18709778909132502</v>
      </c>
      <c r="I30" s="9">
        <f t="shared" ref="I30:J34" si="17">+I6/E6-1</f>
        <v>0.10277542880943069</v>
      </c>
      <c r="J30" s="9" t="e">
        <f t="shared" si="17"/>
        <v>#DIV/0!</v>
      </c>
      <c r="K30" s="9">
        <f t="shared" ref="K30:K35" si="18">+K6/G6-1</f>
        <v>0.11501353903565659</v>
      </c>
      <c r="L30" s="9">
        <f t="shared" ref="L30:L35" si="19">+L6/H6-1</f>
        <v>4.7609295377609717E-2</v>
      </c>
      <c r="M30" s="9"/>
      <c r="N30" s="9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6"/>
      <c r="AZ30" s="6"/>
      <c r="BA30" s="6"/>
      <c r="BB30" s="6"/>
      <c r="BC30" s="6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66" x14ac:dyDescent="0.2">
      <c r="B31" s="2" t="s">
        <v>38</v>
      </c>
      <c r="C31" s="3"/>
      <c r="D31" s="3"/>
      <c r="E31" s="3"/>
      <c r="F31" s="3"/>
      <c r="G31" s="9">
        <f t="shared" si="15"/>
        <v>9.4235082010465598E-2</v>
      </c>
      <c r="H31" s="9">
        <f t="shared" si="16"/>
        <v>-2.7531234100288349E-2</v>
      </c>
      <c r="I31" s="9">
        <f t="shared" si="17"/>
        <v>0.10573285478707928</v>
      </c>
      <c r="J31" s="9" t="e">
        <f t="shared" si="17"/>
        <v>#DIV/0!</v>
      </c>
      <c r="K31" s="9">
        <f t="shared" si="18"/>
        <v>2.463430316669335E-2</v>
      </c>
      <c r="L31" s="9">
        <f t="shared" si="19"/>
        <v>8.2490408092082301E-2</v>
      </c>
      <c r="M31" s="9"/>
      <c r="N31" s="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6"/>
      <c r="AZ31" s="6"/>
      <c r="BA31" s="6"/>
      <c r="BB31" s="6"/>
      <c r="BC31" s="6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x14ac:dyDescent="0.2">
      <c r="B32" s="2" t="s">
        <v>39</v>
      </c>
      <c r="C32" s="3"/>
      <c r="D32" s="3"/>
      <c r="E32" s="3"/>
      <c r="F32" s="3"/>
      <c r="G32" s="9">
        <f t="shared" si="15"/>
        <v>-2.9151483602290473E-2</v>
      </c>
      <c r="H32" s="9">
        <f t="shared" si="16"/>
        <v>0.10838252656434477</v>
      </c>
      <c r="I32" s="9">
        <f t="shared" si="17"/>
        <v>4.7671728854470574E-2</v>
      </c>
      <c r="J32" s="9" t="e">
        <f t="shared" si="17"/>
        <v>#DIV/0!</v>
      </c>
      <c r="K32" s="9">
        <f t="shared" si="18"/>
        <v>0.10873994638069706</v>
      </c>
      <c r="L32" s="9">
        <f t="shared" si="19"/>
        <v>2.9399233063485353E-2</v>
      </c>
      <c r="M32" s="9"/>
      <c r="N32" s="9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6"/>
      <c r="AZ32" s="6"/>
      <c r="BA32" s="6"/>
      <c r="BB32" s="6"/>
      <c r="BC32" s="6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2:66" x14ac:dyDescent="0.2">
      <c r="B33" s="2" t="s">
        <v>40</v>
      </c>
      <c r="C33" s="3"/>
      <c r="D33" s="3"/>
      <c r="E33" s="3"/>
      <c r="F33" s="3"/>
      <c r="G33" s="9">
        <f t="shared" si="15"/>
        <v>0.51694969974817595</v>
      </c>
      <c r="H33" s="9">
        <f t="shared" si="16"/>
        <v>0.7865766481334393</v>
      </c>
      <c r="I33" s="9">
        <f t="shared" si="17"/>
        <v>0.62736983390190715</v>
      </c>
      <c r="J33" s="9" t="e">
        <f t="shared" si="17"/>
        <v>#DIV/0!</v>
      </c>
      <c r="K33" s="9">
        <f t="shared" si="18"/>
        <v>0.49593495934959342</v>
      </c>
      <c r="L33" s="9">
        <f t="shared" si="19"/>
        <v>0.43022273596229943</v>
      </c>
      <c r="M33" s="9"/>
      <c r="N33" s="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6"/>
      <c r="AZ33" s="6"/>
      <c r="BA33" s="6"/>
      <c r="BB33" s="6"/>
      <c r="BC33" s="6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2:66" x14ac:dyDescent="0.2">
      <c r="B34" s="2" t="s">
        <v>41</v>
      </c>
      <c r="C34" s="3"/>
      <c r="D34" s="3"/>
      <c r="E34" s="3"/>
      <c r="F34" s="3"/>
      <c r="G34" s="9">
        <f t="shared" si="15"/>
        <v>0.48663807324315411</v>
      </c>
      <c r="H34" s="9">
        <f t="shared" si="16"/>
        <v>0.59896123168243376</v>
      </c>
      <c r="I34" s="9">
        <f t="shared" si="17"/>
        <v>0.48706038487060388</v>
      </c>
      <c r="J34" s="9" t="e">
        <f t="shared" si="17"/>
        <v>#DIV/0!</v>
      </c>
      <c r="K34" s="9">
        <f t="shared" si="18"/>
        <v>0.57151575676875277</v>
      </c>
      <c r="L34" s="9">
        <f t="shared" si="19"/>
        <v>0.4520881670533643</v>
      </c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6"/>
      <c r="AZ34" s="6"/>
      <c r="BA34" s="6"/>
      <c r="BB34" s="6"/>
      <c r="BC34" s="6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2:66" x14ac:dyDescent="0.2">
      <c r="B35" s="1" t="s">
        <v>56</v>
      </c>
      <c r="C35" s="7"/>
      <c r="D35" s="7"/>
      <c r="E35" s="7"/>
      <c r="F35" s="7"/>
      <c r="G35" s="10">
        <f t="shared" si="15"/>
        <v>0.14317419253169783</v>
      </c>
      <c r="H35" s="10">
        <f t="shared" si="16"/>
        <v>0.22002148321261128</v>
      </c>
      <c r="I35" s="10">
        <f>+I11/E11-1</f>
        <v>0.15965094351562392</v>
      </c>
      <c r="J35" s="10">
        <f>+J11/F11-1</f>
        <v>0.25101750600696326</v>
      </c>
      <c r="K35" s="10">
        <f t="shared" si="18"/>
        <v>0.19649975301834566</v>
      </c>
      <c r="L35" s="10">
        <f t="shared" si="19"/>
        <v>0.1569807908529004</v>
      </c>
      <c r="M35" s="9"/>
      <c r="N35" s="9"/>
      <c r="O35" s="3"/>
      <c r="P35" s="3"/>
      <c r="Q35" s="3"/>
      <c r="R35" s="9" t="e">
        <f t="shared" ref="R35:T35" si="20">+R11/Q11-1</f>
        <v>#DIV/0!</v>
      </c>
      <c r="S35" s="9">
        <f t="shared" si="20"/>
        <v>0.19926104290455182</v>
      </c>
      <c r="T35" s="9">
        <f t="shared" si="20"/>
        <v>0.17718081473211988</v>
      </c>
      <c r="U35" s="9">
        <f>+U11/T11-1</f>
        <v>0.18943033991687463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6"/>
      <c r="AZ35" s="6"/>
      <c r="BA35" s="6"/>
      <c r="BB35" s="6"/>
      <c r="BC35" s="6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2:66" x14ac:dyDescent="0.2">
      <c r="B36" s="2" t="s">
        <v>58</v>
      </c>
      <c r="C36" s="9">
        <f t="shared" ref="C36:H36" si="21">+C13/C11</f>
        <v>0.50180896537686237</v>
      </c>
      <c r="D36" s="9">
        <f t="shared" si="21"/>
        <v>-3.1215978865163811E-2</v>
      </c>
      <c r="E36" s="9">
        <f t="shared" si="21"/>
        <v>-0.38253831647956665</v>
      </c>
      <c r="F36" s="9">
        <f t="shared" si="21"/>
        <v>1</v>
      </c>
      <c r="G36" s="9">
        <f t="shared" si="21"/>
        <v>0.54478409208395073</v>
      </c>
      <c r="H36" s="9">
        <f t="shared" si="21"/>
        <v>0.56659547761114115</v>
      </c>
      <c r="I36" s="9">
        <f>+I13/I11</f>
        <v>0.55021691086191371</v>
      </c>
      <c r="J36" s="9">
        <f>+J13/J11</f>
        <v>1</v>
      </c>
      <c r="K36" s="9">
        <f t="shared" ref="K36:L36" si="22">+K13/K11</f>
        <v>0.55840490031827106</v>
      </c>
      <c r="L36" s="9">
        <f t="shared" si="22"/>
        <v>0.57649176028999671</v>
      </c>
      <c r="M36" s="3"/>
      <c r="N36" s="3"/>
      <c r="O36" s="3"/>
      <c r="P36" s="9" t="e">
        <f t="shared" ref="P36:T36" si="23">+P13/P11</f>
        <v>#DIV/0!</v>
      </c>
      <c r="Q36" s="9" t="e">
        <f t="shared" si="23"/>
        <v>#DIV/0!</v>
      </c>
      <c r="R36" s="9">
        <f t="shared" si="23"/>
        <v>0.49464590195578634</v>
      </c>
      <c r="S36" s="9">
        <f t="shared" si="23"/>
        <v>0.49671172779255512</v>
      </c>
      <c r="T36" s="9">
        <f t="shared" si="23"/>
        <v>0.52044917900021559</v>
      </c>
      <c r="U36" s="9">
        <f>+U13/U11</f>
        <v>0.55838390864904219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6"/>
      <c r="AZ36" s="6"/>
      <c r="BA36" s="6"/>
      <c r="BB36" s="6"/>
      <c r="BC36" s="6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2:66" x14ac:dyDescent="0.2">
      <c r="B37" s="2" t="s">
        <v>57</v>
      </c>
      <c r="C37" s="9">
        <f t="shared" ref="C37:H37" si="24">+C15/C11</f>
        <v>0.1452490856681353</v>
      </c>
      <c r="D37" s="9">
        <f t="shared" si="24"/>
        <v>-0.86140424728919596</v>
      </c>
      <c r="E37" s="9">
        <f t="shared" si="24"/>
        <v>-1.4824965512004353</v>
      </c>
      <c r="F37" s="9">
        <f t="shared" si="24"/>
        <v>1</v>
      </c>
      <c r="G37" s="9">
        <f t="shared" si="24"/>
        <v>0.19421948053439939</v>
      </c>
      <c r="H37" s="9">
        <f t="shared" si="24"/>
        <v>0.1498123107491508</v>
      </c>
      <c r="I37" s="9">
        <f>+I15/I11</f>
        <v>0.17749583913126518</v>
      </c>
      <c r="J37" s="9">
        <f>+J15/J11</f>
        <v>1</v>
      </c>
      <c r="K37" s="9">
        <f t="shared" ref="K37:L37" si="25">+K15/K11</f>
        <v>0.21368325548573541</v>
      </c>
      <c r="L37" s="9">
        <f t="shared" si="25"/>
        <v>0.18828701442270612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6"/>
      <c r="AZ37" s="6"/>
      <c r="BA37" s="6"/>
      <c r="BB37" s="6"/>
      <c r="BC37" s="6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2:66" x14ac:dyDescent="0.2">
      <c r="B38" s="2" t="s">
        <v>59</v>
      </c>
      <c r="C38" s="9">
        <f t="shared" ref="C38:H38" si="26">+C22/C21</f>
        <v>0.24017588521175653</v>
      </c>
      <c r="D38" s="9">
        <f t="shared" si="26"/>
        <v>-7.1262763040589414E-2</v>
      </c>
      <c r="E38" s="9">
        <f t="shared" si="26"/>
        <v>-6.3295720672769853E-2</v>
      </c>
      <c r="F38" s="9">
        <f t="shared" si="26"/>
        <v>0</v>
      </c>
      <c r="G38" s="9">
        <f t="shared" si="26"/>
        <v>0.1886946527945802</v>
      </c>
      <c r="H38" s="9">
        <f t="shared" si="26"/>
        <v>0.38095619123824764</v>
      </c>
      <c r="I38" s="9">
        <f>+I22/I21</f>
        <v>0.33369590780809033</v>
      </c>
      <c r="J38" s="9">
        <f>+J22/J21</f>
        <v>0</v>
      </c>
      <c r="K38" s="9">
        <f t="shared" ref="K38:L38" si="27">+K22/K21</f>
        <v>0.26862437765074682</v>
      </c>
      <c r="L38" s="9">
        <f t="shared" si="27"/>
        <v>0.41217735889471996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6"/>
      <c r="AZ38" s="6"/>
      <c r="BA38" s="6"/>
      <c r="BB38" s="6"/>
      <c r="BC38" s="6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2:6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6"/>
      <c r="AZ39" s="6"/>
      <c r="BA39" s="6"/>
      <c r="BB39" s="6"/>
      <c r="BC39" s="6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2:6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6"/>
      <c r="AZ40" s="6"/>
      <c r="BA40" s="6"/>
      <c r="BB40" s="6"/>
      <c r="BC40" s="6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2:6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6"/>
      <c r="AZ41" s="6"/>
      <c r="BA41" s="6"/>
      <c r="BB41" s="6"/>
      <c r="BC41" s="6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2:6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6"/>
      <c r="AZ42" s="6"/>
      <c r="BA42" s="6"/>
      <c r="BB42" s="6"/>
      <c r="BC42" s="6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spans="2:6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6"/>
      <c r="AZ43" s="6"/>
      <c r="BA43" s="6"/>
      <c r="BB43" s="6"/>
      <c r="BC43" s="6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2:6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6"/>
      <c r="AZ44" s="6"/>
      <c r="BA44" s="6"/>
      <c r="BB44" s="6"/>
      <c r="BC44" s="6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spans="2:6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6"/>
      <c r="AZ45" s="6"/>
      <c r="BA45" s="6"/>
      <c r="BB45" s="6"/>
      <c r="BC45" s="6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2:6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6"/>
      <c r="AZ46" s="6"/>
      <c r="BA46" s="6"/>
      <c r="BB46" s="6"/>
      <c r="BC46" s="6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2:6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6"/>
      <c r="AZ47" s="6"/>
      <c r="BA47" s="6"/>
      <c r="BB47" s="6"/>
      <c r="BC47" s="6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2:6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6"/>
      <c r="AZ48" s="6"/>
      <c r="BA48" s="6"/>
      <c r="BB48" s="6"/>
      <c r="BC48" s="6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3:6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6"/>
      <c r="AZ49" s="6"/>
      <c r="BA49" s="6"/>
      <c r="BB49" s="6"/>
      <c r="BC49" s="6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3:6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6"/>
      <c r="AZ50" s="6"/>
      <c r="BA50" s="6"/>
      <c r="BB50" s="6"/>
      <c r="BC50" s="6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3:6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6"/>
      <c r="AZ51" s="6"/>
      <c r="BA51" s="6"/>
      <c r="BB51" s="6"/>
      <c r="BC51" s="6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3:6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6"/>
      <c r="AZ52" s="6"/>
      <c r="BA52" s="6"/>
      <c r="BB52" s="6"/>
      <c r="BC52" s="6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3:6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6"/>
      <c r="AZ53" s="6"/>
      <c r="BA53" s="6"/>
      <c r="BB53" s="6"/>
      <c r="BC53" s="6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3:6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6"/>
      <c r="AZ54" s="6"/>
      <c r="BA54" s="6"/>
      <c r="BB54" s="6"/>
      <c r="BC54" s="6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3:6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6"/>
      <c r="AZ55" s="6"/>
      <c r="BA55" s="6"/>
      <c r="BB55" s="6"/>
      <c r="BC55" s="6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3:6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6"/>
      <c r="AZ56" s="6"/>
      <c r="BA56" s="6"/>
      <c r="BB56" s="6"/>
      <c r="BC56" s="6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3:6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6"/>
      <c r="AZ57" s="6"/>
      <c r="BA57" s="6"/>
      <c r="BB57" s="6"/>
      <c r="BC57" s="6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3:6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6"/>
      <c r="AZ58" s="6"/>
      <c r="BA58" s="6"/>
      <c r="BB58" s="6"/>
      <c r="BC58" s="6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3:6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6"/>
      <c r="AZ59" s="6"/>
      <c r="BA59" s="6"/>
      <c r="BB59" s="6"/>
      <c r="BC59" s="6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3:6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6"/>
      <c r="AZ60" s="6"/>
      <c r="BA60" s="6"/>
      <c r="BB60" s="6"/>
      <c r="BC60" s="6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3:6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6"/>
      <c r="AZ61" s="6"/>
      <c r="BA61" s="6"/>
      <c r="BB61" s="6"/>
      <c r="BC61" s="6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spans="3:6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6"/>
      <c r="AZ62" s="6"/>
      <c r="BA62" s="6"/>
      <c r="BB62" s="6"/>
      <c r="BC62" s="6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spans="3:6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6"/>
      <c r="AZ63" s="6"/>
      <c r="BA63" s="6"/>
      <c r="BB63" s="6"/>
      <c r="BC63" s="6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3:6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6"/>
      <c r="AZ64" s="6"/>
      <c r="BA64" s="6"/>
      <c r="BB64" s="6"/>
      <c r="BC64" s="6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</row>
    <row r="65" spans="3:6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6"/>
      <c r="AZ65" s="6"/>
      <c r="BA65" s="6"/>
      <c r="BB65" s="6"/>
      <c r="BC65" s="6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3:6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6"/>
      <c r="AZ66" s="6"/>
      <c r="BA66" s="6"/>
      <c r="BB66" s="6"/>
      <c r="BC66" s="6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  <row r="67" spans="3:6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6"/>
      <c r="AZ67" s="6"/>
      <c r="BA67" s="6"/>
      <c r="BB67" s="6"/>
      <c r="BC67" s="6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</row>
    <row r="68" spans="3:6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6"/>
      <c r="AZ68" s="6"/>
      <c r="BA68" s="6"/>
      <c r="BB68" s="6"/>
      <c r="BC68" s="6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</row>
    <row r="69" spans="3:6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6"/>
      <c r="AZ69" s="6"/>
      <c r="BA69" s="6"/>
      <c r="BB69" s="6"/>
      <c r="BC69" s="6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</row>
    <row r="70" spans="3:6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6"/>
      <c r="AZ70" s="6"/>
      <c r="BA70" s="6"/>
      <c r="BB70" s="6"/>
      <c r="BC70" s="6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</row>
    <row r="71" spans="3:6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6"/>
      <c r="AZ71" s="6"/>
      <c r="BA71" s="6"/>
      <c r="BB71" s="6"/>
      <c r="BC71" s="6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</row>
    <row r="72" spans="3:6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6"/>
      <c r="AZ72" s="6"/>
      <c r="BA72" s="6"/>
      <c r="BB72" s="6"/>
      <c r="BC72" s="6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</row>
    <row r="73" spans="3:6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6"/>
      <c r="AZ73" s="6"/>
      <c r="BA73" s="6"/>
      <c r="BB73" s="6"/>
      <c r="BC73" s="6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</row>
    <row r="74" spans="3:6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6"/>
      <c r="AZ74" s="6"/>
      <c r="BA74" s="6"/>
      <c r="BB74" s="6"/>
      <c r="BC74" s="6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spans="3:6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6"/>
      <c r="AZ75" s="6"/>
      <c r="BA75" s="6"/>
      <c r="BB75" s="6"/>
      <c r="BC75" s="6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</row>
    <row r="76" spans="3:6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6"/>
      <c r="AZ76" s="6"/>
      <c r="BA76" s="6"/>
      <c r="BB76" s="6"/>
      <c r="BC76" s="6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</row>
    <row r="77" spans="3:6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6"/>
      <c r="AZ77" s="6"/>
      <c r="BA77" s="6"/>
      <c r="BB77" s="6"/>
      <c r="BC77" s="6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</row>
    <row r="78" spans="3:6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6"/>
      <c r="AZ78" s="6"/>
      <c r="BA78" s="6"/>
      <c r="BB78" s="6"/>
      <c r="BC78" s="6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</row>
    <row r="79" spans="3:6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6"/>
      <c r="AZ79" s="6"/>
      <c r="BA79" s="6"/>
      <c r="BB79" s="6"/>
      <c r="BC79" s="6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</row>
    <row r="80" spans="3:6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6"/>
      <c r="AZ80" s="6"/>
      <c r="BA80" s="6"/>
      <c r="BB80" s="6"/>
      <c r="BC80" s="6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</row>
    <row r="81" spans="3:6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6"/>
      <c r="AZ81" s="6"/>
      <c r="BA81" s="6"/>
      <c r="BB81" s="6"/>
      <c r="BC81" s="6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</row>
    <row r="82" spans="3:6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6"/>
      <c r="AZ82" s="6"/>
      <c r="BA82" s="6"/>
      <c r="BB82" s="6"/>
      <c r="BC82" s="6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</row>
    <row r="83" spans="3:6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6"/>
      <c r="AZ83" s="6"/>
      <c r="BA83" s="6"/>
      <c r="BB83" s="6"/>
      <c r="BC83" s="6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</row>
    <row r="84" spans="3:6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6"/>
      <c r="AZ84" s="6"/>
      <c r="BA84" s="6"/>
      <c r="BB84" s="6"/>
      <c r="BC84" s="6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</row>
    <row r="85" spans="3:6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6"/>
      <c r="AZ85" s="6"/>
      <c r="BA85" s="6"/>
      <c r="BB85" s="6"/>
      <c r="BC85" s="6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</row>
    <row r="86" spans="3:6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6"/>
      <c r="AZ86" s="6"/>
      <c r="BA86" s="6"/>
      <c r="BB86" s="6"/>
      <c r="BC86" s="6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</row>
    <row r="87" spans="3:6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6"/>
      <c r="AZ87" s="6"/>
      <c r="BA87" s="6"/>
      <c r="BB87" s="6"/>
      <c r="BC87" s="6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</row>
    <row r="88" spans="3:6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6"/>
      <c r="AZ88" s="6"/>
      <c r="BA88" s="6"/>
      <c r="BB88" s="6"/>
      <c r="BC88" s="6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</row>
    <row r="89" spans="3:6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6"/>
      <c r="AZ89" s="6"/>
      <c r="BA89" s="6"/>
      <c r="BB89" s="6"/>
      <c r="BC89" s="6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</row>
    <row r="90" spans="3:6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6"/>
      <c r="AZ90" s="6"/>
      <c r="BA90" s="6"/>
      <c r="BB90" s="6"/>
      <c r="BC90" s="6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</row>
    <row r="91" spans="3:6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6"/>
      <c r="AZ91" s="6"/>
      <c r="BA91" s="6"/>
      <c r="BB91" s="6"/>
      <c r="BC91" s="6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</row>
    <row r="92" spans="3:6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6"/>
      <c r="AZ92" s="6"/>
      <c r="BA92" s="6"/>
      <c r="BB92" s="6"/>
      <c r="BC92" s="6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</row>
    <row r="93" spans="3:6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6"/>
      <c r="AZ93" s="6"/>
      <c r="BA93" s="6"/>
      <c r="BB93" s="6"/>
      <c r="BC93" s="6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</row>
    <row r="94" spans="3:6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6"/>
      <c r="AZ94" s="6"/>
      <c r="BA94" s="6"/>
      <c r="BB94" s="6"/>
      <c r="BC94" s="6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</row>
    <row r="95" spans="3:6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6"/>
      <c r="AZ95" s="6"/>
      <c r="BA95" s="6"/>
      <c r="BB95" s="6"/>
      <c r="BC95" s="6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</row>
    <row r="96" spans="3:6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6"/>
      <c r="AZ96" s="6"/>
      <c r="BA96" s="6"/>
      <c r="BB96" s="6"/>
      <c r="BC96" s="6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</row>
    <row r="97" spans="3:6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6"/>
      <c r="AZ97" s="6"/>
      <c r="BA97" s="6"/>
      <c r="BB97" s="6"/>
      <c r="BC97" s="6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</row>
    <row r="98" spans="3:6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6"/>
      <c r="AZ98" s="6"/>
      <c r="BA98" s="6"/>
      <c r="BB98" s="6"/>
      <c r="BC98" s="6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</row>
    <row r="99" spans="3:6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6"/>
      <c r="AZ99" s="6"/>
      <c r="BA99" s="6"/>
      <c r="BB99" s="6"/>
      <c r="BC99" s="6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</row>
    <row r="100" spans="3:6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6"/>
      <c r="AZ100" s="6"/>
      <c r="BA100" s="6"/>
      <c r="BB100" s="6"/>
      <c r="BC100" s="6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</row>
    <row r="101" spans="3:6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6"/>
      <c r="AZ101" s="6"/>
      <c r="BA101" s="6"/>
      <c r="BB101" s="6"/>
      <c r="BC101" s="6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</row>
    <row r="102" spans="3:6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6"/>
      <c r="AZ102" s="6"/>
      <c r="BA102" s="6"/>
      <c r="BB102" s="6"/>
      <c r="BC102" s="6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</row>
    <row r="103" spans="3:6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6"/>
      <c r="AZ103" s="6"/>
      <c r="BA103" s="6"/>
      <c r="BB103" s="6"/>
      <c r="BC103" s="6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</row>
    <row r="104" spans="3:6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6"/>
      <c r="AZ104" s="6"/>
      <c r="BA104" s="6"/>
      <c r="BB104" s="6"/>
      <c r="BC104" s="6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</row>
    <row r="105" spans="3:6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6"/>
      <c r="AZ105" s="6"/>
      <c r="BA105" s="6"/>
      <c r="BB105" s="6"/>
      <c r="BC105" s="6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</row>
    <row r="106" spans="3:6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6"/>
      <c r="AZ106" s="6"/>
      <c r="BA106" s="6"/>
      <c r="BB106" s="6"/>
      <c r="BC106" s="6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</row>
    <row r="107" spans="3:6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6"/>
      <c r="AZ107" s="6"/>
      <c r="BA107" s="6"/>
      <c r="BB107" s="6"/>
      <c r="BC107" s="6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</row>
    <row r="108" spans="3:6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6"/>
      <c r="AZ108" s="6"/>
      <c r="BA108" s="6"/>
      <c r="BB108" s="6"/>
      <c r="BC108" s="6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</row>
    <row r="109" spans="3:6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6"/>
      <c r="AZ109" s="6"/>
      <c r="BA109" s="6"/>
      <c r="BB109" s="6"/>
      <c r="BC109" s="6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</row>
    <row r="110" spans="3:6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6"/>
      <c r="AZ110" s="6"/>
      <c r="BA110" s="6"/>
      <c r="BB110" s="6"/>
      <c r="BC110" s="6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</row>
    <row r="111" spans="3:6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6"/>
      <c r="AZ111" s="6"/>
      <c r="BA111" s="6"/>
      <c r="BB111" s="6"/>
      <c r="BC111" s="6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</row>
    <row r="112" spans="3:6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6"/>
      <c r="AZ112" s="6"/>
      <c r="BA112" s="6"/>
      <c r="BB112" s="6"/>
      <c r="BC112" s="6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</row>
    <row r="113" spans="3:6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6"/>
      <c r="AZ113" s="6"/>
      <c r="BA113" s="6"/>
      <c r="BB113" s="6"/>
      <c r="BC113" s="6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</row>
    <row r="114" spans="3:6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6"/>
      <c r="AZ114" s="6"/>
      <c r="BA114" s="6"/>
      <c r="BB114" s="6"/>
      <c r="BC114" s="6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</row>
    <row r="115" spans="3:6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6"/>
      <c r="AZ115" s="6"/>
      <c r="BA115" s="6"/>
      <c r="BB115" s="6"/>
      <c r="BC115" s="6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</row>
    <row r="116" spans="3:6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6"/>
      <c r="AZ116" s="6"/>
      <c r="BA116" s="6"/>
      <c r="BB116" s="6"/>
      <c r="BC116" s="6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</row>
    <row r="117" spans="3:6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6"/>
      <c r="AZ117" s="6"/>
      <c r="BA117" s="6"/>
      <c r="BB117" s="6"/>
      <c r="BC117" s="6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</row>
    <row r="118" spans="3:6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6"/>
      <c r="AZ118" s="6"/>
      <c r="BA118" s="6"/>
      <c r="BB118" s="6"/>
      <c r="BC118" s="6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</row>
    <row r="119" spans="3:6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6"/>
      <c r="AZ119" s="6"/>
      <c r="BA119" s="6"/>
      <c r="BB119" s="6"/>
      <c r="BC119" s="6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</row>
    <row r="120" spans="3:6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6"/>
      <c r="AZ120" s="6"/>
      <c r="BA120" s="6"/>
      <c r="BB120" s="6"/>
      <c r="BC120" s="6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</row>
    <row r="121" spans="3:6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6"/>
      <c r="AZ121" s="6"/>
      <c r="BA121" s="6"/>
      <c r="BB121" s="6"/>
      <c r="BC121" s="6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</row>
    <row r="122" spans="3:6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6"/>
      <c r="AZ122" s="6"/>
      <c r="BA122" s="6"/>
      <c r="BB122" s="6"/>
      <c r="BC122" s="6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</row>
    <row r="123" spans="3:6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6"/>
      <c r="AZ123" s="6"/>
      <c r="BA123" s="6"/>
      <c r="BB123" s="6"/>
      <c r="BC123" s="6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</row>
    <row r="124" spans="3:6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6"/>
      <c r="AZ124" s="6"/>
      <c r="BA124" s="6"/>
      <c r="BB124" s="6"/>
      <c r="BC124" s="6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</row>
    <row r="125" spans="3:6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6"/>
      <c r="AZ125" s="6"/>
      <c r="BA125" s="6"/>
      <c r="BB125" s="6"/>
      <c r="BC125" s="6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</row>
    <row r="126" spans="3:6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6"/>
      <c r="AZ126" s="6"/>
      <c r="BA126" s="6"/>
      <c r="BB126" s="6"/>
      <c r="BC126" s="6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</row>
    <row r="127" spans="3:6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6"/>
      <c r="AZ127" s="6"/>
      <c r="BA127" s="6"/>
      <c r="BB127" s="6"/>
      <c r="BC127" s="6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</row>
    <row r="128" spans="3:6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6"/>
      <c r="AZ128" s="6"/>
      <c r="BA128" s="6"/>
      <c r="BB128" s="6"/>
      <c r="BC128" s="6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</row>
    <row r="129" spans="3:6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6"/>
      <c r="AZ129" s="6"/>
      <c r="BA129" s="6"/>
      <c r="BB129" s="6"/>
      <c r="BC129" s="6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</row>
    <row r="130" spans="3:6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6"/>
      <c r="AZ130" s="6"/>
      <c r="BA130" s="6"/>
      <c r="BB130" s="6"/>
      <c r="BC130" s="6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</row>
    <row r="131" spans="3:6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6"/>
      <c r="AZ131" s="6"/>
      <c r="BA131" s="6"/>
      <c r="BB131" s="6"/>
      <c r="BC131" s="6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</row>
    <row r="132" spans="3:6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6"/>
      <c r="AZ132" s="6"/>
      <c r="BA132" s="6"/>
      <c r="BB132" s="6"/>
      <c r="BC132" s="6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</row>
    <row r="133" spans="3:6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6"/>
      <c r="AZ133" s="6"/>
      <c r="BA133" s="6"/>
      <c r="BB133" s="6"/>
      <c r="BC133" s="6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</row>
    <row r="134" spans="3:6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6"/>
      <c r="AZ134" s="6"/>
      <c r="BA134" s="6"/>
      <c r="BB134" s="6"/>
      <c r="BC134" s="6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</row>
    <row r="135" spans="3:6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6"/>
      <c r="AZ135" s="6"/>
      <c r="BA135" s="6"/>
      <c r="BB135" s="6"/>
      <c r="BC135" s="6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</row>
    <row r="136" spans="3:6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6"/>
      <c r="AZ136" s="6"/>
      <c r="BA136" s="6"/>
      <c r="BB136" s="6"/>
      <c r="BC136" s="6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</row>
    <row r="137" spans="3:6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6"/>
      <c r="AZ137" s="6"/>
      <c r="BA137" s="6"/>
      <c r="BB137" s="6"/>
      <c r="BC137" s="6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</row>
    <row r="138" spans="3:6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6"/>
      <c r="AZ138" s="6"/>
      <c r="BA138" s="6"/>
      <c r="BB138" s="6"/>
      <c r="BC138" s="6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</row>
    <row r="139" spans="3:6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6"/>
      <c r="AZ139" s="6"/>
      <c r="BA139" s="6"/>
      <c r="BB139" s="6"/>
      <c r="BC139" s="6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</row>
    <row r="140" spans="3:6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6"/>
      <c r="AZ140" s="6"/>
      <c r="BA140" s="6"/>
      <c r="BB140" s="6"/>
      <c r="BC140" s="6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</row>
    <row r="141" spans="3:6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6"/>
      <c r="AZ141" s="6"/>
      <c r="BA141" s="6"/>
      <c r="BB141" s="6"/>
      <c r="BC141" s="6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</row>
    <row r="142" spans="3:6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</row>
    <row r="143" spans="3:6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</row>
    <row r="144" spans="3:6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</row>
    <row r="145" spans="3:6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</row>
    <row r="146" spans="3:6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</row>
    <row r="147" spans="3:6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</row>
    <row r="148" spans="3:6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</row>
    <row r="149" spans="3:6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</row>
    <row r="150" spans="3:6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</row>
    <row r="151" spans="3:6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</row>
    <row r="152" spans="3:6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</row>
    <row r="153" spans="3:6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</row>
    <row r="154" spans="3:6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</row>
    <row r="155" spans="3:6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</row>
    <row r="156" spans="3:6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</row>
    <row r="157" spans="3:6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</row>
    <row r="158" spans="3:6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</row>
    <row r="159" spans="3:6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</row>
    <row r="160" spans="3:6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</row>
    <row r="161" spans="3:6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</row>
    <row r="162" spans="3:6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</row>
    <row r="163" spans="3:6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</row>
    <row r="164" spans="3:6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</row>
    <row r="165" spans="3:6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</row>
    <row r="166" spans="3:6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</row>
    <row r="167" spans="3:6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</row>
    <row r="168" spans="3:6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</row>
    <row r="169" spans="3:6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</row>
    <row r="170" spans="3:6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</row>
    <row r="171" spans="3:66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</row>
    <row r="172" spans="3:66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</row>
    <row r="173" spans="3:66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</row>
    <row r="174" spans="3:66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</row>
    <row r="175" spans="3:66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</row>
    <row r="176" spans="3:66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</row>
    <row r="177" spans="3:66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</row>
    <row r="178" spans="3:66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</row>
    <row r="179" spans="3:66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</row>
    <row r="180" spans="3:66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</row>
    <row r="181" spans="3:66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</row>
    <row r="182" spans="3:66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</row>
    <row r="183" spans="3:66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</row>
    <row r="184" spans="3:66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</row>
    <row r="185" spans="3:66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</row>
    <row r="186" spans="3:66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</row>
    <row r="187" spans="3:66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</row>
    <row r="188" spans="3:66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</row>
    <row r="189" spans="3:66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</row>
    <row r="190" spans="3:66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</row>
    <row r="191" spans="3:66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</row>
    <row r="192" spans="3:66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</row>
    <row r="193" spans="3:66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</row>
    <row r="194" spans="3:66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</row>
    <row r="195" spans="3:66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</row>
    <row r="196" spans="3:66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</row>
    <row r="197" spans="3:66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</row>
    <row r="198" spans="3:66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</row>
    <row r="199" spans="3:66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</row>
    <row r="200" spans="3:66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</row>
    <row r="201" spans="3:66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</row>
    <row r="202" spans="3:66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</row>
    <row r="203" spans="3:66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</row>
    <row r="204" spans="3:66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</row>
    <row r="205" spans="3:66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</row>
    <row r="206" spans="3:66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</row>
    <row r="207" spans="3:66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</row>
    <row r="208" spans="3:66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</row>
    <row r="209" spans="3:66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</row>
    <row r="210" spans="3:66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</row>
    <row r="211" spans="3:66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</row>
    <row r="212" spans="3:66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</row>
    <row r="213" spans="3:66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</row>
    <row r="214" spans="3:66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</row>
    <row r="215" spans="3:66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</row>
    <row r="216" spans="3:66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</row>
    <row r="217" spans="3:66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</row>
    <row r="218" spans="3:66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</row>
    <row r="219" spans="3:66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</row>
    <row r="220" spans="3:66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</row>
    <row r="221" spans="3:66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</row>
    <row r="222" spans="3:66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</row>
    <row r="223" spans="3:66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</row>
    <row r="224" spans="3:66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</row>
    <row r="225" spans="3:66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</row>
    <row r="226" spans="3:66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</row>
    <row r="227" spans="3:66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</row>
    <row r="228" spans="3:66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</row>
    <row r="229" spans="3:66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</row>
    <row r="230" spans="3:66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</row>
    <row r="231" spans="3:66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</row>
    <row r="232" spans="3:66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</row>
    <row r="233" spans="3:66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</row>
    <row r="234" spans="3:66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</row>
    <row r="235" spans="3:66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</row>
    <row r="236" spans="3:66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</row>
    <row r="237" spans="3:66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</row>
    <row r="238" spans="3:66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</row>
    <row r="239" spans="3:66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</row>
    <row r="240" spans="3:66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</row>
    <row r="241" spans="3:66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</row>
    <row r="242" spans="3:66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</row>
    <row r="243" spans="3:66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</row>
    <row r="244" spans="3:66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</row>
    <row r="245" spans="3:66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</row>
    <row r="246" spans="3:66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</row>
    <row r="247" spans="3:66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</row>
    <row r="248" spans="3:66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</row>
    <row r="249" spans="3:66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</row>
    <row r="250" spans="3:66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</row>
    <row r="251" spans="3:66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</row>
    <row r="252" spans="3:66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</row>
    <row r="253" spans="3:66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</row>
    <row r="254" spans="3:66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</row>
    <row r="255" spans="3:66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</row>
    <row r="256" spans="3:66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</row>
    <row r="257" spans="3:66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</row>
    <row r="258" spans="3:66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</row>
    <row r="259" spans="3:66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</row>
    <row r="260" spans="3:66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</row>
    <row r="261" spans="3:66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</row>
    <row r="262" spans="3:66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</row>
    <row r="263" spans="3:66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</row>
    <row r="264" spans="3:66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</row>
    <row r="265" spans="3:66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</row>
    <row r="266" spans="3:66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</row>
    <row r="267" spans="3:66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</row>
    <row r="268" spans="3:66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</row>
    <row r="269" spans="3:66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</row>
    <row r="270" spans="3:66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</row>
    <row r="271" spans="3:66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</row>
    <row r="272" spans="3:66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</row>
    <row r="273" spans="3:66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</row>
    <row r="274" spans="3:66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</row>
    <row r="275" spans="3:66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</row>
    <row r="276" spans="3:66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</row>
    <row r="277" spans="3:66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</row>
    <row r="278" spans="3:66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</row>
    <row r="279" spans="3:66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</row>
    <row r="280" spans="3:66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</row>
    <row r="281" spans="3:66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</row>
    <row r="282" spans="3:66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</row>
    <row r="283" spans="3:66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</row>
    <row r="284" spans="3:66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</row>
    <row r="285" spans="3:66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</row>
    <row r="286" spans="3:66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</row>
    <row r="287" spans="3:66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</row>
    <row r="288" spans="3:66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</row>
    <row r="289" spans="3:66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</row>
    <row r="290" spans="3:66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</row>
    <row r="291" spans="3:66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</row>
    <row r="292" spans="3:66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</row>
    <row r="293" spans="3:66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</row>
    <row r="294" spans="3:66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</row>
    <row r="295" spans="3:66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</row>
    <row r="296" spans="3:66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</row>
    <row r="297" spans="3:66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</row>
    <row r="298" spans="3:66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</row>
    <row r="299" spans="3:66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</row>
    <row r="300" spans="3:66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</row>
    <row r="301" spans="3:66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</row>
    <row r="302" spans="3:66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</row>
    <row r="303" spans="3:66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</row>
    <row r="304" spans="3:66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</row>
    <row r="305" spans="3:66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</row>
    <row r="306" spans="3:66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</row>
    <row r="307" spans="3:66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</row>
    <row r="308" spans="3:66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</row>
    <row r="309" spans="3:66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</row>
    <row r="310" spans="3:66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</row>
    <row r="311" spans="3:66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</row>
    <row r="312" spans="3:66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</row>
    <row r="313" spans="3:66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</row>
    <row r="314" spans="3:66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</row>
    <row r="315" spans="3:66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</row>
    <row r="316" spans="3:66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</row>
    <row r="317" spans="3:66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</row>
    <row r="318" spans="3:66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</row>
  </sheetData>
  <hyperlinks>
    <hyperlink ref="A1" location="Main!A1" display="Main" xr:uid="{C74D512B-33C6-4D7F-AAEB-7048EF7D73C1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2025-01-30T15:48:35Z</dcterms:created>
  <dcterms:modified xsi:type="dcterms:W3CDTF">2025-09-02T11:33:32Z</dcterms:modified>
</cp:coreProperties>
</file>