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B42B0B7-4C71-4F2B-A3D8-6EAB70D02DEE}" xr6:coauthVersionLast="47" xr6:coauthVersionMax="47" xr10:uidLastSave="{00000000-0000-0000-0000-000000000000}"/>
  <bookViews>
    <workbookView xWindow="-120" yWindow="-120" windowWidth="38640" windowHeight="21060" xr2:uid="{F251087B-52A6-4D65-A029-73EBA2C6E2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15" i="2"/>
  <c r="N14" i="2"/>
  <c r="N28" i="2" s="1"/>
  <c r="N13" i="2"/>
  <c r="N12" i="2"/>
  <c r="N10" i="2"/>
  <c r="N11" i="2"/>
  <c r="N9" i="2"/>
  <c r="N8" i="2"/>
  <c r="N7" i="2"/>
  <c r="N24" i="2"/>
  <c r="N23" i="2"/>
  <c r="J5" i="2"/>
  <c r="N6" i="2"/>
  <c r="N27" i="2" s="1"/>
  <c r="N5" i="2"/>
  <c r="N3" i="2"/>
  <c r="W28" i="2"/>
  <c r="W27" i="2"/>
  <c r="W26" i="2"/>
  <c r="W25" i="2"/>
  <c r="W24" i="2"/>
  <c r="W23" i="2"/>
  <c r="W22" i="2"/>
  <c r="W21" i="2"/>
  <c r="W20" i="2"/>
  <c r="W15" i="2"/>
  <c r="W13" i="2"/>
  <c r="W12" i="2"/>
  <c r="W11" i="2"/>
  <c r="W9" i="2"/>
  <c r="W6" i="2"/>
  <c r="L17" i="2"/>
  <c r="K17" i="2"/>
  <c r="U20" i="2"/>
  <c r="T20" i="2"/>
  <c r="S20" i="2"/>
  <c r="R20" i="2"/>
  <c r="Q20" i="2"/>
  <c r="U21" i="2"/>
  <c r="T21" i="2"/>
  <c r="S21" i="2"/>
  <c r="R21" i="2"/>
  <c r="Q21" i="2"/>
  <c r="V21" i="2"/>
  <c r="V20" i="2"/>
  <c r="M28" i="2"/>
  <c r="M27" i="2"/>
  <c r="M26" i="2"/>
  <c r="M25" i="2"/>
  <c r="M24" i="2"/>
  <c r="M23" i="2"/>
  <c r="M22" i="2"/>
  <c r="M21" i="2"/>
  <c r="L21" i="2"/>
  <c r="K21" i="2"/>
  <c r="J21" i="2"/>
  <c r="I21" i="2"/>
  <c r="H21" i="2"/>
  <c r="N20" i="2"/>
  <c r="M20" i="2"/>
  <c r="L20" i="2"/>
  <c r="K20" i="2"/>
  <c r="J20" i="2"/>
  <c r="I20" i="2"/>
  <c r="H20" i="2"/>
  <c r="G21" i="2"/>
  <c r="G20" i="2"/>
  <c r="M17" i="2"/>
  <c r="M15" i="2"/>
  <c r="M13" i="2"/>
  <c r="M12" i="2"/>
  <c r="M11" i="2"/>
  <c r="M9" i="2"/>
  <c r="L28" i="2"/>
  <c r="L27" i="2"/>
  <c r="L26" i="2"/>
  <c r="L25" i="2"/>
  <c r="L24" i="2"/>
  <c r="L23" i="2"/>
  <c r="L22" i="2"/>
  <c r="L15" i="2"/>
  <c r="L9" i="2"/>
  <c r="L12" i="2"/>
  <c r="L11" i="2"/>
  <c r="L13" i="2" s="1"/>
  <c r="L6" i="2"/>
  <c r="K23" i="2"/>
  <c r="K24" i="2"/>
  <c r="K12" i="2"/>
  <c r="K6" i="2"/>
  <c r="K9" i="2" s="1"/>
  <c r="K11" i="2" s="1"/>
  <c r="K13" i="2" s="1"/>
  <c r="K15" i="2" s="1"/>
  <c r="F5" i="2"/>
  <c r="F17" i="2"/>
  <c r="F14" i="2"/>
  <c r="F10" i="2"/>
  <c r="F8" i="2"/>
  <c r="F7" i="2"/>
  <c r="F3" i="2"/>
  <c r="F23" i="2" s="1"/>
  <c r="J14" i="2"/>
  <c r="J10" i="2"/>
  <c r="J8" i="2"/>
  <c r="J7" i="2"/>
  <c r="N21" i="2"/>
  <c r="J3" i="2"/>
  <c r="C12" i="2"/>
  <c r="C6" i="2"/>
  <c r="G12" i="2"/>
  <c r="D12" i="2"/>
  <c r="H12" i="2"/>
  <c r="E12" i="2"/>
  <c r="E6" i="2"/>
  <c r="I12" i="2"/>
  <c r="I6" i="2"/>
  <c r="V12" i="2"/>
  <c r="V24" i="2"/>
  <c r="V23" i="2"/>
  <c r="V6" i="2"/>
  <c r="V9" i="2" s="1"/>
  <c r="G6" i="2"/>
  <c r="T24" i="2"/>
  <c r="S24" i="2"/>
  <c r="R24" i="2"/>
  <c r="Q24" i="2"/>
  <c r="P24" i="2"/>
  <c r="U24" i="2"/>
  <c r="T23" i="2"/>
  <c r="S23" i="2"/>
  <c r="R23" i="2"/>
  <c r="Q23" i="2"/>
  <c r="P23" i="2"/>
  <c r="U23" i="2"/>
  <c r="S12" i="2"/>
  <c r="T12" i="2"/>
  <c r="U12" i="2"/>
  <c r="T6" i="2"/>
  <c r="S6" i="2"/>
  <c r="S9" i="2" s="1"/>
  <c r="S11" i="2" s="1"/>
  <c r="R6" i="2"/>
  <c r="Q6" i="2"/>
  <c r="P6" i="2"/>
  <c r="U6" i="2"/>
  <c r="U9" i="2" s="1"/>
  <c r="E24" i="2"/>
  <c r="D24" i="2"/>
  <c r="C24" i="2"/>
  <c r="E23" i="2"/>
  <c r="D23" i="2"/>
  <c r="C23" i="2"/>
  <c r="I24" i="2"/>
  <c r="H24" i="2"/>
  <c r="I23" i="2"/>
  <c r="H23" i="2"/>
  <c r="G24" i="2"/>
  <c r="G23" i="2"/>
  <c r="D6" i="2"/>
  <c r="H6" i="2"/>
  <c r="K4" i="1"/>
  <c r="K7" i="1" s="1"/>
  <c r="N26" i="2" l="1"/>
  <c r="N25" i="2"/>
  <c r="K25" i="2"/>
  <c r="K28" i="2"/>
  <c r="K22" i="2"/>
  <c r="K26" i="2"/>
  <c r="K27" i="2"/>
  <c r="G22" i="2"/>
  <c r="H22" i="2"/>
  <c r="I22" i="2"/>
  <c r="J12" i="2"/>
  <c r="J6" i="2"/>
  <c r="N22" i="2" s="1"/>
  <c r="S13" i="2"/>
  <c r="S15" i="2" s="1"/>
  <c r="S18" i="2" s="1"/>
  <c r="J24" i="2"/>
  <c r="R9" i="2"/>
  <c r="R11" i="2" s="1"/>
  <c r="R26" i="2" s="1"/>
  <c r="T22" i="2"/>
  <c r="F12" i="2"/>
  <c r="T9" i="2"/>
  <c r="T11" i="2" s="1"/>
  <c r="T13" i="2" s="1"/>
  <c r="S22" i="2"/>
  <c r="F6" i="2"/>
  <c r="F24" i="2"/>
  <c r="J23" i="2"/>
  <c r="E9" i="2"/>
  <c r="E11" i="2" s="1"/>
  <c r="E13" i="2" s="1"/>
  <c r="E15" i="2" s="1"/>
  <c r="E18" i="2" s="1"/>
  <c r="I9" i="2"/>
  <c r="I11" i="2" s="1"/>
  <c r="I13" i="2" s="1"/>
  <c r="I15" i="2" s="1"/>
  <c r="U11" i="2"/>
  <c r="U13" i="2" s="1"/>
  <c r="U15" i="2" s="1"/>
  <c r="U25" i="2"/>
  <c r="R22" i="2"/>
  <c r="U22" i="2"/>
  <c r="V11" i="2"/>
  <c r="V25" i="2"/>
  <c r="S25" i="2"/>
  <c r="V22" i="2"/>
  <c r="P9" i="2"/>
  <c r="Q22" i="2"/>
  <c r="S26" i="2"/>
  <c r="Q9" i="2"/>
  <c r="H9" i="2"/>
  <c r="J9" i="2"/>
  <c r="C9" i="2"/>
  <c r="D9" i="2"/>
  <c r="G9" i="2"/>
  <c r="R13" i="2" l="1"/>
  <c r="R15" i="2" s="1"/>
  <c r="R27" i="2" s="1"/>
  <c r="J22" i="2"/>
  <c r="R25" i="2"/>
  <c r="U28" i="2"/>
  <c r="S27" i="2"/>
  <c r="T25" i="2"/>
  <c r="S28" i="2"/>
  <c r="U26" i="2"/>
  <c r="T26" i="2"/>
  <c r="F9" i="2"/>
  <c r="F25" i="2" s="1"/>
  <c r="V26" i="2"/>
  <c r="V13" i="2"/>
  <c r="T15" i="2"/>
  <c r="T28" i="2"/>
  <c r="Q11" i="2"/>
  <c r="Q25" i="2"/>
  <c r="P11" i="2"/>
  <c r="P25" i="2"/>
  <c r="U18" i="2"/>
  <c r="U27" i="2"/>
  <c r="C11" i="2"/>
  <c r="C13" i="2" s="1"/>
  <c r="C25" i="2"/>
  <c r="G11" i="2"/>
  <c r="G25" i="2"/>
  <c r="J11" i="2"/>
  <c r="J25" i="2"/>
  <c r="E25" i="2"/>
  <c r="I25" i="2"/>
  <c r="D25" i="2"/>
  <c r="D11" i="2"/>
  <c r="H11" i="2"/>
  <c r="H25" i="2"/>
  <c r="R28" i="2" l="1"/>
  <c r="F11" i="2"/>
  <c r="F26" i="2" s="1"/>
  <c r="V28" i="2"/>
  <c r="V15" i="2"/>
  <c r="P26" i="2"/>
  <c r="P13" i="2"/>
  <c r="Q26" i="2"/>
  <c r="Q13" i="2"/>
  <c r="T18" i="2"/>
  <c r="T27" i="2"/>
  <c r="H26" i="2"/>
  <c r="H13" i="2"/>
  <c r="D13" i="2"/>
  <c r="D26" i="2"/>
  <c r="J26" i="2"/>
  <c r="J13" i="2"/>
  <c r="I26" i="2"/>
  <c r="G13" i="2"/>
  <c r="G26" i="2"/>
  <c r="E26" i="2"/>
  <c r="C26" i="2"/>
  <c r="F13" i="2" l="1"/>
  <c r="F15" i="2" s="1"/>
  <c r="Q15" i="2"/>
  <c r="Q27" i="2" s="1"/>
  <c r="Q28" i="2"/>
  <c r="P28" i="2"/>
  <c r="P15" i="2"/>
  <c r="P27" i="2" s="1"/>
  <c r="V18" i="2"/>
  <c r="V27" i="2"/>
  <c r="C15" i="2"/>
  <c r="C28" i="2"/>
  <c r="E27" i="2"/>
  <c r="E28" i="2"/>
  <c r="D15" i="2"/>
  <c r="D28" i="2"/>
  <c r="H28" i="2"/>
  <c r="H15" i="2"/>
  <c r="G15" i="2"/>
  <c r="G28" i="2"/>
  <c r="I28" i="2"/>
  <c r="I27" i="2"/>
  <c r="J28" i="2"/>
  <c r="J15" i="2"/>
  <c r="J17" i="2" s="1"/>
  <c r="F28" i="2" l="1"/>
  <c r="H27" i="2"/>
  <c r="H18" i="2"/>
  <c r="D27" i="2"/>
  <c r="D18" i="2"/>
  <c r="F27" i="2"/>
  <c r="F18" i="2"/>
  <c r="J27" i="2"/>
  <c r="G27" i="2"/>
  <c r="C18" i="2"/>
  <c r="C27" i="2"/>
</calcChain>
</file>

<file path=xl/sharedStrings.xml><?xml version="1.0" encoding="utf-8"?>
<sst xmlns="http://schemas.openxmlformats.org/spreadsheetml/2006/main" count="64" uniqueCount="61">
  <si>
    <t xml:space="preserve">Cintas </t>
  </si>
  <si>
    <t>Price</t>
  </si>
  <si>
    <t>Shares</t>
  </si>
  <si>
    <t>MC</t>
  </si>
  <si>
    <t>Cash</t>
  </si>
  <si>
    <t>Debt</t>
  </si>
  <si>
    <t>EV</t>
  </si>
  <si>
    <t>SEC</t>
  </si>
  <si>
    <t>CTAS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</si>
  <si>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</si>
  <si>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</si>
  <si>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</si>
  <si>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</si>
  <si>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</si>
  <si>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</si>
  <si>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</si>
  <si>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</si>
  <si>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</si>
  <si>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</si>
  <si>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Gross Profit</t>
  </si>
  <si>
    <t>Other</t>
  </si>
  <si>
    <t>Cost Other</t>
  </si>
  <si>
    <t>SGA</t>
  </si>
  <si>
    <t>Operating Income</t>
  </si>
  <si>
    <t>Interest Income</t>
  </si>
  <si>
    <t>Pretax Income</t>
  </si>
  <si>
    <t>Income Tax Expense</t>
  </si>
  <si>
    <t>Net Income</t>
  </si>
  <si>
    <t>EPS</t>
  </si>
  <si>
    <t>Revenue Growth</t>
  </si>
  <si>
    <t>Tax Rate</t>
  </si>
  <si>
    <t>Gross Margin</t>
  </si>
  <si>
    <t>Operating Margin</t>
  </si>
  <si>
    <t>Net Margin</t>
  </si>
  <si>
    <t>GM Uniform Rental &amp; Facility Service</t>
  </si>
  <si>
    <t>GM Other</t>
  </si>
  <si>
    <t>Uniform Rental &amp; Facility Service</t>
  </si>
  <si>
    <t>FY19</t>
  </si>
  <si>
    <t>FY23</t>
  </si>
  <si>
    <t>FY18</t>
  </si>
  <si>
    <t>FY20</t>
  </si>
  <si>
    <t>FY21</t>
  </si>
  <si>
    <t>FY22</t>
  </si>
  <si>
    <t>FY24</t>
  </si>
  <si>
    <t>First Aid Service</t>
  </si>
  <si>
    <t>Cost Uniform Rental &amp; Facility Service</t>
  </si>
  <si>
    <t>FY25</t>
  </si>
  <si>
    <t>FY26</t>
  </si>
  <si>
    <t>FY27</t>
  </si>
  <si>
    <t>FY28</t>
  </si>
  <si>
    <t>Notes</t>
  </si>
  <si>
    <t>Renting Uniforms and Work Clothing</t>
  </si>
  <si>
    <t>Q125</t>
  </si>
  <si>
    <t>Q225</t>
  </si>
  <si>
    <t>Q325</t>
  </si>
  <si>
    <t>numbers in mio USD</t>
  </si>
  <si>
    <t>Q425</t>
  </si>
  <si>
    <t>Rental Growth</t>
  </si>
  <si>
    <t>Other Growth</t>
  </si>
  <si>
    <t>Stock Split: 4 for 1 in September 2024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</si>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</sst>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0" fontId="4" fillId="0" borderId="0" xfId="0" applyFont="1"/>
    <xf numFmtId="164" fontId="0" fillId="0" borderId="0" xfId="0" applyNumberFormat="1"/>
    <xf numFmtId="164" fontId="4" fillId="0" borderId="0" xfId="0" applyNumberFormat="1" applyFont="1"/>
    <xf numFmtId="9" fontId="0" fillId="0" borderId="0" xfId="2" applyFont="1"/>
    <xf numFmtId="165" fontId="0" fillId="0" borderId="0" xfId="0" applyNumberFormat="1"/>
    <xf numFmtId="9" fontId="4" fillId="0" borderId="0" xfId="2" applyFont="1"/>
    <xf numFmtId="9" fontId="3" fillId="0" borderId="0" xfId="2" applyFont="1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1" applyFont="1"/>
    <xf numFmtId="0" fontId="7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2325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1AAB-DE15-4BFB-9872-3F4DEA47ED33}">
  <dimension ref="A1:L13"/>
  <sheetViews>
    <sheetView tabSelected="1" zoomScale="200" zoomScaleNormal="200" workbookViewId="0">
      <selection activeCell="F5" sqref="F5"/>
    </sheetView>
  </sheetViews>
  <sheetFormatPr defaultRowHeight="12.75" x14ac:dyDescent="0.2"/>
  <cols>
    <col min="1" max="1" width="4.42578125" style="11" customWidth="1"/>
    <col min="2" max="10" width="9.140625" style="11"/>
    <col min="11" max="11" width="8.5703125" style="11" customWidth="1"/>
    <col min="12" max="12" width="8.85546875" style="11" bestFit="1" customWidth="1"/>
    <col min="13" max="16384" width="9.140625" style="11"/>
  </cols>
  <sheetData>
    <row r="1" spans="1:12" x14ac:dyDescent="0.2">
      <c r="A1" s="10" t="s">
        <v>0</v>
      </c>
    </row>
    <row r="2" spans="1:12" x14ac:dyDescent="0.2">
      <c r="A2" s="11" t="s">
        <v>55</v>
      </c>
      <c r="J2" s="11" t="s">
        <v>1</v>
      </c>
      <c r="K2" s="11">
        <v>216.5</v>
      </c>
    </row>
    <row r="3" spans="1:12" x14ac:dyDescent="0.2">
      <c r="J3" s="11" t="s">
        <v>2</v>
      </c>
      <c r="K3" s="12">
        <v>402.97792600000002</v>
      </c>
      <c r="L3" s="13" t="s">
        <v>60</v>
      </c>
    </row>
    <row r="4" spans="1:12" x14ac:dyDescent="0.2">
      <c r="B4" s="14" t="s">
        <v>7</v>
      </c>
      <c r="J4" s="11" t="s">
        <v>3</v>
      </c>
      <c r="K4" s="12">
        <f>K3*K2</f>
        <v>87244.720979000005</v>
      </c>
      <c r="L4" s="13"/>
    </row>
    <row r="5" spans="1:12" x14ac:dyDescent="0.2">
      <c r="B5" s="11" t="s">
        <v>8</v>
      </c>
      <c r="J5" s="11" t="s">
        <v>4</v>
      </c>
      <c r="K5" s="12">
        <v>263.97300000000001</v>
      </c>
      <c r="L5" s="13" t="s">
        <v>60</v>
      </c>
    </row>
    <row r="6" spans="1:12" x14ac:dyDescent="0.2">
      <c r="J6" s="11" t="s">
        <v>5</v>
      </c>
      <c r="K6" s="12">
        <v>2424.9989999999998</v>
      </c>
      <c r="L6" s="13" t="s">
        <v>60</v>
      </c>
    </row>
    <row r="7" spans="1:12" x14ac:dyDescent="0.2">
      <c r="J7" s="11" t="s">
        <v>6</v>
      </c>
      <c r="K7" s="12">
        <f>K4-K5+K6</f>
        <v>89405.746979000003</v>
      </c>
    </row>
    <row r="11" spans="1:12" x14ac:dyDescent="0.2">
      <c r="B11" s="15" t="s">
        <v>50</v>
      </c>
    </row>
    <row r="12" spans="1:12" x14ac:dyDescent="0.2">
      <c r="B12" s="11" t="s">
        <v>51</v>
      </c>
    </row>
    <row r="13" spans="1:12" x14ac:dyDescent="0.2">
      <c r="B13" s="11" t="s">
        <v>59</v>
      </c>
    </row>
  </sheetData>
  <hyperlinks>
    <hyperlink ref="B4" r:id="rId1" xr:uid="{5BCE2AAC-B78B-4D44-8877-F3A1B1EA78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E5BD-8069-4607-B39E-3C3E84BAF675}">
  <dimension ref="A1:AG175"/>
  <sheetViews>
    <sheetView zoomScale="200" zoomScaleNormal="20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X2" sqref="X2"/>
    </sheetView>
  </sheetViews>
  <sheetFormatPr defaultRowHeight="15" x14ac:dyDescent="0.25"/>
  <cols>
    <col min="1" max="1" width="4.7109375" bestFit="1" customWidth="1"/>
    <col min="2" max="2" width="31.28515625" bestFit="1" customWidth="1"/>
  </cols>
  <sheetData>
    <row r="1" spans="1:33" x14ac:dyDescent="0.25">
      <c r="A1" s="2" t="s">
        <v>9</v>
      </c>
    </row>
    <row r="2" spans="1:33" x14ac:dyDescent="0.25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52</v>
      </c>
      <c r="L2" s="1" t="s">
        <v>53</v>
      </c>
      <c r="M2" s="1" t="s">
        <v>54</v>
      </c>
      <c r="N2" s="1" t="s">
        <v>56</v>
      </c>
      <c r="P2" s="1" t="s">
        <v>39</v>
      </c>
      <c r="Q2" s="1" t="s">
        <v>37</v>
      </c>
      <c r="R2" s="1" t="s">
        <v>40</v>
      </c>
      <c r="S2" s="1" t="s">
        <v>41</v>
      </c>
      <c r="T2" s="1" t="s">
        <v>42</v>
      </c>
      <c r="U2" s="1" t="s">
        <v>38</v>
      </c>
      <c r="V2" s="1" t="s">
        <v>43</v>
      </c>
      <c r="W2" s="1" t="s">
        <v>46</v>
      </c>
      <c r="X2" s="1" t="s">
        <v>47</v>
      </c>
      <c r="Y2" s="1" t="s">
        <v>48</v>
      </c>
      <c r="Z2" s="1" t="s">
        <v>49</v>
      </c>
    </row>
    <row r="3" spans="1:33" x14ac:dyDescent="0.25">
      <c r="B3" t="s">
        <v>36</v>
      </c>
      <c r="C3" s="4">
        <v>1697.7719999999999</v>
      </c>
      <c r="D3" s="4">
        <v>1709.9870000000001</v>
      </c>
      <c r="E3" s="4">
        <v>1716.165</v>
      </c>
      <c r="F3" s="4">
        <f>U3-SUM(C3:E3)</f>
        <v>1773.2060000000001</v>
      </c>
      <c r="G3" s="4">
        <v>1826.825</v>
      </c>
      <c r="H3" s="4">
        <v>1850.5419999999999</v>
      </c>
      <c r="I3" s="4">
        <v>1876.6420000000001</v>
      </c>
      <c r="J3" s="4">
        <f>V3-SUM(G3:I3)</f>
        <v>1911.1899999999996</v>
      </c>
      <c r="K3" s="4">
        <v>1933.8389999999999</v>
      </c>
      <c r="L3" s="4">
        <v>1990.41</v>
      </c>
      <c r="M3" s="4">
        <v>2021.144</v>
      </c>
      <c r="N3" s="4">
        <f>+W3-SUM(K3:M3)</f>
        <v>2030.6800000000003</v>
      </c>
      <c r="O3" s="4"/>
      <c r="P3" s="4"/>
      <c r="Q3" s="4"/>
      <c r="R3" s="4"/>
      <c r="S3" s="4">
        <v>5689.6319999999996</v>
      </c>
      <c r="T3" s="4">
        <v>6226.98</v>
      </c>
      <c r="U3" s="4">
        <v>6897.13</v>
      </c>
      <c r="V3" s="4">
        <v>7465.1989999999996</v>
      </c>
      <c r="W3" s="4">
        <v>7976.0730000000003</v>
      </c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B4" t="s">
        <v>44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/>
      <c r="P4" s="4"/>
      <c r="Q4" s="4"/>
      <c r="R4" s="4"/>
      <c r="S4" s="4">
        <v>784.29100000000005</v>
      </c>
      <c r="T4" s="4">
        <v>832.45799999999997</v>
      </c>
      <c r="U4" s="4">
        <v>951.49599999999998</v>
      </c>
      <c r="V4" s="4">
        <v>1067.3340000000001</v>
      </c>
      <c r="W4" s="4">
        <v>1218.0899999999999</v>
      </c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5">
      <c r="B5" t="s">
        <v>20</v>
      </c>
      <c r="C5" s="4">
        <v>468.68200000000002</v>
      </c>
      <c r="D5" s="4">
        <v>464.87099999999998</v>
      </c>
      <c r="E5" s="4">
        <v>473.82100000000003</v>
      </c>
      <c r="F5" s="4">
        <f>U4+U5-SUM(C5:E5)</f>
        <v>511.2650000000001</v>
      </c>
      <c r="G5" s="4">
        <v>515.505</v>
      </c>
      <c r="H5" s="4">
        <v>526.63499999999999</v>
      </c>
      <c r="I5" s="4">
        <v>529.53099999999995</v>
      </c>
      <c r="J5" s="4">
        <f>+(V5+V4)-SUM(G5:I5)</f>
        <v>559.74500000000035</v>
      </c>
      <c r="K5" s="4">
        <v>567.74800000000005</v>
      </c>
      <c r="L5" s="4">
        <v>571.37300000000005</v>
      </c>
      <c r="M5" s="4">
        <v>588.01499999999999</v>
      </c>
      <c r="N5" s="4">
        <f>+(W5+W4)-SUM(K5:M5)</f>
        <v>636.97200000000021</v>
      </c>
      <c r="O5" s="4"/>
      <c r="P5" s="4"/>
      <c r="Q5" s="4"/>
      <c r="R5" s="4"/>
      <c r="S5" s="4">
        <v>642.41700000000003</v>
      </c>
      <c r="T5" s="4">
        <v>795.02099999999996</v>
      </c>
      <c r="U5" s="4">
        <v>967.14300000000003</v>
      </c>
      <c r="V5" s="4">
        <v>1064.0820000000001</v>
      </c>
      <c r="W5" s="4">
        <v>1146.018</v>
      </c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5">
      <c r="B6" s="3" t="s">
        <v>18</v>
      </c>
      <c r="C6" s="5">
        <f>C3+C5</f>
        <v>2166.4539999999997</v>
      </c>
      <c r="D6" s="5">
        <f t="shared" ref="D6:F6" si="0">D3+D5</f>
        <v>2174.8580000000002</v>
      </c>
      <c r="E6" s="5">
        <f t="shared" ref="E6" si="1">E3+E5</f>
        <v>2189.9859999999999</v>
      </c>
      <c r="F6" s="5">
        <f t="shared" si="0"/>
        <v>2284.4710000000005</v>
      </c>
      <c r="G6" s="5">
        <f>G3+G5</f>
        <v>2342.33</v>
      </c>
      <c r="H6" s="5">
        <f t="shared" ref="H6:L6" si="2">H3+H5</f>
        <v>2377.1769999999997</v>
      </c>
      <c r="I6" s="5">
        <f>I3+I5</f>
        <v>2406.1729999999998</v>
      </c>
      <c r="J6" s="5">
        <f t="shared" si="2"/>
        <v>2470.9349999999999</v>
      </c>
      <c r="K6" s="5">
        <f t="shared" si="2"/>
        <v>2501.587</v>
      </c>
      <c r="L6" s="5">
        <f t="shared" si="2"/>
        <v>2561.7830000000004</v>
      </c>
      <c r="M6" s="5">
        <v>2609.1590000000001</v>
      </c>
      <c r="N6" s="5">
        <f>+N3+N4+N5</f>
        <v>2667.6520000000005</v>
      </c>
      <c r="O6" s="4"/>
      <c r="P6" s="5">
        <f t="shared" ref="P6:T6" si="3">SUM(P3:P5)</f>
        <v>0</v>
      </c>
      <c r="Q6" s="5">
        <f t="shared" si="3"/>
        <v>0</v>
      </c>
      <c r="R6" s="5">
        <f t="shared" si="3"/>
        <v>0</v>
      </c>
      <c r="S6" s="5">
        <f t="shared" si="3"/>
        <v>7116.34</v>
      </c>
      <c r="T6" s="5">
        <f t="shared" si="3"/>
        <v>7854.4589999999989</v>
      </c>
      <c r="U6" s="5">
        <f>SUM(U3:U5)</f>
        <v>8815.7690000000002</v>
      </c>
      <c r="V6" s="5">
        <f>SUM(V3:V5)</f>
        <v>9596.6149999999998</v>
      </c>
      <c r="W6" s="5">
        <f>SUM(W3:W5)</f>
        <v>10340.181</v>
      </c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B7" t="s">
        <v>45</v>
      </c>
      <c r="C7" s="4">
        <v>890.76599999999996</v>
      </c>
      <c r="D7" s="4">
        <v>906.72699999999998</v>
      </c>
      <c r="E7" s="4">
        <v>907.99300000000005</v>
      </c>
      <c r="F7" s="4">
        <f>U7-SUM(C7:E7)</f>
        <v>926.68900000000031</v>
      </c>
      <c r="G7" s="4">
        <v>947.58299999999997</v>
      </c>
      <c r="H7" s="4">
        <v>974.23099999999999</v>
      </c>
      <c r="I7" s="4">
        <v>960.20799999999997</v>
      </c>
      <c r="J7" s="4">
        <f t="shared" ref="J7:J8" si="4">V7-SUM(G7:I7)</f>
        <v>983.04899999999998</v>
      </c>
      <c r="K7" s="4">
        <v>981.16300000000001</v>
      </c>
      <c r="L7" s="4">
        <v>1014.052</v>
      </c>
      <c r="M7" s="4">
        <v>1009.66</v>
      </c>
      <c r="N7" s="4">
        <f>+W7-SUM(K7:M7)</f>
        <v>1036.0129999999999</v>
      </c>
      <c r="O7" s="4"/>
      <c r="P7" s="4"/>
      <c r="Q7" s="4"/>
      <c r="R7" s="4"/>
      <c r="S7" s="4">
        <v>2983.5140000000001</v>
      </c>
      <c r="T7" s="4">
        <v>3316.433</v>
      </c>
      <c r="U7" s="4">
        <v>3632.1750000000002</v>
      </c>
      <c r="V7" s="4">
        <v>3865.0709999999999</v>
      </c>
      <c r="W7" s="4">
        <v>4040.8879999999999</v>
      </c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B8" t="s">
        <v>21</v>
      </c>
      <c r="C8" s="4">
        <v>247.57599999999999</v>
      </c>
      <c r="D8" s="4">
        <v>245.684</v>
      </c>
      <c r="E8" s="4">
        <v>247.96199999999999</v>
      </c>
      <c r="F8" s="4">
        <f>U8-SUM(C8:E8)</f>
        <v>269.00400000000002</v>
      </c>
      <c r="G8" s="4">
        <v>253.17599999999999</v>
      </c>
      <c r="H8" s="4">
        <v>261.39800000000002</v>
      </c>
      <c r="I8" s="4">
        <v>258.11700000000002</v>
      </c>
      <c r="J8" s="4">
        <f t="shared" si="4"/>
        <v>272.4369999999999</v>
      </c>
      <c r="K8" s="4">
        <v>268.29300000000001</v>
      </c>
      <c r="L8" s="4">
        <v>271.02800000000002</v>
      </c>
      <c r="M8" s="4">
        <v>280.15800000000002</v>
      </c>
      <c r="N8" s="4">
        <f>+W8-SUM(K8:M8)</f>
        <v>305.64999999999986</v>
      </c>
      <c r="O8" s="4"/>
      <c r="P8" s="4"/>
      <c r="Q8" s="4"/>
      <c r="R8" s="4"/>
      <c r="S8" s="4">
        <v>818.17499999999995</v>
      </c>
      <c r="T8" s="4">
        <v>905.78</v>
      </c>
      <c r="U8" s="4">
        <v>1010.226</v>
      </c>
      <c r="V8" s="4">
        <v>1045.1279999999999</v>
      </c>
      <c r="W8" s="4">
        <v>1125.1289999999999</v>
      </c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3"/>
      <c r="B9" t="s">
        <v>19</v>
      </c>
      <c r="C9" s="4">
        <f t="shared" ref="C9:F9" si="5">C6-SUM(C7:C8)</f>
        <v>1028.1119999999999</v>
      </c>
      <c r="D9" s="4">
        <f t="shared" si="5"/>
        <v>1022.4470000000001</v>
      </c>
      <c r="E9" s="4">
        <f t="shared" ref="E9" si="6">E6-SUM(E7:E8)</f>
        <v>1034.0309999999999</v>
      </c>
      <c r="F9" s="4">
        <f t="shared" si="5"/>
        <v>1088.7780000000002</v>
      </c>
      <c r="G9" s="4">
        <f>G6-SUM(G7:G8)</f>
        <v>1141.5709999999999</v>
      </c>
      <c r="H9" s="4">
        <f t="shared" ref="H9:K9" si="7">H6-SUM(H7:H8)</f>
        <v>1141.5479999999998</v>
      </c>
      <c r="I9" s="4">
        <f>I6-SUM(I7:I8)</f>
        <v>1187.8479999999997</v>
      </c>
      <c r="J9" s="4">
        <f t="shared" si="7"/>
        <v>1215.4490000000001</v>
      </c>
      <c r="K9" s="4">
        <f t="shared" si="7"/>
        <v>1252.1309999999999</v>
      </c>
      <c r="L9" s="4">
        <f>L6-SUM(L7:L8)</f>
        <v>1276.7030000000004</v>
      </c>
      <c r="M9" s="4">
        <f>M6-SUM(M7:M8)</f>
        <v>1319.3410000000001</v>
      </c>
      <c r="N9" s="4">
        <f>N6-SUM(N7:N8)</f>
        <v>1325.9890000000007</v>
      </c>
      <c r="O9" s="4"/>
      <c r="P9" s="4">
        <f t="shared" ref="P9:T9" si="8">P6-SUM(P7:P8)</f>
        <v>0</v>
      </c>
      <c r="Q9" s="4">
        <f t="shared" si="8"/>
        <v>0</v>
      </c>
      <c r="R9" s="4">
        <f t="shared" si="8"/>
        <v>0</v>
      </c>
      <c r="S9" s="4">
        <f t="shared" si="8"/>
        <v>3314.6509999999998</v>
      </c>
      <c r="T9" s="4">
        <f t="shared" si="8"/>
        <v>3632.2459999999992</v>
      </c>
      <c r="U9" s="4">
        <f>U6-SUM(U7:U8)</f>
        <v>4173.3680000000004</v>
      </c>
      <c r="V9" s="4">
        <f>V6-SUM(V7:V8)</f>
        <v>4686.4160000000002</v>
      </c>
      <c r="W9" s="4">
        <f>W6-SUM(W7:W8)</f>
        <v>5174.1640000000007</v>
      </c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B10" t="s">
        <v>22</v>
      </c>
      <c r="C10" s="4">
        <v>587.99199999999996</v>
      </c>
      <c r="D10" s="4">
        <v>577.51300000000003</v>
      </c>
      <c r="E10" s="4">
        <v>587.21900000000005</v>
      </c>
      <c r="F10" s="4">
        <f>U10-SUM(C10:E10)</f>
        <v>617.98</v>
      </c>
      <c r="G10" s="4">
        <v>641.01499999999999</v>
      </c>
      <c r="H10" s="4">
        <v>641.86500000000001</v>
      </c>
      <c r="I10" s="4">
        <v>667.048</v>
      </c>
      <c r="J10" s="4">
        <f>V10-SUM(G10:I10)</f>
        <v>667.85499999999979</v>
      </c>
      <c r="K10" s="4">
        <v>691.1</v>
      </c>
      <c r="L10" s="4">
        <v>685.31299999999999</v>
      </c>
      <c r="M10" s="4">
        <v>709.48800000000006</v>
      </c>
      <c r="N10" s="4">
        <f>+W10-SUM(K10:M10)</f>
        <v>728.53700000000026</v>
      </c>
      <c r="O10" s="4"/>
      <c r="P10" s="4"/>
      <c r="Q10" s="4"/>
      <c r="R10" s="4"/>
      <c r="S10" s="4">
        <v>1929.1590000000001</v>
      </c>
      <c r="T10" s="4">
        <v>2044.876</v>
      </c>
      <c r="U10" s="4">
        <v>2370.7040000000002</v>
      </c>
      <c r="V10" s="4">
        <v>2617.7829999999999</v>
      </c>
      <c r="W10" s="4">
        <v>2814.4380000000001</v>
      </c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5">
      <c r="B11" t="s">
        <v>23</v>
      </c>
      <c r="C11" s="4">
        <f>C9-C10</f>
        <v>440.11999999999989</v>
      </c>
      <c r="D11" s="4">
        <f t="shared" ref="D11:N11" si="9">D9-D10</f>
        <v>444.93400000000008</v>
      </c>
      <c r="E11" s="4">
        <f>E9-E10</f>
        <v>446.8119999999999</v>
      </c>
      <c r="F11" s="4">
        <f t="shared" si="9"/>
        <v>470.79800000000023</v>
      </c>
      <c r="G11" s="4">
        <f t="shared" si="9"/>
        <v>500.55599999999993</v>
      </c>
      <c r="H11" s="4">
        <f t="shared" si="9"/>
        <v>499.68299999999977</v>
      </c>
      <c r="I11" s="4">
        <f t="shared" ref="I11" si="10">I9-I10</f>
        <v>520.79999999999973</v>
      </c>
      <c r="J11" s="4">
        <f t="shared" si="9"/>
        <v>547.59400000000028</v>
      </c>
      <c r="K11" s="4">
        <f t="shared" si="9"/>
        <v>561.03099999999984</v>
      </c>
      <c r="L11" s="4">
        <f t="shared" si="9"/>
        <v>591.39000000000044</v>
      </c>
      <c r="M11" s="4">
        <f t="shared" si="9"/>
        <v>609.85300000000007</v>
      </c>
      <c r="N11" s="4">
        <f t="shared" si="9"/>
        <v>597.45200000000045</v>
      </c>
      <c r="O11" s="4"/>
      <c r="P11" s="4">
        <f t="shared" ref="P11:T11" si="11">P9-P10</f>
        <v>0</v>
      </c>
      <c r="Q11" s="4">
        <f t="shared" si="11"/>
        <v>0</v>
      </c>
      <c r="R11" s="4">
        <f t="shared" si="11"/>
        <v>0</v>
      </c>
      <c r="S11" s="4">
        <f t="shared" si="11"/>
        <v>1385.4919999999997</v>
      </c>
      <c r="T11" s="4">
        <f t="shared" si="11"/>
        <v>1587.3699999999992</v>
      </c>
      <c r="U11" s="4">
        <f>U9-U10</f>
        <v>1802.6640000000002</v>
      </c>
      <c r="V11" s="4">
        <f>V9-V10</f>
        <v>2068.6330000000003</v>
      </c>
      <c r="W11" s="4">
        <f>W9-W10</f>
        <v>2359.7260000000006</v>
      </c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B12" t="s">
        <v>24</v>
      </c>
      <c r="C12" s="4">
        <f>0.155-27.72</f>
        <v>-27.564999999999998</v>
      </c>
      <c r="D12" s="4">
        <f>0.344-28.92</f>
        <v>-28.576000000000001</v>
      </c>
      <c r="E12" s="4">
        <f>0.373-28.819</f>
        <v>-28.445999999999998</v>
      </c>
      <c r="F12" s="4">
        <f>U12-SUM(C12:E12)</f>
        <v>-24.929000000000016</v>
      </c>
      <c r="G12" s="4">
        <f>0.422-24.544</f>
        <v>-24.122</v>
      </c>
      <c r="H12" s="4">
        <f>0.769-26.59</f>
        <v>-25.821000000000002</v>
      </c>
      <c r="I12" s="4">
        <f>0.93-25.53</f>
        <v>-24.6</v>
      </c>
      <c r="J12" s="4">
        <f>V12-SUM(G12:I12)</f>
        <v>-20.454999999999984</v>
      </c>
      <c r="K12" s="4">
        <f>1.25-25.619</f>
        <v>-24.369</v>
      </c>
      <c r="L12" s="4">
        <f>-26.665+0.962</f>
        <v>-25.702999999999999</v>
      </c>
      <c r="M12" s="4">
        <f>1.349-24.764</f>
        <v>-23.414999999999999</v>
      </c>
      <c r="N12" s="4">
        <f>+W12-SUM(K12:M12)</f>
        <v>-22.037000000000006</v>
      </c>
      <c r="O12" s="4"/>
      <c r="P12" s="4"/>
      <c r="Q12" s="4"/>
      <c r="R12" s="4"/>
      <c r="S12" s="4">
        <f>0.467-98.21</f>
        <v>-97.742999999999995</v>
      </c>
      <c r="T12" s="4">
        <f>0.242-88.844</f>
        <v>-88.60199999999999</v>
      </c>
      <c r="U12" s="4">
        <f>1.716-111.232</f>
        <v>-109.51600000000001</v>
      </c>
      <c r="V12" s="4">
        <f>-100.74+5.742</f>
        <v>-94.99799999999999</v>
      </c>
      <c r="W12" s="4">
        <f>-101.108+5.584</f>
        <v>-95.524000000000001</v>
      </c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B13" t="s">
        <v>25</v>
      </c>
      <c r="C13" s="4">
        <f t="shared" ref="C13:F13" si="12">C11+C12</f>
        <v>412.55499999999989</v>
      </c>
      <c r="D13" s="4">
        <f t="shared" si="12"/>
        <v>416.35800000000006</v>
      </c>
      <c r="E13" s="4">
        <f t="shared" ref="E13" si="13">E11+E12</f>
        <v>418.36599999999987</v>
      </c>
      <c r="F13" s="4">
        <f t="shared" si="12"/>
        <v>445.8690000000002</v>
      </c>
      <c r="G13" s="4">
        <f>G11+G12</f>
        <v>476.43399999999991</v>
      </c>
      <c r="H13" s="4">
        <f t="shared" ref="H13:W13" si="14">H11+H12</f>
        <v>473.86199999999974</v>
      </c>
      <c r="I13" s="4">
        <f>I11+I12</f>
        <v>496.1999999999997</v>
      </c>
      <c r="J13" s="4">
        <f t="shared" si="14"/>
        <v>527.13900000000035</v>
      </c>
      <c r="K13" s="4">
        <f>K11+K12</f>
        <v>536.66199999999981</v>
      </c>
      <c r="L13" s="4">
        <f>L11+L12</f>
        <v>565.68700000000047</v>
      </c>
      <c r="M13" s="4">
        <f>M11+M12</f>
        <v>586.4380000000001</v>
      </c>
      <c r="N13" s="4">
        <f>N11+N12</f>
        <v>575.41500000000042</v>
      </c>
      <c r="O13" s="4"/>
      <c r="P13" s="4">
        <f t="shared" si="14"/>
        <v>0</v>
      </c>
      <c r="Q13" s="4">
        <f t="shared" si="14"/>
        <v>0</v>
      </c>
      <c r="R13" s="4">
        <f t="shared" si="14"/>
        <v>0</v>
      </c>
      <c r="S13" s="4">
        <f t="shared" si="14"/>
        <v>1287.7489999999998</v>
      </c>
      <c r="T13" s="4">
        <f t="shared" si="14"/>
        <v>1498.7679999999991</v>
      </c>
      <c r="U13" s="4">
        <f t="shared" si="14"/>
        <v>1693.1480000000001</v>
      </c>
      <c r="V13" s="4">
        <f t="shared" si="14"/>
        <v>1973.6350000000002</v>
      </c>
      <c r="W13" s="4">
        <f t="shared" si="14"/>
        <v>2264.2020000000007</v>
      </c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5">
      <c r="B14" t="s">
        <v>26</v>
      </c>
      <c r="C14" s="4">
        <v>60.866</v>
      </c>
      <c r="D14" s="4">
        <v>92.064999999999998</v>
      </c>
      <c r="E14" s="4">
        <v>92.539000000000001</v>
      </c>
      <c r="F14" s="4">
        <f>U14-SUM(C14:E14)</f>
        <v>99.688000000000045</v>
      </c>
      <c r="G14" s="4">
        <v>91.349000000000004</v>
      </c>
      <c r="H14" s="4">
        <v>99.429000000000002</v>
      </c>
      <c r="I14" s="4">
        <v>98.691999999999993</v>
      </c>
      <c r="J14" s="4">
        <f>V14-SUM(G14:I14)</f>
        <v>112.57299999999998</v>
      </c>
      <c r="K14" s="4">
        <v>84.629000000000005</v>
      </c>
      <c r="L14" s="4">
        <v>117.19199999999999</v>
      </c>
      <c r="M14" s="4">
        <v>122.941</v>
      </c>
      <c r="N14" s="4">
        <f>+W14-SUM(K14:M14)</f>
        <v>127.15899999999999</v>
      </c>
      <c r="O14" s="4"/>
      <c r="P14" s="4"/>
      <c r="Q14" s="4"/>
      <c r="R14" s="4"/>
      <c r="S14" s="4">
        <v>176.78100000000001</v>
      </c>
      <c r="T14" s="4">
        <v>263.01100000000002</v>
      </c>
      <c r="U14" s="4">
        <v>345.15800000000002</v>
      </c>
      <c r="V14" s="4">
        <v>402.04300000000001</v>
      </c>
      <c r="W14" s="4">
        <v>451.92099999999999</v>
      </c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5">
      <c r="B15" t="s">
        <v>27</v>
      </c>
      <c r="C15" s="4">
        <f t="shared" ref="C15:E15" si="15">C13-C14</f>
        <v>351.68899999999991</v>
      </c>
      <c r="D15" s="4">
        <f t="shared" ref="D15" si="16">D13-D14</f>
        <v>324.29300000000006</v>
      </c>
      <c r="E15" s="4">
        <f t="shared" si="15"/>
        <v>325.82699999999988</v>
      </c>
      <c r="F15" s="4">
        <f t="shared" ref="F15" si="17">F13-F14</f>
        <v>346.18100000000015</v>
      </c>
      <c r="G15" s="4">
        <f t="shared" ref="G15:W15" si="18">G13-G14</f>
        <v>385.08499999999992</v>
      </c>
      <c r="H15" s="4">
        <f t="shared" si="18"/>
        <v>374.43299999999977</v>
      </c>
      <c r="I15" s="4">
        <f t="shared" ref="I15" si="19">I13-I14</f>
        <v>397.5079999999997</v>
      </c>
      <c r="J15" s="4">
        <f t="shared" si="18"/>
        <v>414.56600000000037</v>
      </c>
      <c r="K15" s="4">
        <f t="shared" si="18"/>
        <v>452.03299999999979</v>
      </c>
      <c r="L15" s="4">
        <f t="shared" si="18"/>
        <v>448.49500000000046</v>
      </c>
      <c r="M15" s="4">
        <f t="shared" si="18"/>
        <v>463.49700000000007</v>
      </c>
      <c r="N15" s="4">
        <f t="shared" si="18"/>
        <v>448.25600000000043</v>
      </c>
      <c r="O15" s="4"/>
      <c r="P15" s="4">
        <f t="shared" si="18"/>
        <v>0</v>
      </c>
      <c r="Q15" s="4">
        <f t="shared" si="18"/>
        <v>0</v>
      </c>
      <c r="R15" s="4">
        <f t="shared" si="18"/>
        <v>0</v>
      </c>
      <c r="S15" s="4">
        <f t="shared" si="18"/>
        <v>1110.9679999999998</v>
      </c>
      <c r="T15" s="4">
        <f t="shared" si="18"/>
        <v>1235.7569999999992</v>
      </c>
      <c r="U15" s="4">
        <f t="shared" si="18"/>
        <v>1347.9900000000002</v>
      </c>
      <c r="V15" s="4">
        <f t="shared" si="18"/>
        <v>1571.5920000000001</v>
      </c>
      <c r="W15" s="4">
        <f t="shared" si="18"/>
        <v>1812.2810000000006</v>
      </c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x14ac:dyDescent="0.25">
      <c r="B17" t="s">
        <v>28</v>
      </c>
      <c r="C17" s="7">
        <v>3.45</v>
      </c>
      <c r="D17" s="7">
        <v>3.18</v>
      </c>
      <c r="E17" s="7">
        <v>3.19</v>
      </c>
      <c r="F17" s="7">
        <f>U17-SUM(C17:E17)</f>
        <v>3.3900000000000006</v>
      </c>
      <c r="G17" s="7">
        <v>3.76</v>
      </c>
      <c r="H17" s="7">
        <v>3.67</v>
      </c>
      <c r="I17" s="7">
        <v>3.9</v>
      </c>
      <c r="J17" s="7">
        <f t="shared" ref="J17:L17" si="20">+J15/J18</f>
        <v>4.0782465839670285</v>
      </c>
      <c r="K17" s="7">
        <f t="shared" si="20"/>
        <v>1.1206077613775522</v>
      </c>
      <c r="L17" s="7">
        <f t="shared" si="20"/>
        <v>1.1112886880204975</v>
      </c>
      <c r="M17" s="7">
        <f>+M15/M18</f>
        <v>1.1479261657036575</v>
      </c>
      <c r="N17" s="7">
        <f>+N15/N18</f>
        <v>1.1101793352139477</v>
      </c>
      <c r="O17" s="4"/>
      <c r="P17" s="4"/>
      <c r="Q17" s="4"/>
      <c r="R17" s="4"/>
      <c r="S17" s="4">
        <v>10.52</v>
      </c>
      <c r="T17" s="4">
        <v>11.92</v>
      </c>
      <c r="U17" s="4">
        <v>13.21</v>
      </c>
      <c r="V17" s="4">
        <v>15.4</v>
      </c>
      <c r="W17" s="4">
        <v>15.4</v>
      </c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x14ac:dyDescent="0.25">
      <c r="B18" t="s">
        <v>2</v>
      </c>
      <c r="C18" s="4">
        <f t="shared" ref="C18:H18" si="21">C15/C17</f>
        <v>101.93884057971012</v>
      </c>
      <c r="D18" s="4">
        <f t="shared" si="21"/>
        <v>101.97893081761008</v>
      </c>
      <c r="E18" s="4">
        <f t="shared" si="21"/>
        <v>102.14012539184949</v>
      </c>
      <c r="F18" s="4">
        <f t="shared" si="21"/>
        <v>102.11828908554575</v>
      </c>
      <c r="G18" s="4">
        <v>407.58</v>
      </c>
      <c r="H18" s="4">
        <f t="shared" si="21"/>
        <v>102.02534059945498</v>
      </c>
      <c r="I18" s="4">
        <v>405.91</v>
      </c>
      <c r="J18" s="4">
        <v>101.65300000000001</v>
      </c>
      <c r="K18" s="4">
        <v>403.38200000000001</v>
      </c>
      <c r="L18" s="4">
        <v>403.58100000000002</v>
      </c>
      <c r="M18" s="4">
        <v>403.76900000000001</v>
      </c>
      <c r="N18" s="4">
        <v>403.76900000000001</v>
      </c>
      <c r="O18" s="4"/>
      <c r="P18" s="4"/>
      <c r="Q18" s="4"/>
      <c r="R18" s="4"/>
      <c r="S18" s="4">
        <f>S15/S17</f>
        <v>105.60532319391633</v>
      </c>
      <c r="T18" s="4">
        <f>T15/T17</f>
        <v>103.67088926174489</v>
      </c>
      <c r="U18" s="4">
        <f>U15/U17</f>
        <v>102.0431491294474</v>
      </c>
      <c r="V18" s="4">
        <f>V15/V17</f>
        <v>102.05142857142857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x14ac:dyDescent="0.25">
      <c r="B20" t="s">
        <v>57</v>
      </c>
      <c r="C20" s="6"/>
      <c r="D20" s="6"/>
      <c r="E20" s="6"/>
      <c r="F20" s="6"/>
      <c r="G20" s="9">
        <f>+G3/C3-1</f>
        <v>7.6013151353656605E-2</v>
      </c>
      <c r="H20" s="9">
        <f t="shared" ref="H20:N20" si="22">+H3/D3-1</f>
        <v>8.2196531318659005E-2</v>
      </c>
      <c r="I20" s="9">
        <f t="shared" si="22"/>
        <v>9.3509074010948989E-2</v>
      </c>
      <c r="J20" s="9">
        <f t="shared" si="22"/>
        <v>7.7816113863814707E-2</v>
      </c>
      <c r="K20" s="9">
        <f t="shared" si="22"/>
        <v>5.8579228990187859E-2</v>
      </c>
      <c r="L20" s="9">
        <f t="shared" si="22"/>
        <v>7.5582180788115183E-2</v>
      </c>
      <c r="M20" s="9">
        <f t="shared" si="22"/>
        <v>7.7000301602543342E-2</v>
      </c>
      <c r="N20" s="9">
        <f t="shared" si="22"/>
        <v>6.252125638999817E-2</v>
      </c>
      <c r="O20" s="4"/>
      <c r="P20" s="6"/>
      <c r="Q20" s="6" t="e">
        <f t="shared" ref="Q20:U20" si="23">+Q3/P3-1</f>
        <v>#DIV/0!</v>
      </c>
      <c r="R20" s="6" t="e">
        <f t="shared" si="23"/>
        <v>#DIV/0!</v>
      </c>
      <c r="S20" s="6" t="e">
        <f t="shared" si="23"/>
        <v>#DIV/0!</v>
      </c>
      <c r="T20" s="6">
        <f t="shared" si="23"/>
        <v>9.4443366460256195E-2</v>
      </c>
      <c r="U20" s="6">
        <f t="shared" si="23"/>
        <v>0.10762038741091207</v>
      </c>
      <c r="V20" s="6">
        <f>+V3/U3-1</f>
        <v>8.2363098854161043E-2</v>
      </c>
      <c r="W20" s="6">
        <f>+W3/V3-1</f>
        <v>6.8434076573176572E-2</v>
      </c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x14ac:dyDescent="0.25">
      <c r="B21" t="s">
        <v>58</v>
      </c>
      <c r="C21" s="6"/>
      <c r="D21" s="6"/>
      <c r="E21" s="6"/>
      <c r="F21" s="6"/>
      <c r="G21" s="9">
        <f t="shared" ref="G21:J22" si="24">G5/C5-1</f>
        <v>9.9903559343008652E-2</v>
      </c>
      <c r="H21" s="9">
        <f t="shared" ref="H21" si="25">H5/D5-1</f>
        <v>0.13286266512645439</v>
      </c>
      <c r="I21" s="9">
        <f t="shared" ref="I21" si="26">I5/E5-1</f>
        <v>0.11757604665052823</v>
      </c>
      <c r="J21" s="9">
        <f t="shared" ref="J21" si="27">J5/F5-1</f>
        <v>9.4823623756760567E-2</v>
      </c>
      <c r="K21" s="9">
        <f t="shared" ref="K21" si="28">K5/G5-1</f>
        <v>0.10134334293556813</v>
      </c>
      <c r="L21" s="9">
        <f t="shared" ref="L21" si="29">L5/H5-1</f>
        <v>8.4950677414148412E-2</v>
      </c>
      <c r="M21" s="9">
        <f t="shared" ref="M21:M22" si="30">M5/I5-1</f>
        <v>0.11044490313126154</v>
      </c>
      <c r="N21" s="9">
        <f t="shared" ref="N21:N22" si="31">N5/J5-1</f>
        <v>0.13796818193999028</v>
      </c>
      <c r="O21" s="4"/>
      <c r="P21" s="6"/>
      <c r="Q21" s="6" t="e">
        <f t="shared" ref="Q21:U21" si="32">+(Q4+Q5)/(+SUM(P4:P5))-1</f>
        <v>#DIV/0!</v>
      </c>
      <c r="R21" s="6" t="e">
        <f t="shared" si="32"/>
        <v>#DIV/0!</v>
      </c>
      <c r="S21" s="6" t="e">
        <f t="shared" si="32"/>
        <v>#DIV/0!</v>
      </c>
      <c r="T21" s="6">
        <f t="shared" si="32"/>
        <v>0.14072325941958663</v>
      </c>
      <c r="U21" s="6">
        <f t="shared" si="32"/>
        <v>0.17890246202869609</v>
      </c>
      <c r="V21" s="6">
        <f>+(V4+V5)/(+SUM(U4:U5))-1</f>
        <v>0.11089996606969832</v>
      </c>
      <c r="W21" s="6">
        <f>+(W4+W5)/(+SUM(V4:V5))-1</f>
        <v>0.10917249377878369</v>
      </c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x14ac:dyDescent="0.25">
      <c r="B22" s="3" t="s">
        <v>29</v>
      </c>
      <c r="C22" s="5"/>
      <c r="D22" s="8"/>
      <c r="E22" s="8"/>
      <c r="F22" s="8"/>
      <c r="G22" s="8">
        <f t="shared" si="24"/>
        <v>8.1181506738661424E-2</v>
      </c>
      <c r="H22" s="8">
        <f t="shared" si="24"/>
        <v>9.3026303326469773E-2</v>
      </c>
      <c r="I22" s="8">
        <f t="shared" si="24"/>
        <v>9.8716156176340775E-2</v>
      </c>
      <c r="J22" s="8">
        <f t="shared" si="24"/>
        <v>8.1622397482830511E-2</v>
      </c>
      <c r="K22" s="8">
        <f>K6/G6-1</f>
        <v>6.7990846720999976E-2</v>
      </c>
      <c r="L22" s="8">
        <f>L6/H6-1</f>
        <v>7.7657658643004224E-2</v>
      </c>
      <c r="M22" s="8">
        <f t="shared" si="30"/>
        <v>8.4360517718385264E-2</v>
      </c>
      <c r="N22" s="8">
        <f t="shared" si="31"/>
        <v>7.9612373453773699E-2</v>
      </c>
      <c r="O22" s="5"/>
      <c r="P22" s="5"/>
      <c r="Q22" s="8" t="e">
        <f t="shared" ref="Q22:T22" si="33">Q6/P6-1</f>
        <v>#DIV/0!</v>
      </c>
      <c r="R22" s="8" t="e">
        <f t="shared" si="33"/>
        <v>#DIV/0!</v>
      </c>
      <c r="S22" s="8" t="e">
        <f t="shared" si="33"/>
        <v>#DIV/0!</v>
      </c>
      <c r="T22" s="8">
        <f t="shared" si="33"/>
        <v>0.10372171650033568</v>
      </c>
      <c r="U22" s="8">
        <f>U6/T6-1</f>
        <v>0.12239035177343238</v>
      </c>
      <c r="V22" s="8">
        <f t="shared" ref="V22:W22" si="34">V6/U6-1</f>
        <v>8.8573781822096187E-2</v>
      </c>
      <c r="W22" s="8">
        <f t="shared" si="34"/>
        <v>7.7482112182264418E-2</v>
      </c>
      <c r="X22" s="5"/>
      <c r="Y22" s="4"/>
      <c r="Z22" s="4"/>
      <c r="AA22" s="4"/>
      <c r="AB22" s="4"/>
      <c r="AC22" s="4"/>
      <c r="AD22" s="4"/>
      <c r="AE22" s="4"/>
      <c r="AF22" s="4"/>
      <c r="AG22" s="4"/>
    </row>
    <row r="23" spans="2:33" x14ac:dyDescent="0.25">
      <c r="B23" t="s">
        <v>34</v>
      </c>
      <c r="C23" s="6">
        <f t="shared" ref="C23:F23" si="35">(C3-C7)/C3</f>
        <v>0.47533237678557544</v>
      </c>
      <c r="D23" s="6">
        <f t="shared" si="35"/>
        <v>0.46974626122888657</v>
      </c>
      <c r="E23" s="6">
        <f t="shared" si="35"/>
        <v>0.47091742344121917</v>
      </c>
      <c r="F23" s="6">
        <f t="shared" si="35"/>
        <v>0.47739348953251892</v>
      </c>
      <c r="G23" s="6">
        <f>(G3-G7)/G3</f>
        <v>0.48129514321295147</v>
      </c>
      <c r="H23" s="6">
        <f t="shared" ref="H23:J23" si="36">(H3-H7)/H3</f>
        <v>0.47354288635437614</v>
      </c>
      <c r="I23" s="6">
        <f t="shared" si="36"/>
        <v>0.48833714688257007</v>
      </c>
      <c r="J23" s="6">
        <f t="shared" si="36"/>
        <v>0.48563512785228041</v>
      </c>
      <c r="K23" s="6">
        <f>(K3-K7)/K3</f>
        <v>0.4926345988471636</v>
      </c>
      <c r="L23" s="6">
        <f>(L3-L7)/L3</f>
        <v>0.49053109660823652</v>
      </c>
      <c r="M23" s="6">
        <f t="shared" ref="M23:N23" si="37">(M3-M7)/M3</f>
        <v>0.5004512296006618</v>
      </c>
      <c r="N23" s="6">
        <f t="shared" si="37"/>
        <v>0.48981966631867169</v>
      </c>
      <c r="O23" s="4"/>
      <c r="P23" s="6" t="e">
        <f t="shared" ref="P23:T23" si="38">(P3-P7)/P3</f>
        <v>#DIV/0!</v>
      </c>
      <c r="Q23" s="6" t="e">
        <f t="shared" si="38"/>
        <v>#DIV/0!</v>
      </c>
      <c r="R23" s="6" t="e">
        <f t="shared" si="38"/>
        <v>#DIV/0!</v>
      </c>
      <c r="S23" s="6">
        <f t="shared" si="38"/>
        <v>0.47562267647538536</v>
      </c>
      <c r="T23" s="6">
        <f t="shared" si="38"/>
        <v>0.46740908112760915</v>
      </c>
      <c r="U23" s="6">
        <f>(U3-U7)/U3</f>
        <v>0.47337878218911345</v>
      </c>
      <c r="V23" s="6">
        <f t="shared" ref="V23:W23" si="39">(V3-V7)/V3</f>
        <v>0.48225479320778991</v>
      </c>
      <c r="W23" s="6">
        <f t="shared" si="39"/>
        <v>0.49337374419717578</v>
      </c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x14ac:dyDescent="0.25">
      <c r="B24" t="s">
        <v>35</v>
      </c>
      <c r="C24" s="6">
        <f t="shared" ref="C24:F24" si="40">(C5-C8)/C5</f>
        <v>0.47176123683008953</v>
      </c>
      <c r="D24" s="6">
        <f t="shared" si="40"/>
        <v>0.47150069589197863</v>
      </c>
      <c r="E24" s="6">
        <f t="shared" si="40"/>
        <v>0.47667579106877916</v>
      </c>
      <c r="F24" s="6">
        <f t="shared" si="40"/>
        <v>0.473846244119977</v>
      </c>
      <c r="G24" s="6">
        <f>(G5-G8)/G5</f>
        <v>0.50887770244711494</v>
      </c>
      <c r="H24" s="6">
        <f t="shared" ref="H24:J24" si="41">(H5-H8)/H5</f>
        <v>0.5036448394049009</v>
      </c>
      <c r="I24" s="6">
        <f t="shared" si="41"/>
        <v>0.51255545001142511</v>
      </c>
      <c r="J24" s="6">
        <f t="shared" si="41"/>
        <v>0.51328372741158967</v>
      </c>
      <c r="K24" s="6">
        <f t="shared" ref="K24:L24" si="42">(K5-K8)/K5</f>
        <v>0.52744351367155851</v>
      </c>
      <c r="L24" s="6">
        <f t="shared" si="42"/>
        <v>0.52565486993610133</v>
      </c>
      <c r="M24" s="6">
        <f t="shared" ref="M24:N24" si="43">(M5-M8)/M5</f>
        <v>0.52355297058748496</v>
      </c>
      <c r="N24" s="6">
        <f t="shared" si="43"/>
        <v>0.52015159222069451</v>
      </c>
      <c r="O24" s="4"/>
      <c r="P24" s="6" t="e">
        <f t="shared" ref="P24:T24" si="44">(P4+P5-P8)/(P4+P5)</f>
        <v>#DIV/0!</v>
      </c>
      <c r="Q24" s="6" t="e">
        <f t="shared" si="44"/>
        <v>#DIV/0!</v>
      </c>
      <c r="R24" s="6" t="e">
        <f t="shared" si="44"/>
        <v>#DIV/0!</v>
      </c>
      <c r="S24" s="6">
        <f t="shared" si="44"/>
        <v>0.42652946503419065</v>
      </c>
      <c r="T24" s="6">
        <f t="shared" si="44"/>
        <v>0.44344596765918326</v>
      </c>
      <c r="U24" s="6">
        <f>(U4+U5-U8)/(U4+U5)</f>
        <v>0.47346739016563305</v>
      </c>
      <c r="V24" s="6">
        <f t="shared" ref="V24:W24" si="45">(V4+V5-V8)/(V4+V5)</f>
        <v>0.50965555292819431</v>
      </c>
      <c r="W24" s="6">
        <f t="shared" si="45"/>
        <v>0.52407884918963099</v>
      </c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x14ac:dyDescent="0.25">
      <c r="B25" t="s">
        <v>31</v>
      </c>
      <c r="C25" s="6">
        <f t="shared" ref="C25:F25" si="46">C9/C6</f>
        <v>0.47455981063987512</v>
      </c>
      <c r="D25" s="6">
        <f t="shared" si="46"/>
        <v>0.47012126768736168</v>
      </c>
      <c r="E25" s="6">
        <f t="shared" si="46"/>
        <v>0.47216329236807908</v>
      </c>
      <c r="F25" s="6">
        <f t="shared" si="46"/>
        <v>0.47659961540330342</v>
      </c>
      <c r="G25" s="6">
        <f>G9/G6</f>
        <v>0.48736557188782109</v>
      </c>
      <c r="H25" s="6">
        <f t="shared" ref="H25:J25" si="47">H9/H6</f>
        <v>0.4802116123452313</v>
      </c>
      <c r="I25" s="6">
        <f t="shared" si="47"/>
        <v>0.49366691422437198</v>
      </c>
      <c r="J25" s="6">
        <f t="shared" si="47"/>
        <v>0.49189841092541897</v>
      </c>
      <c r="K25" s="6">
        <f t="shared" ref="K25:L25" si="48">K9/K6</f>
        <v>0.50053466059745266</v>
      </c>
      <c r="L25" s="6">
        <f t="shared" si="48"/>
        <v>0.49836500593531935</v>
      </c>
      <c r="M25" s="6">
        <f t="shared" ref="M25:N25" si="49">M9/M6</f>
        <v>0.50565757012125367</v>
      </c>
      <c r="N25" s="6">
        <f t="shared" si="49"/>
        <v>0.49706221051321553</v>
      </c>
      <c r="O25" s="4"/>
      <c r="P25" s="6" t="e">
        <f t="shared" ref="P25:T25" si="50">P9/P6</f>
        <v>#DIV/0!</v>
      </c>
      <c r="Q25" s="6" t="e">
        <f t="shared" si="50"/>
        <v>#DIV/0!</v>
      </c>
      <c r="R25" s="6" t="e">
        <f t="shared" si="50"/>
        <v>#DIV/0!</v>
      </c>
      <c r="S25" s="6">
        <f t="shared" si="50"/>
        <v>0.46578030279610022</v>
      </c>
      <c r="T25" s="6">
        <f t="shared" si="50"/>
        <v>0.46244381694525361</v>
      </c>
      <c r="U25" s="6">
        <f>U9/U6</f>
        <v>0.47339806657819644</v>
      </c>
      <c r="V25" s="6">
        <f t="shared" ref="V25:W25" si="51">V9/V6</f>
        <v>0.48834052423693147</v>
      </c>
      <c r="W25" s="6">
        <f t="shared" si="51"/>
        <v>0.50039394861656683</v>
      </c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x14ac:dyDescent="0.25">
      <c r="B26" t="s">
        <v>32</v>
      </c>
      <c r="C26" s="6">
        <f t="shared" ref="C26:F26" si="52">C11/C6</f>
        <v>0.20315224786679059</v>
      </c>
      <c r="D26" s="6">
        <f t="shared" si="52"/>
        <v>0.2045807128557359</v>
      </c>
      <c r="E26" s="6">
        <f t="shared" si="52"/>
        <v>0.20402504856195425</v>
      </c>
      <c r="F26" s="6">
        <f t="shared" si="52"/>
        <v>0.20608622302493668</v>
      </c>
      <c r="G26" s="6">
        <f>G11/G6</f>
        <v>0.21370003372710078</v>
      </c>
      <c r="H26" s="6">
        <f t="shared" ref="H26:J26" si="53">H11/H6</f>
        <v>0.21020016599521191</v>
      </c>
      <c r="I26" s="6">
        <f t="shared" si="53"/>
        <v>0.21644328982163782</v>
      </c>
      <c r="J26" s="6">
        <f t="shared" si="53"/>
        <v>0.22161408535635307</v>
      </c>
      <c r="K26" s="6">
        <f t="shared" ref="K26:L26" si="54">K11/K6</f>
        <v>0.22427003338280851</v>
      </c>
      <c r="L26" s="6">
        <f t="shared" si="54"/>
        <v>0.23085093468104065</v>
      </c>
      <c r="M26" s="6">
        <f t="shared" ref="M26:N26" si="55">M11/M6</f>
        <v>0.23373546801862211</v>
      </c>
      <c r="N26" s="6">
        <f t="shared" si="55"/>
        <v>0.22396174613480332</v>
      </c>
      <c r="O26" s="4"/>
      <c r="P26" s="6" t="e">
        <f t="shared" ref="P26:T26" si="56">P11/P6</f>
        <v>#DIV/0!</v>
      </c>
      <c r="Q26" s="6" t="e">
        <f t="shared" si="56"/>
        <v>#DIV/0!</v>
      </c>
      <c r="R26" s="6" t="e">
        <f t="shared" si="56"/>
        <v>#DIV/0!</v>
      </c>
      <c r="S26" s="6">
        <f t="shared" si="56"/>
        <v>0.19469165329368746</v>
      </c>
      <c r="T26" s="6">
        <f t="shared" si="56"/>
        <v>0.20209794207341325</v>
      </c>
      <c r="U26" s="6">
        <f>U11/U6</f>
        <v>0.20448176443824698</v>
      </c>
      <c r="V26" s="6">
        <f t="shared" ref="V26:W26" si="57">V11/V6</f>
        <v>0.21555861103107712</v>
      </c>
      <c r="W26" s="6">
        <f t="shared" si="57"/>
        <v>0.22820935146106247</v>
      </c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x14ac:dyDescent="0.25">
      <c r="B27" t="s">
        <v>33</v>
      </c>
      <c r="C27" s="6">
        <f t="shared" ref="C27:F27" si="58">C15/C6</f>
        <v>0.16233393369995391</v>
      </c>
      <c r="D27" s="6">
        <f t="shared" si="58"/>
        <v>0.14910996488046577</v>
      </c>
      <c r="E27" s="6">
        <f t="shared" si="58"/>
        <v>0.1487804031623946</v>
      </c>
      <c r="F27" s="6">
        <f t="shared" si="58"/>
        <v>0.15153661394694881</v>
      </c>
      <c r="G27" s="6">
        <f>G15/G6</f>
        <v>0.16440253935184193</v>
      </c>
      <c r="H27" s="6">
        <f t="shared" ref="H27:J27" si="59">H15/H6</f>
        <v>0.15751161987517118</v>
      </c>
      <c r="I27" s="6">
        <f t="shared" si="59"/>
        <v>0.1652034163794539</v>
      </c>
      <c r="J27" s="6">
        <f t="shared" si="59"/>
        <v>0.16777697511265993</v>
      </c>
      <c r="K27" s="6">
        <f t="shared" ref="K27:L27" si="60">K15/K6</f>
        <v>0.18069849259689941</v>
      </c>
      <c r="L27" s="6">
        <f t="shared" si="60"/>
        <v>0.17507142486307403</v>
      </c>
      <c r="M27" s="6">
        <f t="shared" ref="M27:N27" si="61">M15/M6</f>
        <v>0.1776422977672116</v>
      </c>
      <c r="N27" s="6">
        <f t="shared" si="61"/>
        <v>0.16803391146971208</v>
      </c>
      <c r="O27" s="4"/>
      <c r="P27" s="6" t="e">
        <f t="shared" ref="P27:T27" si="62">P15/P6</f>
        <v>#DIV/0!</v>
      </c>
      <c r="Q27" s="6" t="e">
        <f t="shared" si="62"/>
        <v>#DIV/0!</v>
      </c>
      <c r="R27" s="6" t="e">
        <f t="shared" si="62"/>
        <v>#DIV/0!</v>
      </c>
      <c r="S27" s="6">
        <f t="shared" si="62"/>
        <v>0.15611508162903961</v>
      </c>
      <c r="T27" s="6">
        <f t="shared" si="62"/>
        <v>0.15733190535465261</v>
      </c>
      <c r="U27" s="6">
        <f>U15/U6</f>
        <v>0.15290668346686492</v>
      </c>
      <c r="V27" s="6">
        <f t="shared" ref="V27:W27" si="63">V15/V6</f>
        <v>0.16376524430749803</v>
      </c>
      <c r="W27" s="6">
        <f t="shared" si="63"/>
        <v>0.17526588751202715</v>
      </c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x14ac:dyDescent="0.25">
      <c r="B28" t="s">
        <v>30</v>
      </c>
      <c r="C28" s="6">
        <f t="shared" ref="C28:F28" si="64">C14/C13</f>
        <v>0.14753426815818502</v>
      </c>
      <c r="D28" s="6">
        <f t="shared" si="64"/>
        <v>0.22111980555195285</v>
      </c>
      <c r="E28" s="6">
        <f t="shared" si="64"/>
        <v>0.22119149261651289</v>
      </c>
      <c r="F28" s="6">
        <f t="shared" si="64"/>
        <v>0.22358136582718244</v>
      </c>
      <c r="G28" s="6">
        <f>G14/G13</f>
        <v>0.19173484679934685</v>
      </c>
      <c r="H28" s="6">
        <f t="shared" ref="H28:J28" si="65">H14/H13</f>
        <v>0.20982691163250072</v>
      </c>
      <c r="I28" s="6">
        <f t="shared" si="65"/>
        <v>0.19889560661023792</v>
      </c>
      <c r="J28" s="6">
        <f t="shared" si="65"/>
        <v>0.21355467912637824</v>
      </c>
      <c r="K28" s="6">
        <f t="shared" ref="K28:L28" si="66">K14/K13</f>
        <v>0.15769516008213744</v>
      </c>
      <c r="L28" s="6">
        <f t="shared" si="66"/>
        <v>0.20716756793067526</v>
      </c>
      <c r="M28" s="6">
        <f t="shared" ref="M28:N28" si="67">M14/M13</f>
        <v>0.20964023477332638</v>
      </c>
      <c r="N28" s="6">
        <f t="shared" si="67"/>
        <v>0.22098659228556763</v>
      </c>
      <c r="O28" s="4"/>
      <c r="P28" s="6" t="e">
        <f t="shared" ref="P28:T28" si="68">P14/P13</f>
        <v>#DIV/0!</v>
      </c>
      <c r="Q28" s="6" t="e">
        <f t="shared" si="68"/>
        <v>#DIV/0!</v>
      </c>
      <c r="R28" s="6" t="e">
        <f t="shared" si="68"/>
        <v>#DIV/0!</v>
      </c>
      <c r="S28" s="6">
        <f t="shared" si="68"/>
        <v>0.13727908156014879</v>
      </c>
      <c r="T28" s="6">
        <f t="shared" si="68"/>
        <v>0.17548479818090604</v>
      </c>
      <c r="U28" s="6">
        <f>U14/U13</f>
        <v>0.20385577634087509</v>
      </c>
      <c r="V28" s="6">
        <f t="shared" ref="V28:W28" si="69">V14/V13</f>
        <v>0.20370686575785288</v>
      </c>
      <c r="W28" s="6">
        <f t="shared" si="69"/>
        <v>0.19959394082330104</v>
      </c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3:33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3:33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3:33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3:3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3:33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3:33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3:33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3:33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3:33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3:33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3:33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3:33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3:33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3:33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3:33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3:33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3:33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3:33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3:33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3:33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3:33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3:3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3:33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3:33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3:33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3:33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3:33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3:33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3:33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3:33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3:33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3:33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3:33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3:33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3:33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3:33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3:33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3:33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3:33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3:33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3:33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3:33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3:33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3:33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3:33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3:33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3:33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3:33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3:33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3:33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3:33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3:33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3:33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3:33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3:33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3:33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3:33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3:33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3:33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3:33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3:33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3:33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3:33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3:33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3:33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3:33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3:33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3:33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3:33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3:33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3:33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3:33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3:33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3:33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3:33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3:33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3:33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3:33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3:33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3:33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3:33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3:33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3:33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3:33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3:3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3:33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3:33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3:33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3:33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3:33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3:33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3:33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3:33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3:33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3:33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3:33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3:33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3:33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3:33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3:33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3:33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3:33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3:33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3:33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3:33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3:33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3:33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3:33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3:33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3:33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3:33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3:33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3:33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3:33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3:33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3:33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3:33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3:33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3:33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3:33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3:33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3:33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3:33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3:33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3:33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3:33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3:33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3:33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3:33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3:33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3:33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3:33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3:33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3:33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3:33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3:33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3:33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3:33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3:33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3:33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3:33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3:33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3:33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</sheetData>
  <hyperlinks>
    <hyperlink ref="A1" location="Main!A1" display="Main" xr:uid="{8F8011A0-B3A2-42B7-96FC-84F880CC64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2024-06-25T14:35:15Z</dcterms:created>
  <dcterms:modified xsi:type="dcterms:W3CDTF">2025-09-02T12:17:57Z</dcterms:modified>
</cp:coreProperties>
</file>