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0E3C253F-DF19-46A8-A6E9-16BACB878FBD}" xr6:coauthVersionLast="47" xr6:coauthVersionMax="47" xr10:uidLastSave="{00000000-0000-0000-0000-000000000000}"/>
  <bookViews>
    <workbookView xWindow="-120" yWindow="-120" windowWidth="38640" windowHeight="21060" xr2:uid="{7D02A375-0D75-4984-ABDD-EB285E4417F1}"/>
  </bookViews>
  <sheets>
    <sheet name="Main" sheetId="1" r:id="rId1"/>
    <sheet name="Model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2" l="1"/>
  <c r="F11" i="2"/>
  <c r="F10" i="2"/>
  <c r="F9" i="2"/>
  <c r="F27" i="2"/>
  <c r="F24" i="2"/>
  <c r="F22" i="2"/>
  <c r="F21" i="2"/>
  <c r="F19" i="2"/>
  <c r="F17" i="2"/>
  <c r="F16" i="2"/>
  <c r="F14" i="2"/>
  <c r="F31" i="2" s="1"/>
  <c r="F13" i="2"/>
  <c r="R28" i="2"/>
  <c r="Q28" i="2"/>
  <c r="P28" i="2"/>
  <c r="O28" i="2"/>
  <c r="N28" i="2"/>
  <c r="M28" i="2"/>
  <c r="L28" i="2"/>
  <c r="R24" i="2"/>
  <c r="R19" i="2"/>
  <c r="Q18" i="2"/>
  <c r="R17" i="2"/>
  <c r="R16" i="2"/>
  <c r="Q30" i="2"/>
  <c r="P30" i="2"/>
  <c r="O30" i="2"/>
  <c r="N30" i="2"/>
  <c r="M30" i="2"/>
  <c r="R30" i="2"/>
  <c r="N34" i="2"/>
  <c r="M34" i="2"/>
  <c r="L34" i="2"/>
  <c r="N33" i="2"/>
  <c r="M33" i="2"/>
  <c r="L33" i="2"/>
  <c r="R32" i="2"/>
  <c r="Q32" i="2"/>
  <c r="P32" i="2"/>
  <c r="O32" i="2"/>
  <c r="N32" i="2"/>
  <c r="M32" i="2"/>
  <c r="L32" i="2"/>
  <c r="R31" i="2"/>
  <c r="Q31" i="2"/>
  <c r="P31" i="2"/>
  <c r="O31" i="2"/>
  <c r="N31" i="2"/>
  <c r="M31" i="2"/>
  <c r="L31" i="2"/>
  <c r="R15" i="2"/>
  <c r="R18" i="2"/>
  <c r="L15" i="2"/>
  <c r="M15" i="2"/>
  <c r="N15" i="2"/>
  <c r="O15" i="2"/>
  <c r="O18" i="2" s="1"/>
  <c r="O20" i="2" s="1"/>
  <c r="O23" i="2" s="1"/>
  <c r="O25" i="2" s="1"/>
  <c r="P15" i="2"/>
  <c r="P18" i="2" s="1"/>
  <c r="P20" i="2" s="1"/>
  <c r="P23" i="2" s="1"/>
  <c r="P25" i="2" s="1"/>
  <c r="Q15" i="2"/>
  <c r="N18" i="2"/>
  <c r="N20" i="2" s="1"/>
  <c r="N23" i="2" s="1"/>
  <c r="N25" i="2" s="1"/>
  <c r="M18" i="2"/>
  <c r="M20" i="2" s="1"/>
  <c r="M23" i="2" s="1"/>
  <c r="M25" i="2" s="1"/>
  <c r="L18" i="2"/>
  <c r="L20" i="2" s="1"/>
  <c r="L23" i="2" s="1"/>
  <c r="L25" i="2" s="1"/>
  <c r="P6" i="2"/>
  <c r="O6" i="2"/>
  <c r="N6" i="2"/>
  <c r="M6" i="2"/>
  <c r="L6" i="2"/>
  <c r="Q6" i="2"/>
  <c r="D14" i="2"/>
  <c r="D32" i="2" s="1"/>
  <c r="D13" i="2"/>
  <c r="J32" i="2"/>
  <c r="J31" i="2"/>
  <c r="I32" i="2"/>
  <c r="I31" i="2"/>
  <c r="G32" i="2"/>
  <c r="E32" i="2"/>
  <c r="C32" i="2"/>
  <c r="G31" i="2"/>
  <c r="E31" i="2"/>
  <c r="C31" i="2"/>
  <c r="H32" i="2"/>
  <c r="H31" i="2"/>
  <c r="G15" i="2"/>
  <c r="G18" i="2" s="1"/>
  <c r="G20" i="2" s="1"/>
  <c r="G23" i="2" s="1"/>
  <c r="G25" i="2" s="1"/>
  <c r="G28" i="2" s="1"/>
  <c r="E15" i="2"/>
  <c r="E18" i="2" s="1"/>
  <c r="E20" i="2" s="1"/>
  <c r="E23" i="2" s="1"/>
  <c r="E25" i="2" s="1"/>
  <c r="E28" i="2" s="1"/>
  <c r="C15" i="2"/>
  <c r="C18" i="2" s="1"/>
  <c r="C20" i="2" s="1"/>
  <c r="C23" i="2" s="1"/>
  <c r="C25" i="2" s="1"/>
  <c r="C28" i="2" s="1"/>
  <c r="J15" i="2"/>
  <c r="J18" i="2" s="1"/>
  <c r="J20" i="2" s="1"/>
  <c r="I15" i="2"/>
  <c r="H15" i="2"/>
  <c r="H7" i="1"/>
  <c r="H6" i="1"/>
  <c r="H4" i="1"/>
  <c r="F32" i="2" l="1"/>
  <c r="F15" i="2"/>
  <c r="F18" i="2" s="1"/>
  <c r="F20" i="2" s="1"/>
  <c r="F23" i="2" s="1"/>
  <c r="F25" i="2" s="1"/>
  <c r="F28" i="2" s="1"/>
  <c r="Q20" i="2"/>
  <c r="Q23" i="2" s="1"/>
  <c r="Q25" i="2" s="1"/>
  <c r="R20" i="2"/>
  <c r="R23" i="2" s="1"/>
  <c r="R25" i="2" s="1"/>
  <c r="O33" i="2"/>
  <c r="O34" i="2"/>
  <c r="P33" i="2"/>
  <c r="P34" i="2"/>
  <c r="Q33" i="2"/>
  <c r="D31" i="2"/>
  <c r="D15" i="2"/>
  <c r="D18" i="2" s="1"/>
  <c r="D20" i="2" s="1"/>
  <c r="D23" i="2" s="1"/>
  <c r="D25" i="2" s="1"/>
  <c r="D28" i="2" s="1"/>
  <c r="I30" i="2"/>
  <c r="G30" i="2"/>
  <c r="C33" i="2"/>
  <c r="D33" i="2"/>
  <c r="J30" i="2"/>
  <c r="H30" i="2"/>
  <c r="E33" i="2"/>
  <c r="J23" i="2"/>
  <c r="J33" i="2"/>
  <c r="C34" i="2"/>
  <c r="D34" i="2"/>
  <c r="E34" i="2"/>
  <c r="G33" i="2"/>
  <c r="I18" i="2"/>
  <c r="I20" i="2" s="1"/>
  <c r="G34" i="2"/>
  <c r="H18" i="2"/>
  <c r="H20" i="2" s="1"/>
  <c r="F34" i="2" l="1"/>
  <c r="F33" i="2"/>
  <c r="Q34" i="2"/>
  <c r="R33" i="2"/>
  <c r="R34" i="2"/>
  <c r="H23" i="2"/>
  <c r="H33" i="2"/>
  <c r="I23" i="2"/>
  <c r="I33" i="2"/>
  <c r="J25" i="2"/>
  <c r="J28" i="2" s="1"/>
  <c r="J34" i="2"/>
  <c r="I25" i="2" l="1"/>
  <c r="I28" i="2" s="1"/>
  <c r="I34" i="2"/>
  <c r="H25" i="2"/>
  <c r="H28" i="2" s="1"/>
  <c r="H34" i="2"/>
</calcChain>
</file>

<file path=xl/sharedStrings.xml><?xml version="1.0" encoding="utf-8"?>
<sst xmlns="http://schemas.openxmlformats.org/spreadsheetml/2006/main" count="105" uniqueCount="94">
  <si>
    <t xml:space="preserve">GD </t>
  </si>
  <si>
    <t>General Dynamics</t>
  </si>
  <si>
    <t>SEC</t>
  </si>
  <si>
    <t>numbers in mio USD</t>
  </si>
  <si>
    <t>Price</t>
  </si>
  <si>
    <t>Shares</t>
  </si>
  <si>
    <t>MC</t>
  </si>
  <si>
    <t>Cash</t>
  </si>
  <si>
    <t>Debt</t>
  </si>
  <si>
    <t>EV</t>
  </si>
  <si>
    <t>Main</t>
  </si>
  <si>
    <t>Financials</t>
  </si>
  <si>
    <t>x</t>
  </si>
  <si>
    <t>Q123</t>
  </si>
  <si>
    <t>Q223</t>
  </si>
  <si>
    <t>Q323</t>
  </si>
  <si>
    <t>Q423</t>
  </si>
  <si>
    <t>Q124</t>
  </si>
  <si>
    <t>Q224</t>
  </si>
  <si>
    <t>Q324</t>
  </si>
  <si>
    <t>Q424</t>
  </si>
  <si>
    <t>FY18</t>
  </si>
  <si>
    <t>FY19</t>
  </si>
  <si>
    <t>FY20</t>
  </si>
  <si>
    <t>FY21</t>
  </si>
  <si>
    <t>FY22</t>
  </si>
  <si>
    <t>FY23</t>
  </si>
  <si>
    <t>FY24</t>
  </si>
  <si>
    <t>Products</t>
  </si>
  <si>
    <t>Services</t>
  </si>
  <si>
    <t>Revenue</t>
  </si>
  <si>
    <t>COGS Products</t>
  </si>
  <si>
    <t>COGS Services</t>
  </si>
  <si>
    <t>Gross Profit</t>
  </si>
  <si>
    <t>Operating Income</t>
  </si>
  <si>
    <t>G&amp;A</t>
  </si>
  <si>
    <t>Other Income</t>
  </si>
  <si>
    <t>Interest Expense</t>
  </si>
  <si>
    <t>EBT</t>
  </si>
  <si>
    <t>Income Tax</t>
  </si>
  <si>
    <t>Net Income</t>
  </si>
  <si>
    <t>EPS</t>
  </si>
  <si>
    <t>Revenue YoY</t>
  </si>
  <si>
    <t>Gross Margin Products</t>
  </si>
  <si>
    <t>Gross Margin Services</t>
  </si>
  <si>
    <t>Operating Margin</t>
  </si>
  <si>
    <t>Tax Rate</t>
  </si>
  <si>
    <t>Aeorspace</t>
  </si>
  <si>
    <t>Marine Systems</t>
  </si>
  <si>
    <t>Combat Systems</t>
  </si>
  <si>
    <t>Technologies</t>
  </si>
  <si>
    <t>Segments</t>
  </si>
  <si>
    <t>Businessmodel</t>
  </si>
  <si>
    <t>%of Rev</t>
  </si>
  <si>
    <t>Produts</t>
  </si>
  <si>
    <t>Customers</t>
  </si>
  <si>
    <t>Notes</t>
  </si>
  <si>
    <t>Buiness Jets, repair, support etc</t>
  </si>
  <si>
    <t>Aerospace:</t>
  </si>
  <si>
    <t xml:space="preserve">Business Jets: Gulfstream, Jet Aviation </t>
  </si>
  <si>
    <t>Gulfstream Production Line:</t>
  </si>
  <si>
    <t>G800, G700, G650ER, G650, G600, G500, G400, G280</t>
  </si>
  <si>
    <t>Jet Aviation manages 300 jets globally</t>
  </si>
  <si>
    <t>Civil</t>
  </si>
  <si>
    <t>Marine Systems:</t>
  </si>
  <si>
    <t>Submarines, Boats, Services</t>
  </si>
  <si>
    <t>US Navy</t>
  </si>
  <si>
    <t xml:space="preserve">Electric Boat is the main contractor </t>
  </si>
  <si>
    <t>Nuclear-Powerd Submarines:</t>
  </si>
  <si>
    <t>Columbia class balastic missiles submarine: 12 Boat programm by US Navy, first delivery 2027</t>
  </si>
  <si>
    <t>Virgina class submarines: 16 boat program, Delivery 2032</t>
  </si>
  <si>
    <t>Boats:</t>
  </si>
  <si>
    <t>Arleigh Burke-class (DDG-51) guided-missile destroyer: 12 Ships in the backlog, Dilvery 2032</t>
  </si>
  <si>
    <t>Expeditionary Sea Base (ESB) (2Ships): Delivery 2026, John Lewis-class replenishment oiler (7ships): Dilvery 2028</t>
  </si>
  <si>
    <t>Combat Systems:</t>
  </si>
  <si>
    <t>combat vehicles, weapons systems, munitions</t>
  </si>
  <si>
    <t>Landsystems:</t>
  </si>
  <si>
    <t>European Land Systems:</t>
  </si>
  <si>
    <t>Ordnance and Tactical Systems:</t>
  </si>
  <si>
    <t xml:space="preserve"> Piranha vehicles, a premier 8x8 armored combat vehicle</t>
  </si>
  <si>
    <t>Multi-Utility Tactical Transport, Small Multi Equipment Transport, Tracked Robot 10-ton</t>
  </si>
  <si>
    <t>ASCOD/AJAX</t>
  </si>
  <si>
    <t>M1E3 Abrams main battle tank, Stryker wheeled combat vehicle, M10 Brooker</t>
  </si>
  <si>
    <t>Communication, Mission Support etc</t>
  </si>
  <si>
    <t>Army (US and other)</t>
  </si>
  <si>
    <t>Technolgies:</t>
  </si>
  <si>
    <t>Information Technologies</t>
  </si>
  <si>
    <t>Mission Systems</t>
  </si>
  <si>
    <t>Modernaization of US Federal IT infrastructure</t>
  </si>
  <si>
    <t>72% US Governement</t>
  </si>
  <si>
    <t>Gulfstream Deliveries</t>
  </si>
  <si>
    <t>Backlog (in billion USD)</t>
  </si>
  <si>
    <t>Estimated Potential Contract</t>
  </si>
  <si>
    <t>Total Contract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</si>
</sst>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;\(#,##0.0\)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5" fillId="0" borderId="0" xfId="2" applyFont="1"/>
    <xf numFmtId="0" fontId="1" fillId="0" borderId="0" xfId="0" applyFont="1"/>
    <xf numFmtId="164" fontId="1" fillId="0" borderId="0" xfId="0" applyNumberFormat="1" applyFont="1" applyAlignment="1">
      <alignment horizontal="right"/>
    </xf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/>
    </xf>
    <xf numFmtId="0" fontId="6" fillId="0" borderId="0" xfId="0" applyFont="1"/>
    <xf numFmtId="0" fontId="4" fillId="0" borderId="0" xfId="0" applyFont="1"/>
    <xf numFmtId="164" fontId="4" fillId="0" borderId="0" xfId="0" applyNumberFormat="1" applyFont="1"/>
    <xf numFmtId="9" fontId="1" fillId="0" borderId="0" xfId="1" applyFont="1"/>
    <xf numFmtId="0" fontId="1" fillId="0" borderId="0" xfId="0" applyFont="1" applyAlignment="1">
      <alignment horizontal="right"/>
    </xf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1" fillId="0" borderId="4" xfId="0" applyFont="1" applyBorder="1"/>
    <xf numFmtId="9" fontId="1" fillId="0" borderId="5" xfId="1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9" fontId="1" fillId="0" borderId="0" xfId="1" applyFont="1" applyBorder="1"/>
    <xf numFmtId="0" fontId="1" fillId="0" borderId="8" xfId="0" applyFont="1" applyBorder="1"/>
    <xf numFmtId="0" fontId="1" fillId="0" borderId="9" xfId="0" applyFont="1" applyBorder="1"/>
    <xf numFmtId="9" fontId="1" fillId="0" borderId="10" xfId="1" applyFont="1" applyBorder="1"/>
    <xf numFmtId="0" fontId="1" fillId="0" borderId="10" xfId="0" applyFont="1" applyBorder="1"/>
    <xf numFmtId="0" fontId="1" fillId="0" borderId="11" xfId="0" applyFont="1" applyBorder="1"/>
    <xf numFmtId="0" fontId="7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31750</xdr:rowOff>
    </xdr:from>
    <xdr:to>
      <xdr:col>17</xdr:col>
      <xdr:colOff>12700</xdr:colOff>
      <xdr:row>40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B76DCC9-23EE-924D-A789-F4FA533FD2DE}"/>
            </a:ext>
          </a:extLst>
        </xdr:cNvPr>
        <xdr:cNvCxnSpPr/>
      </xdr:nvCxnSpPr>
      <xdr:spPr>
        <a:xfrm>
          <a:off x="10795000" y="215900"/>
          <a:ext cx="12700" cy="72834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4BC44-362A-45B4-B6B9-10934E8B4BD8}">
  <dimension ref="A1:I42"/>
  <sheetViews>
    <sheetView tabSelected="1" zoomScale="200" zoomScaleNormal="200" workbookViewId="0"/>
  </sheetViews>
  <sheetFormatPr defaultRowHeight="12.75" x14ac:dyDescent="0.2"/>
  <cols>
    <col min="1" max="1" width="5" style="2" customWidth="1"/>
    <col min="2" max="2" width="14.5703125" style="2" bestFit="1" customWidth="1"/>
    <col min="3" max="3" width="9.140625" style="2"/>
    <col min="4" max="4" width="38.7109375" style="2" bestFit="1" customWidth="1"/>
    <col min="5" max="5" width="17" style="2" bestFit="1" customWidth="1"/>
    <col min="6" max="16384" width="9.140625" style="2"/>
  </cols>
  <sheetData>
    <row r="1" spans="1:9" x14ac:dyDescent="0.2">
      <c r="A1" s="8" t="s">
        <v>1</v>
      </c>
    </row>
    <row r="2" spans="1:9" x14ac:dyDescent="0.2">
      <c r="A2" s="2" t="s">
        <v>3</v>
      </c>
      <c r="G2" s="2" t="s">
        <v>4</v>
      </c>
      <c r="H2" s="4">
        <v>304.8</v>
      </c>
    </row>
    <row r="3" spans="1:9" x14ac:dyDescent="0.2">
      <c r="B3" s="2" t="s">
        <v>2</v>
      </c>
      <c r="G3" s="2" t="s">
        <v>5</v>
      </c>
      <c r="H3" s="4">
        <v>274.777579</v>
      </c>
      <c r="I3" s="11" t="s">
        <v>18</v>
      </c>
    </row>
    <row r="4" spans="1:9" x14ac:dyDescent="0.2">
      <c r="B4" s="2" t="s">
        <v>0</v>
      </c>
      <c r="G4" s="2" t="s">
        <v>6</v>
      </c>
      <c r="H4" s="4">
        <f>H2*H3</f>
        <v>83752.206079199997</v>
      </c>
    </row>
    <row r="5" spans="1:9" x14ac:dyDescent="0.2">
      <c r="G5" s="2" t="s">
        <v>7</v>
      </c>
      <c r="H5" s="4">
        <v>1362</v>
      </c>
      <c r="I5" s="11" t="s">
        <v>18</v>
      </c>
    </row>
    <row r="6" spans="1:9" x14ac:dyDescent="0.2">
      <c r="A6" s="6" t="s">
        <v>12</v>
      </c>
      <c r="B6" s="8" t="s">
        <v>52</v>
      </c>
      <c r="G6" s="2" t="s">
        <v>8</v>
      </c>
      <c r="H6" s="4">
        <f>2004+7257</f>
        <v>9261</v>
      </c>
      <c r="I6" s="11" t="s">
        <v>18</v>
      </c>
    </row>
    <row r="7" spans="1:9" x14ac:dyDescent="0.2">
      <c r="B7" s="12" t="s">
        <v>51</v>
      </c>
      <c r="C7" s="13" t="s">
        <v>53</v>
      </c>
      <c r="D7" s="13" t="s">
        <v>54</v>
      </c>
      <c r="E7" s="14" t="s">
        <v>55</v>
      </c>
      <c r="G7" s="2" t="s">
        <v>9</v>
      </c>
      <c r="H7" s="4">
        <f>H4-H5+H6</f>
        <v>91651.206079199997</v>
      </c>
    </row>
    <row r="8" spans="1:9" x14ac:dyDescent="0.2">
      <c r="B8" s="15" t="s">
        <v>47</v>
      </c>
      <c r="C8" s="16">
        <v>0.24549098196392785</v>
      </c>
      <c r="D8" s="17" t="s">
        <v>57</v>
      </c>
      <c r="E8" s="18" t="s">
        <v>63</v>
      </c>
    </row>
    <row r="9" spans="1:9" x14ac:dyDescent="0.2">
      <c r="B9" s="19" t="s">
        <v>48</v>
      </c>
      <c r="C9" s="20">
        <v>0.28832665330661322</v>
      </c>
      <c r="D9" s="2" t="s">
        <v>65</v>
      </c>
      <c r="E9" s="21" t="s">
        <v>66</v>
      </c>
    </row>
    <row r="10" spans="1:9" x14ac:dyDescent="0.2">
      <c r="B10" s="19" t="s">
        <v>49</v>
      </c>
      <c r="C10" s="20">
        <v>0.19104876419505679</v>
      </c>
      <c r="D10" s="2" t="s">
        <v>75</v>
      </c>
      <c r="E10" s="21" t="s">
        <v>84</v>
      </c>
    </row>
    <row r="11" spans="1:9" x14ac:dyDescent="0.2">
      <c r="B11" s="22" t="s">
        <v>50</v>
      </c>
      <c r="C11" s="23">
        <v>0.27513360053440217</v>
      </c>
      <c r="D11" s="24" t="s">
        <v>83</v>
      </c>
      <c r="E11" s="25" t="s">
        <v>84</v>
      </c>
    </row>
    <row r="14" spans="1:9" x14ac:dyDescent="0.2">
      <c r="A14" s="6" t="s">
        <v>12</v>
      </c>
      <c r="B14" s="7" t="s">
        <v>56</v>
      </c>
    </row>
    <row r="15" spans="1:9" x14ac:dyDescent="0.2">
      <c r="B15" s="26" t="s">
        <v>58</v>
      </c>
    </row>
    <row r="16" spans="1:9" x14ac:dyDescent="0.2">
      <c r="B16" s="2" t="s">
        <v>59</v>
      </c>
    </row>
    <row r="17" spans="2:2" x14ac:dyDescent="0.2">
      <c r="B17" s="2" t="s">
        <v>60</v>
      </c>
    </row>
    <row r="18" spans="2:2" x14ac:dyDescent="0.2">
      <c r="B18" s="2" t="s">
        <v>61</v>
      </c>
    </row>
    <row r="19" spans="2:2" x14ac:dyDescent="0.2">
      <c r="B19" s="2" t="s">
        <v>62</v>
      </c>
    </row>
    <row r="20" spans="2:2" x14ac:dyDescent="0.2">
      <c r="B20" s="26" t="s">
        <v>64</v>
      </c>
    </row>
    <row r="21" spans="2:2" x14ac:dyDescent="0.2">
      <c r="B21" s="2" t="s">
        <v>68</v>
      </c>
    </row>
    <row r="22" spans="2:2" x14ac:dyDescent="0.2">
      <c r="B22" s="2" t="s">
        <v>67</v>
      </c>
    </row>
    <row r="23" spans="2:2" x14ac:dyDescent="0.2">
      <c r="B23" s="2" t="s">
        <v>69</v>
      </c>
    </row>
    <row r="24" spans="2:2" x14ac:dyDescent="0.2">
      <c r="B24" s="2" t="s">
        <v>70</v>
      </c>
    </row>
    <row r="25" spans="2:2" x14ac:dyDescent="0.2">
      <c r="B25" s="2" t="s">
        <v>71</v>
      </c>
    </row>
    <row r="26" spans="2:2" x14ac:dyDescent="0.2">
      <c r="B26" s="2" t="s">
        <v>72</v>
      </c>
    </row>
    <row r="27" spans="2:2" x14ac:dyDescent="0.2">
      <c r="B27" s="2" t="s">
        <v>73</v>
      </c>
    </row>
    <row r="28" spans="2:2" x14ac:dyDescent="0.2">
      <c r="B28" s="26" t="s">
        <v>74</v>
      </c>
    </row>
    <row r="29" spans="2:2" x14ac:dyDescent="0.2">
      <c r="B29" s="2" t="s">
        <v>76</v>
      </c>
    </row>
    <row r="30" spans="2:2" x14ac:dyDescent="0.2">
      <c r="B30" s="2" t="s">
        <v>82</v>
      </c>
    </row>
    <row r="31" spans="2:2" x14ac:dyDescent="0.2">
      <c r="B31" s="2" t="s">
        <v>77</v>
      </c>
    </row>
    <row r="32" spans="2:2" x14ac:dyDescent="0.2">
      <c r="B32" s="2" t="s">
        <v>79</v>
      </c>
    </row>
    <row r="33" spans="2:2" x14ac:dyDescent="0.2">
      <c r="B33" s="2" t="s">
        <v>81</v>
      </c>
    </row>
    <row r="34" spans="2:2" x14ac:dyDescent="0.2">
      <c r="B34" s="2" t="s">
        <v>78</v>
      </c>
    </row>
    <row r="35" spans="2:2" x14ac:dyDescent="0.2">
      <c r="B35" s="2" t="s">
        <v>80</v>
      </c>
    </row>
    <row r="36" spans="2:2" x14ac:dyDescent="0.2">
      <c r="B36" s="26" t="s">
        <v>85</v>
      </c>
    </row>
    <row r="37" spans="2:2" x14ac:dyDescent="0.2">
      <c r="B37" s="2" t="s">
        <v>86</v>
      </c>
    </row>
    <row r="38" spans="2:2" x14ac:dyDescent="0.2">
      <c r="B38" s="2" t="s">
        <v>88</v>
      </c>
    </row>
    <row r="39" spans="2:2" x14ac:dyDescent="0.2">
      <c r="B39" s="2" t="s">
        <v>87</v>
      </c>
    </row>
    <row r="42" spans="2:2" x14ac:dyDescent="0.2">
      <c r="B42" s="2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46CA-FF24-49A2-A3E8-5D6340B9659F}">
  <dimension ref="A1:AR232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4.7109375" style="2" bestFit="1" customWidth="1"/>
    <col min="2" max="2" width="26.42578125" style="2" bestFit="1" customWidth="1"/>
    <col min="3" max="16384" width="9.140625" style="2"/>
  </cols>
  <sheetData>
    <row r="1" spans="1:44" x14ac:dyDescent="0.2">
      <c r="A1" s="1" t="s">
        <v>10</v>
      </c>
    </row>
    <row r="2" spans="1:44" x14ac:dyDescent="0.2"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 t="s">
        <v>20</v>
      </c>
      <c r="K2" s="3"/>
      <c r="L2" s="3" t="s">
        <v>21</v>
      </c>
      <c r="M2" s="3" t="s">
        <v>22</v>
      </c>
      <c r="N2" s="3" t="s">
        <v>23</v>
      </c>
      <c r="O2" s="3" t="s">
        <v>24</v>
      </c>
      <c r="P2" s="3" t="s">
        <v>25</v>
      </c>
      <c r="Q2" s="3" t="s">
        <v>26</v>
      </c>
      <c r="R2" s="3" t="s">
        <v>27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x14ac:dyDescent="0.2">
      <c r="B3" s="2" t="s">
        <v>90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>
        <v>120</v>
      </c>
      <c r="Q3" s="4">
        <v>111</v>
      </c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1:44" x14ac:dyDescent="0.2">
      <c r="B4" s="2" t="s">
        <v>91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5">
        <v>91.1</v>
      </c>
      <c r="Q4" s="5">
        <v>93.6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</row>
    <row r="5" spans="1:44" x14ac:dyDescent="0.2">
      <c r="B5" s="2" t="s">
        <v>92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>
        <v>36.61</v>
      </c>
      <c r="Q5" s="4">
        <v>38.344999999999999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</row>
    <row r="6" spans="1:44" x14ac:dyDescent="0.2">
      <c r="B6" s="2" t="s">
        <v>93</v>
      </c>
      <c r="C6" s="4"/>
      <c r="D6" s="4"/>
      <c r="E6" s="4"/>
      <c r="F6" s="4"/>
      <c r="G6" s="4"/>
      <c r="H6" s="4"/>
      <c r="I6" s="4"/>
      <c r="J6" s="4"/>
      <c r="K6" s="4"/>
      <c r="L6" s="4">
        <f t="shared" ref="L6:P6" si="0">L4+L5</f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127.71</v>
      </c>
      <c r="Q6" s="4">
        <f>Q4+Q5</f>
        <v>131.94499999999999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</row>
    <row r="7" spans="1:44" x14ac:dyDescent="0.2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</row>
    <row r="8" spans="1:44" x14ac:dyDescent="0.2">
      <c r="A8" s="6" t="s">
        <v>12</v>
      </c>
      <c r="B8" s="7" t="s">
        <v>11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</row>
    <row r="9" spans="1:44" x14ac:dyDescent="0.2">
      <c r="A9" s="6"/>
      <c r="B9" s="2" t="s">
        <v>47</v>
      </c>
      <c r="C9" s="4">
        <v>1892</v>
      </c>
      <c r="D9" s="4">
        <v>1953</v>
      </c>
      <c r="E9" s="4">
        <v>2032</v>
      </c>
      <c r="F9" s="4">
        <f t="shared" ref="F9:F12" si="1">Q9-SUM(C9:E9)</f>
        <v>2744</v>
      </c>
      <c r="G9" s="4">
        <v>2084</v>
      </c>
      <c r="H9" s="4">
        <v>2940</v>
      </c>
      <c r="I9" s="4"/>
      <c r="J9" s="4"/>
      <c r="K9" s="4"/>
      <c r="L9" s="4"/>
      <c r="M9" s="4"/>
      <c r="N9" s="4"/>
      <c r="O9" s="4">
        <v>8135</v>
      </c>
      <c r="P9" s="4">
        <v>8567</v>
      </c>
      <c r="Q9" s="4">
        <v>8621</v>
      </c>
      <c r="R9" s="4">
        <v>12000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</row>
    <row r="10" spans="1:44" x14ac:dyDescent="0.2">
      <c r="A10" s="6"/>
      <c r="B10" s="2" t="s">
        <v>48</v>
      </c>
      <c r="C10" s="4">
        <v>2992</v>
      </c>
      <c r="D10" s="4">
        <v>3059</v>
      </c>
      <c r="E10" s="4">
        <v>3002</v>
      </c>
      <c r="F10" s="4">
        <f t="shared" si="1"/>
        <v>3408</v>
      </c>
      <c r="G10" s="4">
        <v>3331</v>
      </c>
      <c r="H10" s="4">
        <v>3453</v>
      </c>
      <c r="I10" s="4"/>
      <c r="J10" s="4"/>
      <c r="K10" s="4"/>
      <c r="L10" s="4"/>
      <c r="M10" s="4"/>
      <c r="N10" s="4"/>
      <c r="O10" s="4">
        <v>10526</v>
      </c>
      <c r="P10" s="4">
        <v>11040</v>
      </c>
      <c r="Q10" s="4">
        <v>12461</v>
      </c>
      <c r="R10" s="4">
        <v>12850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</row>
    <row r="11" spans="1:44" x14ac:dyDescent="0.2">
      <c r="A11" s="6"/>
      <c r="B11" s="2" t="s">
        <v>49</v>
      </c>
      <c r="C11" s="4">
        <v>1756</v>
      </c>
      <c r="D11" s="4">
        <v>1924</v>
      </c>
      <c r="E11" s="4">
        <v>2224</v>
      </c>
      <c r="F11" s="4">
        <f t="shared" si="1"/>
        <v>2364</v>
      </c>
      <c r="G11" s="4">
        <v>2102</v>
      </c>
      <c r="H11" s="4">
        <v>2288</v>
      </c>
      <c r="I11" s="4"/>
      <c r="J11" s="4"/>
      <c r="K11" s="4"/>
      <c r="L11" s="4"/>
      <c r="M11" s="4"/>
      <c r="N11" s="4"/>
      <c r="O11" s="4">
        <v>7351</v>
      </c>
      <c r="P11" s="4">
        <v>7308</v>
      </c>
      <c r="Q11" s="4">
        <v>8268</v>
      </c>
      <c r="R11" s="4">
        <v>8500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</row>
    <row r="12" spans="1:44" x14ac:dyDescent="0.2">
      <c r="A12" s="6"/>
      <c r="B12" s="2" t="s">
        <v>50</v>
      </c>
      <c r="C12" s="4">
        <v>3241</v>
      </c>
      <c r="D12" s="4">
        <v>3216</v>
      </c>
      <c r="E12" s="4">
        <v>3313</v>
      </c>
      <c r="F12" s="4">
        <f t="shared" si="1"/>
        <v>3152</v>
      </c>
      <c r="G12" s="4">
        <v>3214</v>
      </c>
      <c r="H12" s="4">
        <v>3295</v>
      </c>
      <c r="I12" s="4"/>
      <c r="J12" s="4"/>
      <c r="K12" s="4"/>
      <c r="L12" s="4"/>
      <c r="M12" s="4"/>
      <c r="N12" s="4"/>
      <c r="O12" s="4">
        <v>12457</v>
      </c>
      <c r="P12" s="4">
        <v>12492</v>
      </c>
      <c r="Q12" s="4">
        <v>12922</v>
      </c>
      <c r="R12" s="4">
        <v>13000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</row>
    <row r="13" spans="1:44" x14ac:dyDescent="0.2">
      <c r="A13" s="6"/>
      <c r="B13" s="2" t="s">
        <v>28</v>
      </c>
      <c r="C13" s="4">
        <v>5513</v>
      </c>
      <c r="D13" s="4">
        <f>11310-C13</f>
        <v>5797</v>
      </c>
      <c r="E13" s="4">
        <v>6163</v>
      </c>
      <c r="F13" s="4">
        <f>Q13-SUM(C13:E13)</f>
        <v>7122</v>
      </c>
      <c r="G13" s="4">
        <v>6134</v>
      </c>
      <c r="H13" s="4">
        <v>7160</v>
      </c>
      <c r="I13" s="4"/>
      <c r="J13" s="4"/>
      <c r="K13" s="4"/>
      <c r="L13" s="4"/>
      <c r="M13" s="4"/>
      <c r="N13" s="4"/>
      <c r="O13" s="4">
        <v>22428</v>
      </c>
      <c r="P13" s="4">
        <v>23022</v>
      </c>
      <c r="Q13" s="4">
        <v>24595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</row>
    <row r="14" spans="1:44" x14ac:dyDescent="0.2">
      <c r="B14" s="2" t="s">
        <v>29</v>
      </c>
      <c r="C14" s="4">
        <v>4368</v>
      </c>
      <c r="D14" s="4">
        <f>8723-C14</f>
        <v>4355</v>
      </c>
      <c r="E14" s="4">
        <v>4408</v>
      </c>
      <c r="F14" s="4">
        <f>Q14-SUM(C14:E14)</f>
        <v>4546</v>
      </c>
      <c r="G14" s="4">
        <v>4597</v>
      </c>
      <c r="H14" s="4">
        <v>4816</v>
      </c>
      <c r="I14" s="4"/>
      <c r="J14" s="4"/>
      <c r="K14" s="4"/>
      <c r="L14" s="4"/>
      <c r="M14" s="4"/>
      <c r="N14" s="4"/>
      <c r="O14" s="4">
        <v>16041</v>
      </c>
      <c r="P14" s="4">
        <v>16385</v>
      </c>
      <c r="Q14" s="4">
        <v>17677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</row>
    <row r="15" spans="1:44" x14ac:dyDescent="0.2">
      <c r="B15" s="8" t="s">
        <v>30</v>
      </c>
      <c r="C15" s="9">
        <f t="shared" ref="C15:G15" si="2">C13+C14</f>
        <v>9881</v>
      </c>
      <c r="D15" s="9">
        <f t="shared" si="2"/>
        <v>10152</v>
      </c>
      <c r="E15" s="9">
        <f>E13+E14</f>
        <v>10571</v>
      </c>
      <c r="F15" s="9">
        <f t="shared" si="2"/>
        <v>11668</v>
      </c>
      <c r="G15" s="9">
        <f t="shared" si="2"/>
        <v>10731</v>
      </c>
      <c r="H15" s="9">
        <f>H13+H14</f>
        <v>11976</v>
      </c>
      <c r="I15" s="9">
        <f t="shared" ref="I15:J15" si="3">I13+I14</f>
        <v>0</v>
      </c>
      <c r="J15" s="9">
        <f t="shared" si="3"/>
        <v>0</v>
      </c>
      <c r="K15" s="4"/>
      <c r="L15" s="9">
        <f t="shared" ref="L15" si="4">L13+L14</f>
        <v>0</v>
      </c>
      <c r="M15" s="9">
        <f t="shared" ref="M15" si="5">M13+M14</f>
        <v>0</v>
      </c>
      <c r="N15" s="9">
        <f t="shared" ref="N15" si="6">N13+N14</f>
        <v>0</v>
      </c>
      <c r="O15" s="9">
        <f t="shared" ref="O15" si="7">O13+O14</f>
        <v>38469</v>
      </c>
      <c r="P15" s="9">
        <f>P13+P14</f>
        <v>39407</v>
      </c>
      <c r="Q15" s="9">
        <f t="shared" ref="Q15" si="8">Q13+Q14</f>
        <v>42272</v>
      </c>
      <c r="R15" s="9">
        <f>SUM(R9:R12)</f>
        <v>46350</v>
      </c>
      <c r="S15" s="9"/>
      <c r="T15" s="9"/>
      <c r="U15" s="9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</row>
    <row r="16" spans="1:44" x14ac:dyDescent="0.2">
      <c r="B16" s="2" t="s">
        <v>31</v>
      </c>
      <c r="C16" s="4">
        <v>4641</v>
      </c>
      <c r="D16" s="4">
        <v>4915</v>
      </c>
      <c r="E16" s="4">
        <v>5148</v>
      </c>
      <c r="F16" s="4">
        <f t="shared" ref="F16:F17" si="9">Q16-SUM(C16:E16)</f>
        <v>5887</v>
      </c>
      <c r="G16" s="4">
        <v>5189</v>
      </c>
      <c r="H16" s="4">
        <v>6127</v>
      </c>
      <c r="I16" s="4"/>
      <c r="J16" s="4"/>
      <c r="K16" s="4"/>
      <c r="L16" s="4"/>
      <c r="M16" s="4"/>
      <c r="N16" s="4"/>
      <c r="O16" s="4">
        <v>18524</v>
      </c>
      <c r="P16" s="4">
        <v>18981</v>
      </c>
      <c r="Q16" s="4">
        <v>20591</v>
      </c>
      <c r="R16" s="4">
        <f>Q16*(1+10%)</f>
        <v>22650.100000000002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</row>
    <row r="17" spans="2:44" x14ac:dyDescent="0.2">
      <c r="B17" s="2" t="s">
        <v>32</v>
      </c>
      <c r="C17" s="4">
        <v>3716</v>
      </c>
      <c r="D17" s="4">
        <v>3670</v>
      </c>
      <c r="E17" s="4">
        <v>3765</v>
      </c>
      <c r="F17" s="4">
        <f t="shared" si="9"/>
        <v>3858</v>
      </c>
      <c r="G17" s="4">
        <v>3879</v>
      </c>
      <c r="H17" s="4">
        <v>4049</v>
      </c>
      <c r="I17" s="4"/>
      <c r="J17" s="4"/>
      <c r="K17" s="4"/>
      <c r="L17" s="4"/>
      <c r="M17" s="4"/>
      <c r="N17" s="4"/>
      <c r="O17" s="4">
        <v>13537</v>
      </c>
      <c r="P17" s="4">
        <v>13804</v>
      </c>
      <c r="Q17" s="4">
        <v>15009</v>
      </c>
      <c r="R17" s="4">
        <f>Q17*(1+10%)</f>
        <v>16509.900000000001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</row>
    <row r="18" spans="2:44" x14ac:dyDescent="0.2">
      <c r="B18" s="2" t="s">
        <v>33</v>
      </c>
      <c r="C18" s="4">
        <f t="shared" ref="C18:G18" si="10">C15-SUM(C16:C17)</f>
        <v>1524</v>
      </c>
      <c r="D18" s="4">
        <f t="shared" si="10"/>
        <v>1567</v>
      </c>
      <c r="E18" s="4">
        <f t="shared" si="10"/>
        <v>1658</v>
      </c>
      <c r="F18" s="4">
        <f t="shared" si="10"/>
        <v>1923</v>
      </c>
      <c r="G18" s="4">
        <f t="shared" si="10"/>
        <v>1663</v>
      </c>
      <c r="H18" s="4">
        <f>H15-SUM(H16:H17)</f>
        <v>1800</v>
      </c>
      <c r="I18" s="4">
        <f t="shared" ref="I18" si="11">I15-SUM(I16:I17)</f>
        <v>0</v>
      </c>
      <c r="J18" s="4">
        <f t="shared" ref="J18" si="12">J15-SUM(J16:J17)</f>
        <v>0</v>
      </c>
      <c r="K18" s="4"/>
      <c r="L18" s="4">
        <f t="shared" ref="L18" si="13">L15-SUM(L16:L17)</f>
        <v>0</v>
      </c>
      <c r="M18" s="4">
        <f t="shared" ref="M18" si="14">M15-SUM(M16:M17)</f>
        <v>0</v>
      </c>
      <c r="N18" s="4">
        <f>N15-SUM(N16:N17)</f>
        <v>0</v>
      </c>
      <c r="O18" s="4">
        <f t="shared" ref="O18" si="15">O15-SUM(O16:O17)</f>
        <v>6408</v>
      </c>
      <c r="P18" s="4">
        <f t="shared" ref="P18" si="16">P15-SUM(P16:P17)</f>
        <v>6622</v>
      </c>
      <c r="Q18" s="4">
        <f>Q15-SUM(Q16:Q17)</f>
        <v>6672</v>
      </c>
      <c r="R18" s="4">
        <f>R15-SUM(R16:R17)</f>
        <v>7190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</row>
    <row r="19" spans="2:44" x14ac:dyDescent="0.2">
      <c r="B19" s="2" t="s">
        <v>35</v>
      </c>
      <c r="C19" s="4">
        <v>586</v>
      </c>
      <c r="D19" s="4">
        <v>605</v>
      </c>
      <c r="E19" s="4">
        <v>601</v>
      </c>
      <c r="F19" s="4">
        <f>Q19-SUM(C19:E19)</f>
        <v>635</v>
      </c>
      <c r="G19" s="4">
        <v>627</v>
      </c>
      <c r="H19" s="4">
        <v>644</v>
      </c>
      <c r="I19" s="4"/>
      <c r="J19" s="4"/>
      <c r="K19" s="4"/>
      <c r="L19" s="4"/>
      <c r="M19" s="4"/>
      <c r="N19" s="4"/>
      <c r="O19" s="4">
        <v>2245</v>
      </c>
      <c r="P19" s="4">
        <v>2411</v>
      </c>
      <c r="Q19" s="4">
        <v>2427</v>
      </c>
      <c r="R19" s="4">
        <f>Q19*(1+5%)</f>
        <v>2548.35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</row>
    <row r="20" spans="2:44" x14ac:dyDescent="0.2">
      <c r="B20" s="2" t="s">
        <v>34</v>
      </c>
      <c r="C20" s="4">
        <f t="shared" ref="C20:G20" si="17">C18-C19</f>
        <v>938</v>
      </c>
      <c r="D20" s="4">
        <f t="shared" si="17"/>
        <v>962</v>
      </c>
      <c r="E20" s="4">
        <f t="shared" si="17"/>
        <v>1057</v>
      </c>
      <c r="F20" s="4">
        <f t="shared" si="17"/>
        <v>1288</v>
      </c>
      <c r="G20" s="4">
        <f t="shared" si="17"/>
        <v>1036</v>
      </c>
      <c r="H20" s="4">
        <f>H18-H19</f>
        <v>1156</v>
      </c>
      <c r="I20" s="4">
        <f t="shared" ref="I20" si="18">I18-I19</f>
        <v>0</v>
      </c>
      <c r="J20" s="4">
        <f t="shared" ref="J20" si="19">J18-J19</f>
        <v>0</v>
      </c>
      <c r="K20" s="4"/>
      <c r="L20" s="4">
        <f t="shared" ref="L20" si="20">L18-L19</f>
        <v>0</v>
      </c>
      <c r="M20" s="4">
        <f t="shared" ref="M20" si="21">M18-M19</f>
        <v>0</v>
      </c>
      <c r="N20" s="4">
        <f>N18-N19</f>
        <v>0</v>
      </c>
      <c r="O20" s="4">
        <f t="shared" ref="O20:R20" si="22">O18-O19</f>
        <v>4163</v>
      </c>
      <c r="P20" s="4">
        <f t="shared" si="22"/>
        <v>4211</v>
      </c>
      <c r="Q20" s="4">
        <f t="shared" si="22"/>
        <v>4245</v>
      </c>
      <c r="R20" s="4">
        <f t="shared" si="22"/>
        <v>4641.6499999999996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</row>
    <row r="21" spans="2:44" x14ac:dyDescent="0.2">
      <c r="B21" s="2" t="s">
        <v>36</v>
      </c>
      <c r="C21" s="4">
        <v>33</v>
      </c>
      <c r="D21" s="4">
        <v>13</v>
      </c>
      <c r="E21" s="4">
        <v>19</v>
      </c>
      <c r="F21" s="4">
        <f t="shared" ref="F21:F22" si="23">Q21-SUM(C21:E21)</f>
        <v>17</v>
      </c>
      <c r="G21" s="4">
        <v>14</v>
      </c>
      <c r="H21" s="4">
        <v>18</v>
      </c>
      <c r="I21" s="4"/>
      <c r="J21" s="4"/>
      <c r="K21" s="4"/>
      <c r="L21" s="4"/>
      <c r="M21" s="4"/>
      <c r="N21" s="4"/>
      <c r="O21" s="4">
        <v>134</v>
      </c>
      <c r="P21" s="4">
        <v>189</v>
      </c>
      <c r="Q21" s="4">
        <v>82</v>
      </c>
      <c r="R21" s="4">
        <v>82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</row>
    <row r="22" spans="2:44" x14ac:dyDescent="0.2">
      <c r="B22" s="2" t="s">
        <v>37</v>
      </c>
      <c r="C22" s="4">
        <v>91</v>
      </c>
      <c r="D22" s="4">
        <v>89</v>
      </c>
      <c r="E22" s="4">
        <v>85</v>
      </c>
      <c r="F22" s="4">
        <f t="shared" si="23"/>
        <v>78</v>
      </c>
      <c r="G22" s="4">
        <v>82</v>
      </c>
      <c r="H22" s="4">
        <v>84</v>
      </c>
      <c r="I22" s="4"/>
      <c r="J22" s="4"/>
      <c r="K22" s="4"/>
      <c r="L22" s="4"/>
      <c r="M22" s="4"/>
      <c r="N22" s="4"/>
      <c r="O22" s="4">
        <v>424</v>
      </c>
      <c r="P22" s="4">
        <v>364</v>
      </c>
      <c r="Q22" s="4">
        <v>343</v>
      </c>
      <c r="R22" s="4">
        <v>343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</row>
    <row r="23" spans="2:44" x14ac:dyDescent="0.2">
      <c r="B23" s="2" t="s">
        <v>38</v>
      </c>
      <c r="C23" s="4">
        <f t="shared" ref="C23:G23" si="24">C20+C21-C22</f>
        <v>880</v>
      </c>
      <c r="D23" s="4">
        <f t="shared" si="24"/>
        <v>886</v>
      </c>
      <c r="E23" s="4">
        <f t="shared" si="24"/>
        <v>991</v>
      </c>
      <c r="F23" s="4">
        <f t="shared" si="24"/>
        <v>1227</v>
      </c>
      <c r="G23" s="4">
        <f t="shared" si="24"/>
        <v>968</v>
      </c>
      <c r="H23" s="4">
        <f>H20+H21-H22</f>
        <v>1090</v>
      </c>
      <c r="I23" s="4">
        <f t="shared" ref="I23:J23" si="25">I20+I21-I22</f>
        <v>0</v>
      </c>
      <c r="J23" s="4">
        <f t="shared" si="25"/>
        <v>0</v>
      </c>
      <c r="K23" s="4"/>
      <c r="L23" s="4">
        <f t="shared" ref="L23:R23" si="26">L20+L21-L22</f>
        <v>0</v>
      </c>
      <c r="M23" s="4">
        <f t="shared" si="26"/>
        <v>0</v>
      </c>
      <c r="N23" s="4">
        <f t="shared" si="26"/>
        <v>0</v>
      </c>
      <c r="O23" s="4">
        <f t="shared" si="26"/>
        <v>3873</v>
      </c>
      <c r="P23" s="4">
        <f t="shared" si="26"/>
        <v>4036</v>
      </c>
      <c r="Q23" s="4">
        <f t="shared" si="26"/>
        <v>3984</v>
      </c>
      <c r="R23" s="4">
        <f t="shared" si="26"/>
        <v>4380.6499999999996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</row>
    <row r="24" spans="2:44" x14ac:dyDescent="0.2">
      <c r="B24" s="2" t="s">
        <v>39</v>
      </c>
      <c r="C24" s="4">
        <v>150</v>
      </c>
      <c r="D24" s="4">
        <v>142</v>
      </c>
      <c r="E24" s="4">
        <v>155</v>
      </c>
      <c r="F24" s="4">
        <f>Q24-SUM(C24:E24)</f>
        <v>222</v>
      </c>
      <c r="G24" s="4">
        <v>169</v>
      </c>
      <c r="H24" s="4">
        <v>185</v>
      </c>
      <c r="I24" s="4"/>
      <c r="J24" s="4"/>
      <c r="K24" s="4"/>
      <c r="L24" s="4"/>
      <c r="M24" s="4"/>
      <c r="N24" s="4"/>
      <c r="O24" s="4">
        <v>616</v>
      </c>
      <c r="P24" s="4">
        <v>646</v>
      </c>
      <c r="Q24" s="4">
        <v>669</v>
      </c>
      <c r="R24" s="4">
        <f>R23*17%</f>
        <v>744.71050000000002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</row>
    <row r="25" spans="2:44" x14ac:dyDescent="0.2">
      <c r="B25" s="2" t="s">
        <v>40</v>
      </c>
      <c r="C25" s="4">
        <f t="shared" ref="C25:G25" si="27">C23-C24</f>
        <v>730</v>
      </c>
      <c r="D25" s="4">
        <f t="shared" si="27"/>
        <v>744</v>
      </c>
      <c r="E25" s="4">
        <f t="shared" si="27"/>
        <v>836</v>
      </c>
      <c r="F25" s="4">
        <f t="shared" si="27"/>
        <v>1005</v>
      </c>
      <c r="G25" s="4">
        <f t="shared" si="27"/>
        <v>799</v>
      </c>
      <c r="H25" s="4">
        <f>H23-H24</f>
        <v>905</v>
      </c>
      <c r="I25" s="4">
        <f t="shared" ref="I25:J25" si="28">I23-I24</f>
        <v>0</v>
      </c>
      <c r="J25" s="4">
        <f t="shared" si="28"/>
        <v>0</v>
      </c>
      <c r="K25" s="4"/>
      <c r="L25" s="4">
        <f t="shared" ref="L25:R25" si="29">L23-L24</f>
        <v>0</v>
      </c>
      <c r="M25" s="4">
        <f t="shared" si="29"/>
        <v>0</v>
      </c>
      <c r="N25" s="4">
        <f t="shared" si="29"/>
        <v>0</v>
      </c>
      <c r="O25" s="4">
        <f t="shared" si="29"/>
        <v>3257</v>
      </c>
      <c r="P25" s="4">
        <f t="shared" si="29"/>
        <v>3390</v>
      </c>
      <c r="Q25" s="4">
        <f t="shared" si="29"/>
        <v>3315</v>
      </c>
      <c r="R25" s="4">
        <f t="shared" si="29"/>
        <v>3635.9394999999995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</row>
    <row r="26" spans="2:44" x14ac:dyDescent="0.2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</row>
    <row r="27" spans="2:44" x14ac:dyDescent="0.2">
      <c r="B27" s="2" t="s">
        <v>41</v>
      </c>
      <c r="C27" s="4">
        <v>2.66</v>
      </c>
      <c r="D27" s="4">
        <v>2.72</v>
      </c>
      <c r="E27" s="4">
        <v>3.07</v>
      </c>
      <c r="F27" s="4">
        <f>Q27-SUM(C27:E27)</f>
        <v>3.6899999999999995</v>
      </c>
      <c r="G27" s="4">
        <v>2.92</v>
      </c>
      <c r="H27" s="4">
        <v>3.3</v>
      </c>
      <c r="I27" s="4"/>
      <c r="J27" s="4"/>
      <c r="K27" s="4"/>
      <c r="L27" s="4"/>
      <c r="M27" s="4"/>
      <c r="N27" s="4"/>
      <c r="O27" s="4">
        <v>11.61</v>
      </c>
      <c r="P27" s="4">
        <v>12.31</v>
      </c>
      <c r="Q27" s="4">
        <v>12.14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</row>
    <row r="28" spans="2:44" x14ac:dyDescent="0.2">
      <c r="B28" s="2" t="s">
        <v>5</v>
      </c>
      <c r="C28" s="4">
        <f t="shared" ref="C28:G28" si="30">C25/C27</f>
        <v>274.43609022556387</v>
      </c>
      <c r="D28" s="4">
        <f t="shared" si="30"/>
        <v>273.52941176470586</v>
      </c>
      <c r="E28" s="4">
        <f t="shared" si="30"/>
        <v>272.31270358306188</v>
      </c>
      <c r="F28" s="4">
        <f t="shared" si="30"/>
        <v>272.35772357723579</v>
      </c>
      <c r="G28" s="4">
        <f t="shared" si="30"/>
        <v>273.63013698630135</v>
      </c>
      <c r="H28" s="4">
        <f>H25/H27</f>
        <v>274.24242424242425</v>
      </c>
      <c r="I28" s="4" t="e">
        <f t="shared" ref="I28:R28" si="31">I25/I27</f>
        <v>#DIV/0!</v>
      </c>
      <c r="J28" s="4" t="e">
        <f t="shared" si="31"/>
        <v>#DIV/0!</v>
      </c>
      <c r="K28" s="4"/>
      <c r="L28" s="4" t="e">
        <f t="shared" si="31"/>
        <v>#DIV/0!</v>
      </c>
      <c r="M28" s="4" t="e">
        <f t="shared" si="31"/>
        <v>#DIV/0!</v>
      </c>
      <c r="N28" s="4" t="e">
        <f t="shared" si="31"/>
        <v>#DIV/0!</v>
      </c>
      <c r="O28" s="4">
        <f t="shared" si="31"/>
        <v>280.53402239448752</v>
      </c>
      <c r="P28" s="4">
        <f t="shared" si="31"/>
        <v>275.3858651502843</v>
      </c>
      <c r="Q28" s="4">
        <f t="shared" si="31"/>
        <v>273.06425041186162</v>
      </c>
      <c r="R28" s="4" t="e">
        <f t="shared" si="31"/>
        <v>#DIV/0!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</row>
    <row r="29" spans="2:44" x14ac:dyDescent="0.2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</row>
    <row r="30" spans="2:44" x14ac:dyDescent="0.2">
      <c r="B30" s="2" t="s">
        <v>42</v>
      </c>
      <c r="C30" s="10"/>
      <c r="D30" s="10"/>
      <c r="E30" s="10"/>
      <c r="F30" s="10"/>
      <c r="G30" s="10">
        <f t="shared" ref="G30" si="32">G15/C15-1</f>
        <v>8.6023681813581554E-2</v>
      </c>
      <c r="H30" s="10">
        <f>H15/D15-1</f>
        <v>0.17966903073286056</v>
      </c>
      <c r="I30" s="10">
        <f t="shared" ref="I30:J30" si="33">I15/E15-1</f>
        <v>-1</v>
      </c>
      <c r="J30" s="10">
        <f t="shared" si="33"/>
        <v>-1</v>
      </c>
      <c r="K30" s="10"/>
      <c r="L30" s="10"/>
      <c r="M30" s="10" t="e">
        <f t="shared" ref="M30:Q30" si="34">M15/L15-1</f>
        <v>#DIV/0!</v>
      </c>
      <c r="N30" s="10" t="e">
        <f t="shared" si="34"/>
        <v>#DIV/0!</v>
      </c>
      <c r="O30" s="10" t="e">
        <f t="shared" si="34"/>
        <v>#DIV/0!</v>
      </c>
      <c r="P30" s="10">
        <f t="shared" si="34"/>
        <v>2.438326964568871E-2</v>
      </c>
      <c r="Q30" s="10">
        <f t="shared" si="34"/>
        <v>7.2702819296064147E-2</v>
      </c>
      <c r="R30" s="10">
        <f>R15/Q15-1</f>
        <v>9.6470476911430625E-2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</row>
    <row r="31" spans="2:44" x14ac:dyDescent="0.2">
      <c r="B31" s="2" t="s">
        <v>43</v>
      </c>
      <c r="C31" s="10">
        <f t="shared" ref="C31:G31" si="35">(C13-C16)/C14</f>
        <v>0.19963369963369965</v>
      </c>
      <c r="D31" s="10">
        <f t="shared" si="35"/>
        <v>0.20252583237657865</v>
      </c>
      <c r="E31" s="10">
        <f>(E13-E16)/E14</f>
        <v>0.23026315789473684</v>
      </c>
      <c r="F31" s="10">
        <f t="shared" si="35"/>
        <v>0.27166739991201055</v>
      </c>
      <c r="G31" s="10">
        <f t="shared" si="35"/>
        <v>0.20556884924951055</v>
      </c>
      <c r="H31" s="10">
        <f>(H13-H16)/H14</f>
        <v>0.21449335548172757</v>
      </c>
      <c r="I31" s="10" t="e">
        <f>(I13-I16)/I14</f>
        <v>#DIV/0!</v>
      </c>
      <c r="J31" s="10" t="e">
        <f>(J13-J16)/J14</f>
        <v>#DIV/0!</v>
      </c>
      <c r="K31" s="10"/>
      <c r="L31" s="10" t="e">
        <f t="shared" ref="L31:R31" si="36">(L13-L16)/L14</f>
        <v>#DIV/0!</v>
      </c>
      <c r="M31" s="10" t="e">
        <f t="shared" si="36"/>
        <v>#DIV/0!</v>
      </c>
      <c r="N31" s="10" t="e">
        <f t="shared" si="36"/>
        <v>#DIV/0!</v>
      </c>
      <c r="O31" s="10">
        <f t="shared" si="36"/>
        <v>0.24337634810797332</v>
      </c>
      <c r="P31" s="10">
        <f t="shared" si="36"/>
        <v>0.24662801342691487</v>
      </c>
      <c r="Q31" s="10">
        <f t="shared" si="36"/>
        <v>0.22650902302426881</v>
      </c>
      <c r="R31" s="10" t="e">
        <f t="shared" si="36"/>
        <v>#DIV/0!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</row>
    <row r="32" spans="2:44" x14ac:dyDescent="0.2">
      <c r="B32" s="2" t="s">
        <v>44</v>
      </c>
      <c r="C32" s="10">
        <f t="shared" ref="C32:G32" si="37">(C14-C17)/C14</f>
        <v>0.14926739926739926</v>
      </c>
      <c r="D32" s="10">
        <f t="shared" si="37"/>
        <v>0.15729047072330654</v>
      </c>
      <c r="E32" s="10">
        <f t="shared" si="37"/>
        <v>0.14587114337568058</v>
      </c>
      <c r="F32" s="10">
        <f t="shared" si="37"/>
        <v>0.15134183897932249</v>
      </c>
      <c r="G32" s="10">
        <f t="shared" si="37"/>
        <v>0.15618881879486621</v>
      </c>
      <c r="H32" s="10">
        <f>(H14-H17)/H14</f>
        <v>0.1592607973421927</v>
      </c>
      <c r="I32" s="10" t="e">
        <f>(I14-I17)/I14</f>
        <v>#DIV/0!</v>
      </c>
      <c r="J32" s="10" t="e">
        <f>(J14-J17)/J14</f>
        <v>#DIV/0!</v>
      </c>
      <c r="K32" s="10"/>
      <c r="L32" s="10" t="e">
        <f t="shared" ref="L32:R32" si="38">(L14-L17)/L14</f>
        <v>#DIV/0!</v>
      </c>
      <c r="M32" s="10" t="e">
        <f t="shared" si="38"/>
        <v>#DIV/0!</v>
      </c>
      <c r="N32" s="10" t="e">
        <f t="shared" si="38"/>
        <v>#DIV/0!</v>
      </c>
      <c r="O32" s="10">
        <f t="shared" si="38"/>
        <v>0.15609999376597469</v>
      </c>
      <c r="P32" s="10">
        <f t="shared" si="38"/>
        <v>0.15752212389380532</v>
      </c>
      <c r="Q32" s="10">
        <f t="shared" si="38"/>
        <v>0.1509305877694179</v>
      </c>
      <c r="R32" s="10" t="e">
        <f t="shared" si="38"/>
        <v>#DIV/0!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</row>
    <row r="33" spans="2:44" x14ac:dyDescent="0.2">
      <c r="B33" s="2" t="s">
        <v>45</v>
      </c>
      <c r="C33" s="10">
        <f>C20/C15</f>
        <v>9.4929662989575947E-2</v>
      </c>
      <c r="D33" s="10">
        <f t="shared" ref="D33:J33" si="39">D20/D15</f>
        <v>9.4759653270291566E-2</v>
      </c>
      <c r="E33" s="10">
        <f t="shared" si="39"/>
        <v>9.9990540157033389E-2</v>
      </c>
      <c r="F33" s="10">
        <f t="shared" si="39"/>
        <v>0.11038738429893727</v>
      </c>
      <c r="G33" s="10">
        <f t="shared" si="39"/>
        <v>9.6542726679712976E-2</v>
      </c>
      <c r="H33" s="10">
        <f t="shared" si="39"/>
        <v>9.6526386105544426E-2</v>
      </c>
      <c r="I33" s="10" t="e">
        <f t="shared" si="39"/>
        <v>#DIV/0!</v>
      </c>
      <c r="J33" s="10" t="e">
        <f t="shared" si="39"/>
        <v>#DIV/0!</v>
      </c>
      <c r="K33" s="10"/>
      <c r="L33" s="10" t="e">
        <f t="shared" ref="L33:R33" si="40">L20/L15</f>
        <v>#DIV/0!</v>
      </c>
      <c r="M33" s="10" t="e">
        <f t="shared" si="40"/>
        <v>#DIV/0!</v>
      </c>
      <c r="N33" s="10" t="e">
        <f t="shared" si="40"/>
        <v>#DIV/0!</v>
      </c>
      <c r="O33" s="10">
        <f t="shared" si="40"/>
        <v>0.10821700590085523</v>
      </c>
      <c r="P33" s="10">
        <f t="shared" si="40"/>
        <v>0.10685918745400563</v>
      </c>
      <c r="Q33" s="10">
        <f t="shared" si="40"/>
        <v>0.10042108251324754</v>
      </c>
      <c r="R33" s="10">
        <f t="shared" si="40"/>
        <v>0.10014347357065803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</row>
    <row r="34" spans="2:44" x14ac:dyDescent="0.2">
      <c r="B34" s="2" t="s">
        <v>46</v>
      </c>
      <c r="C34" s="10">
        <f t="shared" ref="C34:G34" si="41">C24/C23</f>
        <v>0.17045454545454544</v>
      </c>
      <c r="D34" s="10">
        <f t="shared" si="41"/>
        <v>0.16027088036117382</v>
      </c>
      <c r="E34" s="10">
        <f t="shared" si="41"/>
        <v>0.15640766902119072</v>
      </c>
      <c r="F34" s="10">
        <f t="shared" si="41"/>
        <v>0.18092909535452323</v>
      </c>
      <c r="G34" s="10">
        <f t="shared" si="41"/>
        <v>0.17458677685950413</v>
      </c>
      <c r="H34" s="10">
        <f>H24/H23</f>
        <v>0.16972477064220184</v>
      </c>
      <c r="I34" s="10" t="e">
        <f t="shared" ref="I34:J34" si="42">I24/I23</f>
        <v>#DIV/0!</v>
      </c>
      <c r="J34" s="10" t="e">
        <f t="shared" si="42"/>
        <v>#DIV/0!</v>
      </c>
      <c r="K34" s="10"/>
      <c r="L34" s="10" t="e">
        <f t="shared" ref="L34:R34" si="43">L24/L23</f>
        <v>#DIV/0!</v>
      </c>
      <c r="M34" s="10" t="e">
        <f t="shared" si="43"/>
        <v>#DIV/0!</v>
      </c>
      <c r="N34" s="10" t="e">
        <f t="shared" si="43"/>
        <v>#DIV/0!</v>
      </c>
      <c r="O34" s="10">
        <f t="shared" si="43"/>
        <v>0.15904983217144333</v>
      </c>
      <c r="P34" s="10">
        <f t="shared" si="43"/>
        <v>0.16005946481665015</v>
      </c>
      <c r="Q34" s="10">
        <f t="shared" si="43"/>
        <v>0.16792168674698796</v>
      </c>
      <c r="R34" s="10">
        <f t="shared" si="43"/>
        <v>0.17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</row>
    <row r="35" spans="2:44" x14ac:dyDescent="0.2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</row>
    <row r="36" spans="2:44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</row>
    <row r="37" spans="2:44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</row>
    <row r="38" spans="2:44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</row>
    <row r="39" spans="2:44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</row>
    <row r="40" spans="2:44" x14ac:dyDescent="0.2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</row>
    <row r="41" spans="2:44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</row>
    <row r="42" spans="2:44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</row>
    <row r="43" spans="2:44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</row>
    <row r="44" spans="2:44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</row>
    <row r="45" spans="2:44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</row>
    <row r="46" spans="2:44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</row>
    <row r="47" spans="2:44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</row>
    <row r="48" spans="2:44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</row>
    <row r="49" spans="3:44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</row>
    <row r="50" spans="3:44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</row>
    <row r="51" spans="3:44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</row>
    <row r="52" spans="3:44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</row>
    <row r="53" spans="3:44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</row>
    <row r="54" spans="3:44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</row>
    <row r="55" spans="3:44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</row>
    <row r="56" spans="3:44" x14ac:dyDescent="0.2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</row>
    <row r="57" spans="3:44" x14ac:dyDescent="0.2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</row>
    <row r="58" spans="3:44" x14ac:dyDescent="0.2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</row>
    <row r="59" spans="3:44" x14ac:dyDescent="0.2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</row>
    <row r="60" spans="3:44" x14ac:dyDescent="0.2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</row>
    <row r="61" spans="3:44" x14ac:dyDescent="0.2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</row>
    <row r="62" spans="3:44" x14ac:dyDescent="0.2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</row>
    <row r="63" spans="3:44" x14ac:dyDescent="0.2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</row>
    <row r="64" spans="3:44" x14ac:dyDescent="0.2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</row>
    <row r="65" spans="3:44" x14ac:dyDescent="0.2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</row>
    <row r="66" spans="3:44" x14ac:dyDescent="0.2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</row>
    <row r="67" spans="3:44" x14ac:dyDescent="0.2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</row>
    <row r="68" spans="3:44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</row>
    <row r="69" spans="3:44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</row>
    <row r="70" spans="3:44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</row>
    <row r="71" spans="3:44" x14ac:dyDescent="0.2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</row>
    <row r="72" spans="3:44" x14ac:dyDescent="0.2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</row>
    <row r="73" spans="3:44" x14ac:dyDescent="0.2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</row>
    <row r="74" spans="3:44" x14ac:dyDescent="0.2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</row>
    <row r="75" spans="3:44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</row>
    <row r="76" spans="3:44" x14ac:dyDescent="0.2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</row>
    <row r="77" spans="3:44" x14ac:dyDescent="0.2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</row>
    <row r="78" spans="3:44" x14ac:dyDescent="0.2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</row>
    <row r="79" spans="3:44" x14ac:dyDescent="0.2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</row>
    <row r="80" spans="3:44" x14ac:dyDescent="0.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</row>
    <row r="81" spans="3:44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</row>
    <row r="82" spans="3:44" x14ac:dyDescent="0.2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</row>
    <row r="83" spans="3:44" x14ac:dyDescent="0.2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</row>
    <row r="84" spans="3:44" x14ac:dyDescent="0.2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</row>
    <row r="85" spans="3:44" x14ac:dyDescent="0.2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</row>
    <row r="86" spans="3:44" x14ac:dyDescent="0.2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</row>
    <row r="87" spans="3:44" x14ac:dyDescent="0.2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</row>
    <row r="88" spans="3:44" x14ac:dyDescent="0.2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</row>
    <row r="89" spans="3:44" x14ac:dyDescent="0.2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</row>
    <row r="90" spans="3:44" x14ac:dyDescent="0.2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</row>
    <row r="91" spans="3:44" x14ac:dyDescent="0.2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</row>
    <row r="92" spans="3:44" x14ac:dyDescent="0.2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</row>
    <row r="93" spans="3:44" x14ac:dyDescent="0.2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</row>
    <row r="94" spans="3:44" x14ac:dyDescent="0.2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</row>
    <row r="95" spans="3:44" x14ac:dyDescent="0.2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</row>
    <row r="96" spans="3:44" x14ac:dyDescent="0.2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</row>
    <row r="97" spans="3:44" x14ac:dyDescent="0.2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</row>
    <row r="98" spans="3:44" x14ac:dyDescent="0.2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</row>
    <row r="99" spans="3:44" x14ac:dyDescent="0.2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</row>
    <row r="100" spans="3:44" x14ac:dyDescent="0.2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</row>
    <row r="101" spans="3:44" x14ac:dyDescent="0.2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</row>
    <row r="102" spans="3:44" x14ac:dyDescent="0.2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</row>
    <row r="103" spans="3:44" x14ac:dyDescent="0.2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</row>
    <row r="104" spans="3:44" x14ac:dyDescent="0.2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</row>
    <row r="105" spans="3:44" x14ac:dyDescent="0.2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</row>
    <row r="106" spans="3:44" x14ac:dyDescent="0.2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</row>
    <row r="107" spans="3:44" x14ac:dyDescent="0.2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</row>
    <row r="108" spans="3:44" x14ac:dyDescent="0.2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</row>
    <row r="109" spans="3:44" x14ac:dyDescent="0.2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</row>
    <row r="110" spans="3:44" x14ac:dyDescent="0.2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</row>
    <row r="111" spans="3:44" x14ac:dyDescent="0.2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</row>
    <row r="112" spans="3:44" x14ac:dyDescent="0.2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</row>
    <row r="113" spans="3:44" x14ac:dyDescent="0.2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</row>
    <row r="114" spans="3:44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</row>
    <row r="115" spans="3:44" x14ac:dyDescent="0.2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</row>
    <row r="116" spans="3:44" x14ac:dyDescent="0.2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</row>
    <row r="117" spans="3:44" x14ac:dyDescent="0.2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</row>
    <row r="118" spans="3:44" x14ac:dyDescent="0.2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</row>
    <row r="119" spans="3:44" x14ac:dyDescent="0.2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</row>
    <row r="120" spans="3:44" x14ac:dyDescent="0.2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</row>
    <row r="121" spans="3:44" x14ac:dyDescent="0.2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</row>
    <row r="122" spans="3:44" x14ac:dyDescent="0.2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</row>
    <row r="123" spans="3:44" x14ac:dyDescent="0.2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</row>
    <row r="124" spans="3:44" x14ac:dyDescent="0.2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</row>
    <row r="125" spans="3:44" x14ac:dyDescent="0.2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</row>
    <row r="126" spans="3:44" x14ac:dyDescent="0.2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</row>
    <row r="127" spans="3:44" x14ac:dyDescent="0.2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</row>
    <row r="128" spans="3:44" x14ac:dyDescent="0.2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</row>
    <row r="129" spans="3:44" x14ac:dyDescent="0.2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</row>
    <row r="130" spans="3:44" x14ac:dyDescent="0.2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</row>
    <row r="131" spans="3:44" x14ac:dyDescent="0.2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</row>
    <row r="132" spans="3:44" x14ac:dyDescent="0.2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</row>
    <row r="133" spans="3:44" x14ac:dyDescent="0.2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</row>
    <row r="134" spans="3:44" x14ac:dyDescent="0.2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</row>
    <row r="135" spans="3:44" x14ac:dyDescent="0.2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</row>
    <row r="136" spans="3:44" x14ac:dyDescent="0.2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</row>
    <row r="137" spans="3:44" x14ac:dyDescent="0.2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</row>
    <row r="138" spans="3:44" x14ac:dyDescent="0.2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</row>
    <row r="139" spans="3:44" x14ac:dyDescent="0.2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</row>
    <row r="140" spans="3:44" x14ac:dyDescent="0.2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</row>
    <row r="141" spans="3:44" x14ac:dyDescent="0.2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</row>
    <row r="142" spans="3:44" x14ac:dyDescent="0.2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</row>
    <row r="143" spans="3:44" x14ac:dyDescent="0.2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</row>
    <row r="144" spans="3:44" x14ac:dyDescent="0.2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</row>
    <row r="145" spans="3:44" x14ac:dyDescent="0.2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</row>
    <row r="146" spans="3:44" x14ac:dyDescent="0.2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</row>
    <row r="147" spans="3:44" x14ac:dyDescent="0.2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</row>
    <row r="148" spans="3:44" x14ac:dyDescent="0.2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</row>
    <row r="149" spans="3:44" x14ac:dyDescent="0.2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</row>
    <row r="150" spans="3:44" x14ac:dyDescent="0.2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</row>
    <row r="151" spans="3:44" x14ac:dyDescent="0.2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</row>
    <row r="152" spans="3:44" x14ac:dyDescent="0.2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</row>
    <row r="153" spans="3:44" x14ac:dyDescent="0.2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</row>
    <row r="154" spans="3:44" x14ac:dyDescent="0.2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</row>
    <row r="155" spans="3:44" x14ac:dyDescent="0.2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</row>
    <row r="156" spans="3:44" x14ac:dyDescent="0.2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</row>
    <row r="157" spans="3:44" x14ac:dyDescent="0.2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</row>
    <row r="158" spans="3:44" x14ac:dyDescent="0.2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</row>
    <row r="159" spans="3:44" x14ac:dyDescent="0.2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</row>
    <row r="160" spans="3:44" x14ac:dyDescent="0.2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</row>
    <row r="161" spans="3:44" x14ac:dyDescent="0.2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</row>
    <row r="162" spans="3:44" x14ac:dyDescent="0.2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</row>
    <row r="163" spans="3:44" x14ac:dyDescent="0.2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</row>
    <row r="164" spans="3:44" x14ac:dyDescent="0.2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</row>
    <row r="165" spans="3:44" x14ac:dyDescent="0.2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</row>
    <row r="166" spans="3:44" x14ac:dyDescent="0.2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</row>
    <row r="167" spans="3:44" x14ac:dyDescent="0.2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</row>
    <row r="168" spans="3:44" x14ac:dyDescent="0.2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</row>
    <row r="169" spans="3:44" x14ac:dyDescent="0.2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</row>
    <row r="170" spans="3:44" x14ac:dyDescent="0.2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</row>
    <row r="171" spans="3:44" x14ac:dyDescent="0.2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</row>
    <row r="172" spans="3:44" x14ac:dyDescent="0.2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</row>
    <row r="173" spans="3:44" x14ac:dyDescent="0.2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</row>
    <row r="174" spans="3:44" x14ac:dyDescent="0.2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</row>
    <row r="175" spans="3:44" x14ac:dyDescent="0.2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</row>
    <row r="176" spans="3:44" x14ac:dyDescent="0.2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</row>
    <row r="177" spans="3:44" x14ac:dyDescent="0.2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</row>
    <row r="178" spans="3:44" x14ac:dyDescent="0.2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</row>
    <row r="179" spans="3:44" x14ac:dyDescent="0.2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</row>
    <row r="180" spans="3:44" x14ac:dyDescent="0.2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</row>
    <row r="181" spans="3:44" x14ac:dyDescent="0.2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</row>
    <row r="182" spans="3:44" x14ac:dyDescent="0.2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</row>
    <row r="183" spans="3:44" x14ac:dyDescent="0.2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</row>
    <row r="184" spans="3:44" x14ac:dyDescent="0.2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</row>
    <row r="185" spans="3:44" x14ac:dyDescent="0.2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</row>
    <row r="186" spans="3:44" x14ac:dyDescent="0.2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</row>
    <row r="187" spans="3:44" x14ac:dyDescent="0.2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</row>
    <row r="188" spans="3:44" x14ac:dyDescent="0.2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</row>
    <row r="189" spans="3:44" x14ac:dyDescent="0.2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</row>
    <row r="190" spans="3:44" x14ac:dyDescent="0.2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</row>
    <row r="191" spans="3:44" x14ac:dyDescent="0.2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</row>
    <row r="192" spans="3:44" x14ac:dyDescent="0.2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</row>
    <row r="193" spans="3:44" x14ac:dyDescent="0.2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</row>
    <row r="194" spans="3:44" x14ac:dyDescent="0.2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</row>
    <row r="195" spans="3:44" x14ac:dyDescent="0.2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</row>
    <row r="196" spans="3:44" x14ac:dyDescent="0.2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</row>
    <row r="197" spans="3:44" x14ac:dyDescent="0.2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</row>
    <row r="198" spans="3:44" x14ac:dyDescent="0.2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</row>
    <row r="199" spans="3:44" x14ac:dyDescent="0.2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</row>
    <row r="200" spans="3:44" x14ac:dyDescent="0.2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</row>
    <row r="201" spans="3:44" x14ac:dyDescent="0.2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</row>
    <row r="202" spans="3:44" x14ac:dyDescent="0.2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</row>
    <row r="203" spans="3:44" x14ac:dyDescent="0.2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</row>
    <row r="204" spans="3:44" x14ac:dyDescent="0.2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</row>
    <row r="205" spans="3:44" x14ac:dyDescent="0.2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</row>
    <row r="206" spans="3:44" x14ac:dyDescent="0.2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</row>
    <row r="207" spans="3:44" x14ac:dyDescent="0.2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</row>
    <row r="208" spans="3:44" x14ac:dyDescent="0.2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</row>
    <row r="209" spans="3:44" x14ac:dyDescent="0.2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</row>
    <row r="210" spans="3:44" x14ac:dyDescent="0.2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</row>
    <row r="211" spans="3:44" x14ac:dyDescent="0.2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</row>
    <row r="212" spans="3:44" x14ac:dyDescent="0.2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</row>
    <row r="213" spans="3:44" x14ac:dyDescent="0.2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</row>
    <row r="214" spans="3:44" x14ac:dyDescent="0.2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</row>
    <row r="215" spans="3:44" x14ac:dyDescent="0.2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</row>
    <row r="216" spans="3:44" x14ac:dyDescent="0.2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</row>
    <row r="217" spans="3:44" x14ac:dyDescent="0.2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</row>
    <row r="218" spans="3:44" x14ac:dyDescent="0.2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</row>
    <row r="219" spans="3:44" x14ac:dyDescent="0.2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</row>
    <row r="220" spans="3:44" x14ac:dyDescent="0.2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</row>
    <row r="221" spans="3:44" x14ac:dyDescent="0.2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</row>
    <row r="222" spans="3:44" x14ac:dyDescent="0.2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</row>
    <row r="223" spans="3:44" x14ac:dyDescent="0.2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</row>
    <row r="224" spans="3:44" x14ac:dyDescent="0.2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</row>
    <row r="225" spans="3:44" x14ac:dyDescent="0.2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</row>
    <row r="226" spans="3:44" x14ac:dyDescent="0.2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</row>
    <row r="227" spans="3:44" x14ac:dyDescent="0.2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</row>
    <row r="228" spans="3:44" x14ac:dyDescent="0.2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</row>
    <row r="229" spans="3:44" x14ac:dyDescent="0.2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</row>
    <row r="230" spans="3:44" x14ac:dyDescent="0.2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</row>
    <row r="231" spans="3:44" x14ac:dyDescent="0.2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</row>
    <row r="232" spans="3:44" x14ac:dyDescent="0.2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</row>
  </sheetData>
  <hyperlinks>
    <hyperlink ref="A1" location="Main!A1" display="Main" xr:uid="{4D88081C-B226-4D24-9978-132DD202610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2024-09-16T07:59:30Z</dcterms:created>
  <dcterms:modified xsi:type="dcterms:W3CDTF">2025-09-02T12:49:01Z</dcterms:modified>
</cp:coreProperties>
</file>