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0936496-47EB-45E7-9889-BF875C9C8150}" xr6:coauthVersionLast="47" xr6:coauthVersionMax="47" xr10:uidLastSave="{00000000-0000-0000-0000-000000000000}"/>
  <bookViews>
    <workbookView xWindow="225" yWindow="1950" windowWidth="38175" windowHeight="15240" activeTab="1" xr2:uid="{C53555D3-F937-48EC-9952-B05CC789E7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Q22" i="2" s="1"/>
  <c r="R22" i="2" s="1"/>
  <c r="S22" i="2" s="1"/>
  <c r="T22" i="2" s="1"/>
  <c r="U22" i="2" s="1"/>
  <c r="V22" i="2" s="1"/>
  <c r="P16" i="2"/>
  <c r="Q16" i="2" s="1"/>
  <c r="R16" i="2" s="1"/>
  <c r="S16" i="2" s="1"/>
  <c r="T16" i="2" s="1"/>
  <c r="U16" i="2" s="1"/>
  <c r="V16" i="2" s="1"/>
  <c r="P15" i="2"/>
  <c r="Q15" i="2" s="1"/>
  <c r="R15" i="2" s="1"/>
  <c r="S15" i="2" s="1"/>
  <c r="T15" i="2" s="1"/>
  <c r="U15" i="2" s="1"/>
  <c r="V15" i="2" s="1"/>
  <c r="P4" i="2"/>
  <c r="Q4" i="2" s="1"/>
  <c r="R4" i="2" s="1"/>
  <c r="S4" i="2" s="1"/>
  <c r="T4" i="2" s="1"/>
  <c r="U4" i="2" s="1"/>
  <c r="V4" i="2" s="1"/>
  <c r="O22" i="2"/>
  <c r="O16" i="2"/>
  <c r="O15" i="2"/>
  <c r="O12" i="2"/>
  <c r="P12" i="2" s="1"/>
  <c r="Q12" i="2" s="1"/>
  <c r="R12" i="2" s="1"/>
  <c r="S12" i="2" s="1"/>
  <c r="T12" i="2" s="1"/>
  <c r="U12" i="2" s="1"/>
  <c r="V12" i="2" s="1"/>
  <c r="O7" i="2"/>
  <c r="O5" i="2" s="1"/>
  <c r="P5" i="2" s="1"/>
  <c r="Q5" i="2" s="1"/>
  <c r="R5" i="2" s="1"/>
  <c r="S5" i="2" s="1"/>
  <c r="T5" i="2" s="1"/>
  <c r="U5" i="2" s="1"/>
  <c r="V5" i="2" s="1"/>
  <c r="I14" i="2"/>
  <c r="J14" i="2" s="1"/>
  <c r="O14" i="2" s="1"/>
  <c r="P14" i="2" s="1"/>
  <c r="Q14" i="2" s="1"/>
  <c r="R14" i="2" s="1"/>
  <c r="S14" i="2" s="1"/>
  <c r="T14" i="2" s="1"/>
  <c r="U14" i="2" s="1"/>
  <c r="V14" i="2" s="1"/>
  <c r="I11" i="2"/>
  <c r="J11" i="2" s="1"/>
  <c r="O11" i="2" s="1"/>
  <c r="P11" i="2" s="1"/>
  <c r="Q11" i="2" s="1"/>
  <c r="R11" i="2" s="1"/>
  <c r="S11" i="2" s="1"/>
  <c r="T11" i="2" s="1"/>
  <c r="U11" i="2" s="1"/>
  <c r="V11" i="2" s="1"/>
  <c r="I10" i="2"/>
  <c r="I8" i="2"/>
  <c r="F18" i="2"/>
  <c r="F16" i="2"/>
  <c r="F15" i="2"/>
  <c r="F14" i="2"/>
  <c r="F12" i="2"/>
  <c r="F11" i="2"/>
  <c r="F10" i="2"/>
  <c r="F8" i="2"/>
  <c r="J7" i="2"/>
  <c r="I7" i="2"/>
  <c r="N5" i="2"/>
  <c r="O4" i="2"/>
  <c r="O3" i="2"/>
  <c r="P3" i="2" s="1"/>
  <c r="M5" i="2"/>
  <c r="F31" i="2"/>
  <c r="F30" i="2"/>
  <c r="N32" i="2"/>
  <c r="M32" i="2"/>
  <c r="N24" i="2"/>
  <c r="M27" i="2"/>
  <c r="M26" i="2"/>
  <c r="N25" i="2"/>
  <c r="M25" i="2"/>
  <c r="M19" i="2"/>
  <c r="M21" i="2"/>
  <c r="N15" i="2"/>
  <c r="N9" i="2"/>
  <c r="N13" i="2" s="1"/>
  <c r="M9" i="2"/>
  <c r="M13" i="2" s="1"/>
  <c r="M17" i="2" s="1"/>
  <c r="F7" i="2"/>
  <c r="J24" i="2" s="1"/>
  <c r="E5" i="2"/>
  <c r="E32" i="2"/>
  <c r="C5" i="2"/>
  <c r="G5" i="2"/>
  <c r="G32" i="2"/>
  <c r="C32" i="2"/>
  <c r="H5" i="2"/>
  <c r="D5" i="2"/>
  <c r="G24" i="2"/>
  <c r="H24" i="2"/>
  <c r="H32" i="2"/>
  <c r="D32" i="2"/>
  <c r="D9" i="2"/>
  <c r="D13" i="2" s="1"/>
  <c r="D26" i="2" s="1"/>
  <c r="G9" i="2"/>
  <c r="G13" i="2" s="1"/>
  <c r="E9" i="2"/>
  <c r="E25" i="2" s="1"/>
  <c r="C9" i="2"/>
  <c r="C13" i="2" s="1"/>
  <c r="C26" i="2" s="1"/>
  <c r="H9" i="2"/>
  <c r="H13" i="2" s="1"/>
  <c r="I6" i="1"/>
  <c r="I7" i="1"/>
  <c r="I8" i="1"/>
  <c r="I5" i="1"/>
  <c r="N17" i="2" l="1"/>
  <c r="N26" i="2"/>
  <c r="Q3" i="2"/>
  <c r="R3" i="2" s="1"/>
  <c r="S3" i="2" s="1"/>
  <c r="T3" i="2" s="1"/>
  <c r="U3" i="2" s="1"/>
  <c r="V3" i="2" s="1"/>
  <c r="P7" i="2"/>
  <c r="P24" i="2" s="1"/>
  <c r="J8" i="2"/>
  <c r="J9" i="2" s="1"/>
  <c r="D25" i="2"/>
  <c r="J10" i="2"/>
  <c r="O10" i="2"/>
  <c r="P10" i="2" s="1"/>
  <c r="Q10" i="2" s="1"/>
  <c r="R10" i="2" s="1"/>
  <c r="S10" i="2" s="1"/>
  <c r="T10" i="2" s="1"/>
  <c r="U10" i="2" s="1"/>
  <c r="V10" i="2" s="1"/>
  <c r="D17" i="2"/>
  <c r="D19" i="2" s="1"/>
  <c r="D21" i="2" s="1"/>
  <c r="F5" i="2"/>
  <c r="F32" i="2"/>
  <c r="O24" i="2"/>
  <c r="Q7" i="2"/>
  <c r="I9" i="2"/>
  <c r="I25" i="2" s="1"/>
  <c r="I24" i="2"/>
  <c r="F9" i="2"/>
  <c r="F13" i="2" s="1"/>
  <c r="F26" i="2" s="1"/>
  <c r="C25" i="2"/>
  <c r="G26" i="2"/>
  <c r="G17" i="2"/>
  <c r="H17" i="2"/>
  <c r="H27" i="2" s="1"/>
  <c r="H26" i="2"/>
  <c r="E13" i="2"/>
  <c r="G25" i="2"/>
  <c r="C17" i="2"/>
  <c r="H25" i="2"/>
  <c r="H19" i="2"/>
  <c r="H21" i="2" s="1"/>
  <c r="J25" i="2" l="1"/>
  <c r="J13" i="2"/>
  <c r="D27" i="2"/>
  <c r="O8" i="2"/>
  <c r="N19" i="2"/>
  <c r="N21" i="2" s="1"/>
  <c r="N27" i="2"/>
  <c r="Q24" i="2"/>
  <c r="R7" i="2"/>
  <c r="I13" i="2"/>
  <c r="I17" i="2" s="1"/>
  <c r="I18" i="2" s="1"/>
  <c r="F17" i="2"/>
  <c r="F19" i="2" s="1"/>
  <c r="F21" i="2" s="1"/>
  <c r="F25" i="2"/>
  <c r="C19" i="2"/>
  <c r="C21" i="2" s="1"/>
  <c r="C27" i="2"/>
  <c r="G19" i="2"/>
  <c r="G21" i="2" s="1"/>
  <c r="G27" i="2"/>
  <c r="E26" i="2"/>
  <c r="E17" i="2"/>
  <c r="F27" i="2" l="1"/>
  <c r="P8" i="2"/>
  <c r="O9" i="2"/>
  <c r="J26" i="2"/>
  <c r="J17" i="2"/>
  <c r="R24" i="2"/>
  <c r="S7" i="2"/>
  <c r="I26" i="2"/>
  <c r="E19" i="2"/>
  <c r="E21" i="2" s="1"/>
  <c r="E27" i="2"/>
  <c r="I19" i="2"/>
  <c r="I21" i="2" s="1"/>
  <c r="I27" i="2"/>
  <c r="J18" i="2" l="1"/>
  <c r="J19" i="2"/>
  <c r="J21" i="2" s="1"/>
  <c r="O25" i="2"/>
  <c r="O13" i="2"/>
  <c r="Q8" i="2"/>
  <c r="P9" i="2"/>
  <c r="S24" i="2"/>
  <c r="T7" i="2"/>
  <c r="P25" i="2" l="1"/>
  <c r="P13" i="2"/>
  <c r="R8" i="2"/>
  <c r="Q9" i="2"/>
  <c r="O26" i="2"/>
  <c r="O17" i="2"/>
  <c r="J27" i="2"/>
  <c r="O18" i="2"/>
  <c r="O27" i="2" s="1"/>
  <c r="T24" i="2"/>
  <c r="V7" i="2"/>
  <c r="U7" i="2"/>
  <c r="O19" i="2" l="1"/>
  <c r="O21" i="2" s="1"/>
  <c r="Q13" i="2"/>
  <c r="Q25" i="2"/>
  <c r="S8" i="2"/>
  <c r="R9" i="2"/>
  <c r="P26" i="2"/>
  <c r="P17" i="2"/>
  <c r="V24" i="2"/>
  <c r="U24" i="2"/>
  <c r="P18" i="2" l="1"/>
  <c r="P27" i="2" s="1"/>
  <c r="P19" i="2"/>
  <c r="P21" i="2" s="1"/>
  <c r="R25" i="2"/>
  <c r="R13" i="2"/>
  <c r="T8" i="2"/>
  <c r="S9" i="2"/>
  <c r="Q26" i="2"/>
  <c r="Q17" i="2"/>
  <c r="U8" i="2" l="1"/>
  <c r="T9" i="2"/>
  <c r="Q18" i="2"/>
  <c r="Q27" i="2" s="1"/>
  <c r="Q19" i="2"/>
  <c r="Q21" i="2" s="1"/>
  <c r="S25" i="2"/>
  <c r="S13" i="2"/>
  <c r="R26" i="2"/>
  <c r="R17" i="2"/>
  <c r="R18" i="2" l="1"/>
  <c r="R27" i="2" s="1"/>
  <c r="R19" i="2"/>
  <c r="R21" i="2" s="1"/>
  <c r="S17" i="2"/>
  <c r="S26" i="2"/>
  <c r="T25" i="2"/>
  <c r="T13" i="2"/>
  <c r="V8" i="2"/>
  <c r="V9" i="2" s="1"/>
  <c r="U9" i="2"/>
  <c r="U25" i="2" l="1"/>
  <c r="U13" i="2"/>
  <c r="V25" i="2"/>
  <c r="V13" i="2"/>
  <c r="T26" i="2"/>
  <c r="T17" i="2"/>
  <c r="S18" i="2"/>
  <c r="S27" i="2" s="1"/>
  <c r="S19" i="2" l="1"/>
  <c r="S21" i="2" s="1"/>
  <c r="T18" i="2"/>
  <c r="T27" i="2" s="1"/>
  <c r="T19" i="2"/>
  <c r="T21" i="2" s="1"/>
  <c r="V26" i="2"/>
  <c r="V17" i="2"/>
  <c r="U26" i="2"/>
  <c r="U17" i="2"/>
  <c r="U18" i="2" l="1"/>
  <c r="U27" i="2" s="1"/>
  <c r="U19" i="2"/>
  <c r="U21" i="2" s="1"/>
  <c r="V18" i="2"/>
  <c r="V27" i="2" s="1"/>
  <c r="V19" i="2" l="1"/>
  <c r="V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tc={408F4702-B01B-4EC7-93B4-351EE706AD0A}</author>
  </authors>
  <commentList>
    <comment ref="B3" authorId="0" shapeId="0" xr:uid="{408F4702-B01B-4EC7-93B4-351EE706AD0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Users in thousands</t>
      </text>
    </comment>
  </commentList>
</comments>
</file>

<file path=xl/sharedStrings.xml><?xml version="1.0" encoding="utf-8"?>
<sst xmlns="http://schemas.openxmlformats.org/spreadsheetml/2006/main" count="62" uniqueCount="58">
  <si>
    <t>Grinder</t>
  </si>
  <si>
    <t>numbers in million USD</t>
  </si>
  <si>
    <t>Price</t>
  </si>
  <si>
    <t>Shares</t>
  </si>
  <si>
    <t>MC</t>
  </si>
  <si>
    <t>Cash</t>
  </si>
  <si>
    <t>Debt</t>
  </si>
  <si>
    <t>EV</t>
  </si>
  <si>
    <t>SEC</t>
  </si>
  <si>
    <t>GRND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</si>
  <si>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</si>
  <si>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</si>
  <si>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</si>
  <si>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</si>
  <si>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</si>
  <si>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</si>
  <si>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</si>
  <si>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</si>
  <si>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</si>
  <si>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</t>
  </si>
  <si>
    <t>Revenue</t>
  </si>
  <si>
    <t>COGS</t>
  </si>
  <si>
    <t>Gross Profit</t>
  </si>
  <si>
    <t>SG&amp;A</t>
  </si>
  <si>
    <t>R&amp;D</t>
  </si>
  <si>
    <t>D&amp;A</t>
  </si>
  <si>
    <t>Operating Profit</t>
  </si>
  <si>
    <t>Interest Expense</t>
  </si>
  <si>
    <t>Other Income</t>
  </si>
  <si>
    <t>Loss on Warrant Liability</t>
  </si>
  <si>
    <t>EBT</t>
  </si>
  <si>
    <t>Income tax</t>
  </si>
  <si>
    <t>Net Income</t>
  </si>
  <si>
    <t>EPS</t>
  </si>
  <si>
    <t>Operating Cashflow</t>
  </si>
  <si>
    <t>CapEx</t>
  </si>
  <si>
    <t>Free Cashflow</t>
  </si>
  <si>
    <t>Revenue Growth</t>
  </si>
  <si>
    <t>Gross Margin</t>
  </si>
  <si>
    <t>Operating Margin</t>
  </si>
  <si>
    <t>Tax Rate</t>
  </si>
  <si>
    <t>Notes:</t>
  </si>
  <si>
    <t>Dating Platform for gay, bisexual and sexual exploarative people</t>
  </si>
  <si>
    <t>Free version with adds and paid premium version</t>
  </si>
  <si>
    <t>MAUs</t>
  </si>
  <si>
    <t>APUs</t>
  </si>
  <si>
    <t>ARPU</t>
  </si>
  <si>
    <t>FY22</t>
  </si>
  <si>
    <t>FY23</t>
  </si>
  <si>
    <t>FY24</t>
  </si>
  <si>
    <t>IPO through SPAC in 2022</t>
  </si>
  <si>
    <t>FY25</t>
  </si>
  <si>
    <t>FY26</t>
  </si>
  <si>
    <t>FY27</t>
  </si>
  <si>
    <t>FY28</t>
  </si>
  <si>
    <t>FY29</t>
  </si>
  <si>
    <t>FY30</t>
  </si>
  <si>
    <t>FY31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</si>
</sst>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1" applyFont="1"/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4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0</xdr:rowOff>
    </xdr:from>
    <xdr:to>
      <xdr:col>8</xdr:col>
      <xdr:colOff>19050</xdr:colOff>
      <xdr:row>28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7994E4-EF0B-437C-9EA5-7E89D168A1E1}"/>
            </a:ext>
          </a:extLst>
        </xdr:cNvPr>
        <xdr:cNvCxnSpPr/>
      </xdr:nvCxnSpPr>
      <xdr:spPr>
        <a:xfrm>
          <a:off x="5727700" y="539750"/>
          <a:ext cx="38100" cy="485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</xdr:row>
      <xdr:rowOff>0</xdr:rowOff>
    </xdr:from>
    <xdr:to>
      <xdr:col>14</xdr:col>
      <xdr:colOff>19050</xdr:colOff>
      <xdr:row>28</xdr:row>
      <xdr:rowOff>50800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8614ECA-CFF5-48B0-BABD-FCD6EDD51C20}"/>
            </a:ext>
          </a:extLst>
        </xdr:cNvPr>
        <xdr:cNvCxnSpPr/>
      </xdr:nvCxnSpPr>
      <xdr:spPr>
        <a:xfrm>
          <a:off x="9385300" y="533400"/>
          <a:ext cx="38100" cy="485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22331612-A7B3-4785-8ECC-DBEC2654434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4-15T14:42:05.33" personId="{22331612-A7B3-4785-8ECC-DBEC26544348}" id="{408F4702-B01B-4EC7-93B4-351EE706AD0A}">
    <text>Users in thousands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82014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42E8-85F8-4768-B669-E477004FC652}">
  <dimension ref="A1:J12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</row>
    <row r="3" spans="1:10" x14ac:dyDescent="0.2">
      <c r="H3" s="2" t="s">
        <v>2</v>
      </c>
      <c r="I3" s="3">
        <v>12.26</v>
      </c>
    </row>
    <row r="4" spans="1:10" x14ac:dyDescent="0.2">
      <c r="B4" s="4" t="s">
        <v>8</v>
      </c>
      <c r="H4" s="2" t="s">
        <v>3</v>
      </c>
      <c r="I4" s="3">
        <v>175.99221399999999</v>
      </c>
      <c r="J4" s="5" t="s">
        <v>16</v>
      </c>
    </row>
    <row r="5" spans="1:10" x14ac:dyDescent="0.2">
      <c r="B5" s="2" t="s">
        <v>9</v>
      </c>
      <c r="H5" s="2" t="s">
        <v>4</v>
      </c>
      <c r="I5" s="3">
        <f>I3*I4</f>
        <v>2157.6645436399999</v>
      </c>
    </row>
    <row r="6" spans="1:10" x14ac:dyDescent="0.2">
      <c r="H6" s="2" t="s">
        <v>5</v>
      </c>
      <c r="I6" s="3">
        <f>16.345+0.605</f>
        <v>16.95</v>
      </c>
      <c r="J6" s="5" t="s">
        <v>16</v>
      </c>
    </row>
    <row r="7" spans="1:10" x14ac:dyDescent="0.2">
      <c r="H7" s="2" t="s">
        <v>6</v>
      </c>
      <c r="I7" s="3">
        <f>15+282.691</f>
        <v>297.69099999999997</v>
      </c>
      <c r="J7" s="5" t="s">
        <v>16</v>
      </c>
    </row>
    <row r="8" spans="1:10" x14ac:dyDescent="0.2">
      <c r="H8" s="2" t="s">
        <v>7</v>
      </c>
      <c r="I8" s="3">
        <f>I5-I6+I7</f>
        <v>2438.4055436399999</v>
      </c>
    </row>
    <row r="9" spans="1:10" x14ac:dyDescent="0.2">
      <c r="B9" s="6" t="s">
        <v>41</v>
      </c>
    </row>
    <row r="10" spans="1:10" x14ac:dyDescent="0.2">
      <c r="B10" s="2" t="s">
        <v>42</v>
      </c>
    </row>
    <row r="11" spans="1:10" x14ac:dyDescent="0.2">
      <c r="B11" s="2" t="s">
        <v>43</v>
      </c>
    </row>
    <row r="12" spans="1:10" x14ac:dyDescent="0.2">
      <c r="B12" s="2" t="s">
        <v>50</v>
      </c>
    </row>
  </sheetData>
  <hyperlinks>
    <hyperlink ref="B4" r:id="rId1" xr:uid="{0C4E5D4E-61F3-40EF-8AFC-689A9325D2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4838-54C2-4DAE-AF07-11E1EE6A30F1}">
  <dimension ref="A1:AB39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4.7109375" style="2" bestFit="1" customWidth="1"/>
    <col min="2" max="2" width="25.140625" style="2" customWidth="1"/>
    <col min="3" max="16384" width="9.140625" style="2"/>
  </cols>
  <sheetData>
    <row r="1" spans="1:28" x14ac:dyDescent="0.2">
      <c r="A1" s="4" t="s">
        <v>10</v>
      </c>
    </row>
    <row r="2" spans="1:28" x14ac:dyDescent="0.2">
      <c r="B2" s="7" t="s">
        <v>19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9"/>
      <c r="L2" s="9"/>
      <c r="M2" s="8" t="s">
        <v>47</v>
      </c>
      <c r="N2" s="8" t="s">
        <v>48</v>
      </c>
      <c r="O2" s="8" t="s">
        <v>49</v>
      </c>
      <c r="P2" s="8" t="s">
        <v>51</v>
      </c>
      <c r="Q2" s="5" t="s">
        <v>52</v>
      </c>
      <c r="R2" s="5" t="s">
        <v>53</v>
      </c>
      <c r="S2" s="5" t="s">
        <v>54</v>
      </c>
      <c r="T2" s="5" t="s">
        <v>55</v>
      </c>
      <c r="U2" s="5" t="s">
        <v>56</v>
      </c>
      <c r="V2" s="5" t="s">
        <v>57</v>
      </c>
      <c r="W2" s="5"/>
      <c r="X2" s="5"/>
      <c r="Y2" s="5"/>
      <c r="Z2" s="5"/>
    </row>
    <row r="3" spans="1:28" x14ac:dyDescent="0.2">
      <c r="A3" s="10"/>
      <c r="B3" s="2" t="s">
        <v>44</v>
      </c>
      <c r="C3" s="9">
        <v>12800</v>
      </c>
      <c r="D3" s="9">
        <v>13900</v>
      </c>
      <c r="E3" s="9">
        <v>13500</v>
      </c>
      <c r="F3" s="9">
        <v>13300</v>
      </c>
      <c r="G3" s="9">
        <v>13700</v>
      </c>
      <c r="H3" s="9">
        <v>14100</v>
      </c>
      <c r="I3" s="9">
        <v>14500</v>
      </c>
      <c r="J3" s="9">
        <v>14800</v>
      </c>
      <c r="K3" s="9"/>
      <c r="L3" s="9"/>
      <c r="M3" s="9">
        <v>12281</v>
      </c>
      <c r="N3" s="9">
        <v>13300</v>
      </c>
      <c r="O3" s="9">
        <f>AVERAGE(G3:J3)</f>
        <v>14275</v>
      </c>
      <c r="P3" s="9">
        <f>O3*(1+5%)</f>
        <v>14988.75</v>
      </c>
      <c r="Q3" s="9">
        <f t="shared" ref="Q3:U3" si="0">P3*(1+5%)</f>
        <v>15738.1875</v>
      </c>
      <c r="R3" s="9">
        <f t="shared" si="0"/>
        <v>16525.096874999999</v>
      </c>
      <c r="S3" s="9">
        <f t="shared" si="0"/>
        <v>17351.35171875</v>
      </c>
      <c r="T3" s="9">
        <f t="shared" si="0"/>
        <v>18218.919304687501</v>
      </c>
      <c r="U3" s="9">
        <f t="shared" si="0"/>
        <v>19129.865269921876</v>
      </c>
      <c r="V3" s="9">
        <f>U3*(1+5%)</f>
        <v>20086.35853341797</v>
      </c>
      <c r="W3" s="9"/>
      <c r="X3" s="9"/>
      <c r="Y3" s="9"/>
      <c r="Z3" s="9"/>
      <c r="AA3" s="9"/>
      <c r="AB3" s="9"/>
    </row>
    <row r="4" spans="1:28" x14ac:dyDescent="0.2">
      <c r="A4" s="10"/>
      <c r="B4" s="2" t="s">
        <v>45</v>
      </c>
      <c r="C4" s="9">
        <v>0.86599999999999999</v>
      </c>
      <c r="D4" s="9">
        <v>0.92900000000000005</v>
      </c>
      <c r="E4" s="9">
        <v>0.96199999999999997</v>
      </c>
      <c r="F4" s="9">
        <v>0.93700000000000006</v>
      </c>
      <c r="G4" s="9">
        <v>1.0109999999999999</v>
      </c>
      <c r="H4" s="9">
        <v>1.056</v>
      </c>
      <c r="I4" s="9">
        <v>1.2</v>
      </c>
      <c r="J4" s="9">
        <v>1.3</v>
      </c>
      <c r="K4" s="9"/>
      <c r="L4" s="9"/>
      <c r="M4" s="9">
        <v>0.78800000000000003</v>
      </c>
      <c r="N4" s="9">
        <v>0.93700000000000006</v>
      </c>
      <c r="O4" s="9">
        <f>AVERAGE(G4:J4)</f>
        <v>1.14175</v>
      </c>
      <c r="P4" s="9">
        <f>O4*(1+5%)</f>
        <v>1.1988375</v>
      </c>
      <c r="Q4" s="9">
        <f t="shared" ref="Q4:V4" si="1">P4*(1+5%)</f>
        <v>1.258779375</v>
      </c>
      <c r="R4" s="9">
        <f t="shared" si="1"/>
        <v>1.3217183437500002</v>
      </c>
      <c r="S4" s="9">
        <f t="shared" si="1"/>
        <v>1.3878042609375003</v>
      </c>
      <c r="T4" s="9">
        <f t="shared" si="1"/>
        <v>1.4571944739843754</v>
      </c>
      <c r="U4" s="9">
        <f t="shared" si="1"/>
        <v>1.5300541976835942</v>
      </c>
      <c r="V4" s="9">
        <f t="shared" si="1"/>
        <v>1.6065569075677739</v>
      </c>
      <c r="W4" s="9"/>
      <c r="X4" s="9"/>
      <c r="Y4" s="9"/>
      <c r="Z4" s="9"/>
      <c r="AA4" s="9"/>
      <c r="AB4" s="9"/>
    </row>
    <row r="5" spans="1:28" x14ac:dyDescent="0.2">
      <c r="B5" s="2" t="s">
        <v>46</v>
      </c>
      <c r="C5" s="9">
        <f t="shared" ref="C5:H5" si="2">C7/(C3/1000)</f>
        <v>4.3600781249999994</v>
      </c>
      <c r="D5" s="9">
        <f t="shared" si="2"/>
        <v>4.4271942446043164</v>
      </c>
      <c r="E5" s="9">
        <f t="shared" si="2"/>
        <v>5.2042962962962962</v>
      </c>
      <c r="F5" s="9">
        <f t="shared" si="2"/>
        <v>5.4199999999999982</v>
      </c>
      <c r="G5" s="9">
        <f t="shared" si="2"/>
        <v>5.4996350364963504</v>
      </c>
      <c r="H5" s="9">
        <f t="shared" si="2"/>
        <v>5.8400709219858156</v>
      </c>
      <c r="I5" s="9">
        <v>6.1</v>
      </c>
      <c r="J5" s="9">
        <v>6.3</v>
      </c>
      <c r="K5" s="9"/>
      <c r="L5" s="9"/>
      <c r="M5" s="9">
        <f>M7/(M3/1000)</f>
        <v>15.87940721439622</v>
      </c>
      <c r="N5" s="9">
        <f>N7/(N3/1000)</f>
        <v>19.525639097744357</v>
      </c>
      <c r="O5" s="9">
        <f>O7/(O3/1000)</f>
        <v>23.774430823117338</v>
      </c>
      <c r="P5" s="9">
        <f>O5*(1+10%)</f>
        <v>26.151873905429074</v>
      </c>
      <c r="Q5" s="9">
        <f t="shared" ref="Q5:V5" si="3">P5*(1+10%)</f>
        <v>28.767061295971985</v>
      </c>
      <c r="R5" s="9">
        <f t="shared" si="3"/>
        <v>31.643767425569187</v>
      </c>
      <c r="S5" s="9">
        <f t="shared" si="3"/>
        <v>34.808144168126105</v>
      </c>
      <c r="T5" s="9">
        <f t="shared" si="3"/>
        <v>38.288958584938719</v>
      </c>
      <c r="U5" s="9">
        <f t="shared" si="3"/>
        <v>42.117854443432591</v>
      </c>
      <c r="V5" s="9">
        <f t="shared" si="3"/>
        <v>46.329639887775855</v>
      </c>
      <c r="W5" s="9"/>
      <c r="X5" s="9"/>
      <c r="Y5" s="9"/>
      <c r="Z5" s="9"/>
      <c r="AA5" s="9"/>
      <c r="AB5" s="9"/>
    </row>
    <row r="6" spans="1:28" x14ac:dyDescent="0.2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B7" s="1" t="s">
        <v>20</v>
      </c>
      <c r="C7" s="11">
        <v>55.808999999999997</v>
      </c>
      <c r="D7" s="11">
        <v>61.537999999999997</v>
      </c>
      <c r="E7" s="11">
        <v>70.257999999999996</v>
      </c>
      <c r="F7" s="11">
        <f>N7-SUM(C7:E7)</f>
        <v>72.085999999999984</v>
      </c>
      <c r="G7" s="11">
        <v>75.344999999999999</v>
      </c>
      <c r="H7" s="11">
        <v>82.344999999999999</v>
      </c>
      <c r="I7" s="11">
        <f>(I3/1000)*I5</f>
        <v>88.449999999999989</v>
      </c>
      <c r="J7" s="11">
        <f>(J3/1000)*J5</f>
        <v>93.24</v>
      </c>
      <c r="K7" s="9"/>
      <c r="L7" s="9"/>
      <c r="M7" s="11">
        <v>195.01499999999999</v>
      </c>
      <c r="N7" s="11">
        <v>259.69099999999997</v>
      </c>
      <c r="O7" s="11">
        <f>SUM(G7:J7)</f>
        <v>339.38</v>
      </c>
      <c r="P7" s="11">
        <f>(P3/1000)*P5</f>
        <v>391.98390000000001</v>
      </c>
      <c r="Q7" s="11">
        <f t="shared" ref="Q7:V7" si="4">(Q3/1000)*Q5</f>
        <v>452.7414045000001</v>
      </c>
      <c r="R7" s="11">
        <f t="shared" si="4"/>
        <v>522.91632219750011</v>
      </c>
      <c r="S7" s="11">
        <f t="shared" si="4"/>
        <v>603.96835213811266</v>
      </c>
      <c r="T7" s="11">
        <f t="shared" si="4"/>
        <v>697.58344671952023</v>
      </c>
      <c r="U7" s="11">
        <f t="shared" si="4"/>
        <v>805.70888096104591</v>
      </c>
      <c r="V7" s="11">
        <f t="shared" si="4"/>
        <v>930.593757510008</v>
      </c>
      <c r="W7" s="9"/>
      <c r="X7" s="9"/>
      <c r="Y7" s="9"/>
      <c r="Z7" s="9"/>
      <c r="AA7" s="9"/>
      <c r="AB7" s="9"/>
    </row>
    <row r="8" spans="1:28" x14ac:dyDescent="0.2">
      <c r="B8" s="2" t="s">
        <v>21</v>
      </c>
      <c r="C8" s="9">
        <v>14.815</v>
      </c>
      <c r="D8" s="9">
        <v>16.11</v>
      </c>
      <c r="E8" s="9">
        <v>18.242999999999999</v>
      </c>
      <c r="F8" s="9">
        <f>N8-SUM(C8:E8)</f>
        <v>18.290000000000006</v>
      </c>
      <c r="G8" s="9">
        <v>19.62</v>
      </c>
      <c r="H8" s="9">
        <v>20.998999999999999</v>
      </c>
      <c r="I8" s="9">
        <f>H8*(1+5%)</f>
        <v>22.048950000000001</v>
      </c>
      <c r="J8" s="9">
        <f>I8*(1+5%)</f>
        <v>23.151397500000002</v>
      </c>
      <c r="K8" s="9"/>
      <c r="L8" s="9"/>
      <c r="M8" s="9">
        <v>51.28</v>
      </c>
      <c r="N8" s="9">
        <v>67.457999999999998</v>
      </c>
      <c r="O8" s="9">
        <f>SUM(G8:J8)</f>
        <v>85.819347500000006</v>
      </c>
      <c r="P8" s="9">
        <f>O8*(1+3%)</f>
        <v>88.393927925000014</v>
      </c>
      <c r="Q8" s="9">
        <f t="shared" ref="Q8:V8" si="5">P8*(1+3%)</f>
        <v>91.045745762750016</v>
      </c>
      <c r="R8" s="9">
        <f t="shared" si="5"/>
        <v>93.77711813563252</v>
      </c>
      <c r="S8" s="9">
        <f t="shared" si="5"/>
        <v>96.590431679701496</v>
      </c>
      <c r="T8" s="9">
        <f t="shared" si="5"/>
        <v>99.488144630092549</v>
      </c>
      <c r="U8" s="9">
        <f t="shared" si="5"/>
        <v>102.47278896899533</v>
      </c>
      <c r="V8" s="9">
        <f t="shared" si="5"/>
        <v>105.5469726380652</v>
      </c>
      <c r="W8" s="9"/>
      <c r="X8" s="9"/>
      <c r="Y8" s="9"/>
      <c r="Z8" s="9"/>
      <c r="AA8" s="9"/>
      <c r="AB8" s="9"/>
    </row>
    <row r="9" spans="1:28" x14ac:dyDescent="0.2">
      <c r="B9" s="2" t="s">
        <v>22</v>
      </c>
      <c r="C9" s="9">
        <f t="shared" ref="C9:G9" si="6">C7-C8</f>
        <v>40.994</v>
      </c>
      <c r="D9" s="9">
        <f>D7-D8</f>
        <v>45.427999999999997</v>
      </c>
      <c r="E9" s="9">
        <f t="shared" si="6"/>
        <v>52.015000000000001</v>
      </c>
      <c r="F9" s="9">
        <f t="shared" si="6"/>
        <v>53.795999999999978</v>
      </c>
      <c r="G9" s="9">
        <f t="shared" si="6"/>
        <v>55.724999999999994</v>
      </c>
      <c r="H9" s="9">
        <f>H7-H8</f>
        <v>61.346000000000004</v>
      </c>
      <c r="I9" s="9">
        <f t="shared" ref="I9:J9" si="7">I7-I8</f>
        <v>66.401049999999984</v>
      </c>
      <c r="J9" s="9">
        <f t="shared" si="7"/>
        <v>70.088602499999993</v>
      </c>
      <c r="K9" s="9"/>
      <c r="L9" s="9"/>
      <c r="M9" s="9">
        <f t="shared" ref="M9" si="8">M7-M8</f>
        <v>143.73499999999999</v>
      </c>
      <c r="N9" s="9">
        <f t="shared" ref="N9" si="9">N7-N8</f>
        <v>192.23299999999998</v>
      </c>
      <c r="O9" s="9">
        <f t="shared" ref="O9" si="10">O7-O8</f>
        <v>253.5606525</v>
      </c>
      <c r="P9" s="9">
        <f t="shared" ref="P9" si="11">P7-P8</f>
        <v>303.58997207499999</v>
      </c>
      <c r="Q9" s="9">
        <f t="shared" ref="Q9" si="12">Q7-Q8</f>
        <v>361.69565873725008</v>
      </c>
      <c r="R9" s="9">
        <f t="shared" ref="R9" si="13">R7-R8</f>
        <v>429.13920406186759</v>
      </c>
      <c r="S9" s="9">
        <f t="shared" ref="S9" si="14">S7-S8</f>
        <v>507.37792045841115</v>
      </c>
      <c r="T9" s="9">
        <f t="shared" ref="T9" si="15">T7-T8</f>
        <v>598.09530208942772</v>
      </c>
      <c r="U9" s="9">
        <f t="shared" ref="U9" si="16">U7-U8</f>
        <v>703.23609199205055</v>
      </c>
      <c r="V9" s="9">
        <f t="shared" ref="V9" si="17">V7-V8</f>
        <v>825.0467848719428</v>
      </c>
      <c r="W9" s="9"/>
      <c r="X9" s="9"/>
      <c r="Y9" s="9"/>
      <c r="Z9" s="9"/>
      <c r="AA9" s="9"/>
      <c r="AB9" s="9"/>
    </row>
    <row r="10" spans="1:28" x14ac:dyDescent="0.2">
      <c r="B10" s="2" t="s">
        <v>23</v>
      </c>
      <c r="C10" s="9">
        <v>18.945</v>
      </c>
      <c r="D10" s="9">
        <v>17.158000000000001</v>
      </c>
      <c r="E10" s="9">
        <v>16.420000000000002</v>
      </c>
      <c r="F10" s="9">
        <f t="shared" ref="F10:F12" si="18">N10-SUM(C10:E10)</f>
        <v>27.893999999999998</v>
      </c>
      <c r="G10" s="9">
        <v>26.609000000000002</v>
      </c>
      <c r="H10" s="9">
        <v>24.802</v>
      </c>
      <c r="I10" s="9">
        <f>H10*(1-5%)</f>
        <v>23.561899999999998</v>
      </c>
      <c r="J10" s="9">
        <f>I10*(1-5%)</f>
        <v>22.383804999999995</v>
      </c>
      <c r="K10" s="9"/>
      <c r="L10" s="9"/>
      <c r="M10" s="9">
        <v>75.295000000000002</v>
      </c>
      <c r="N10" s="9">
        <v>80.417000000000002</v>
      </c>
      <c r="O10" s="9">
        <f>SUM(G10:J10)</f>
        <v>97.356704999999991</v>
      </c>
      <c r="P10" s="9">
        <f>O10*(1-2%)</f>
        <v>95.409570899999991</v>
      </c>
      <c r="Q10" s="9">
        <f t="shared" ref="Q10:V10" si="19">P10*(1-2%)</f>
        <v>93.50137948199999</v>
      </c>
      <c r="R10" s="9">
        <f t="shared" si="19"/>
        <v>91.631351892359987</v>
      </c>
      <c r="S10" s="9">
        <f t="shared" si="19"/>
        <v>89.798724854512784</v>
      </c>
      <c r="T10" s="9">
        <f t="shared" si="19"/>
        <v>88.002750357422528</v>
      </c>
      <c r="U10" s="9">
        <f t="shared" si="19"/>
        <v>86.242695350274076</v>
      </c>
      <c r="V10" s="9">
        <f t="shared" si="19"/>
        <v>84.517841443268594</v>
      </c>
      <c r="W10" s="9"/>
      <c r="X10" s="9"/>
      <c r="Y10" s="9"/>
      <c r="Z10" s="9"/>
      <c r="AA10" s="9"/>
      <c r="AB10" s="9"/>
    </row>
    <row r="11" spans="1:28" x14ac:dyDescent="0.2">
      <c r="B11" s="2" t="s">
        <v>24</v>
      </c>
      <c r="C11" s="9">
        <v>5.5060000000000002</v>
      </c>
      <c r="D11" s="9">
        <v>6.2</v>
      </c>
      <c r="E11" s="9">
        <v>13.27</v>
      </c>
      <c r="F11" s="9">
        <f t="shared" si="18"/>
        <v>4.3510000000000026</v>
      </c>
      <c r="G11" s="9">
        <v>5.7409999999999997</v>
      </c>
      <c r="H11" s="9">
        <v>7.7539999999999996</v>
      </c>
      <c r="I11" s="9">
        <f>H11*(1+5%)</f>
        <v>8.1417000000000002</v>
      </c>
      <c r="J11" s="9">
        <f>I11*(1+5%)</f>
        <v>8.5487850000000005</v>
      </c>
      <c r="K11" s="9"/>
      <c r="L11" s="9"/>
      <c r="M11" s="9">
        <v>17.899999999999999</v>
      </c>
      <c r="N11" s="9">
        <v>29.327000000000002</v>
      </c>
      <c r="O11" s="9">
        <f t="shared" ref="O11:O12" si="20">SUM(G11:J11)</f>
        <v>30.185485</v>
      </c>
      <c r="P11" s="9">
        <f>O11*(1+5%)</f>
        <v>31.694759250000001</v>
      </c>
      <c r="Q11" s="9">
        <f t="shared" ref="Q11:V11" si="21">P11*(1+5%)</f>
        <v>33.279497212500004</v>
      </c>
      <c r="R11" s="9">
        <f t="shared" si="21"/>
        <v>34.943472073125008</v>
      </c>
      <c r="S11" s="9">
        <f t="shared" si="21"/>
        <v>36.690645676781259</v>
      </c>
      <c r="T11" s="9">
        <f t="shared" si="21"/>
        <v>38.525177960620326</v>
      </c>
      <c r="U11" s="9">
        <f t="shared" si="21"/>
        <v>40.451436858651341</v>
      </c>
      <c r="V11" s="9">
        <f t="shared" si="21"/>
        <v>42.474008701583912</v>
      </c>
      <c r="W11" s="9"/>
      <c r="X11" s="9"/>
      <c r="Y11" s="9"/>
      <c r="Z11" s="9"/>
      <c r="AA11" s="9"/>
      <c r="AB11" s="9"/>
    </row>
    <row r="12" spans="1:28" x14ac:dyDescent="0.2">
      <c r="B12" s="2" t="s">
        <v>25</v>
      </c>
      <c r="C12" s="9">
        <v>7.952</v>
      </c>
      <c r="D12" s="9">
        <v>8.14</v>
      </c>
      <c r="E12" s="9">
        <v>5.7530000000000001</v>
      </c>
      <c r="F12" s="9">
        <f t="shared" si="18"/>
        <v>5.1960000000000015</v>
      </c>
      <c r="G12" s="9">
        <v>4.1189999999999998</v>
      </c>
      <c r="H12" s="9">
        <v>4.2350000000000003</v>
      </c>
      <c r="I12" s="9">
        <v>4.2</v>
      </c>
      <c r="J12" s="9">
        <v>4.2</v>
      </c>
      <c r="K12" s="9"/>
      <c r="L12" s="9"/>
      <c r="M12" s="9">
        <v>37.505000000000003</v>
      </c>
      <c r="N12" s="9">
        <v>27.041</v>
      </c>
      <c r="O12" s="9">
        <f t="shared" si="20"/>
        <v>16.753999999999998</v>
      </c>
      <c r="P12" s="9">
        <f>O12</f>
        <v>16.753999999999998</v>
      </c>
      <c r="Q12" s="9">
        <f t="shared" ref="Q12:V12" si="22">P12</f>
        <v>16.753999999999998</v>
      </c>
      <c r="R12" s="9">
        <f t="shared" si="22"/>
        <v>16.753999999999998</v>
      </c>
      <c r="S12" s="9">
        <f t="shared" si="22"/>
        <v>16.753999999999998</v>
      </c>
      <c r="T12" s="9">
        <f t="shared" si="22"/>
        <v>16.753999999999998</v>
      </c>
      <c r="U12" s="9">
        <f t="shared" si="22"/>
        <v>16.753999999999998</v>
      </c>
      <c r="V12" s="9">
        <f t="shared" si="22"/>
        <v>16.753999999999998</v>
      </c>
      <c r="W12" s="9"/>
      <c r="X12" s="9"/>
      <c r="Y12" s="9"/>
      <c r="Z12" s="9"/>
      <c r="AA12" s="9"/>
      <c r="AB12" s="9"/>
    </row>
    <row r="13" spans="1:28" x14ac:dyDescent="0.2">
      <c r="B13" s="2" t="s">
        <v>26</v>
      </c>
      <c r="C13" s="9">
        <f>C9-SUM(C10:C12)</f>
        <v>8.5910000000000011</v>
      </c>
      <c r="D13" s="9">
        <f t="shared" ref="D13:G13" si="23">D9-SUM(D10:D12)</f>
        <v>13.929999999999996</v>
      </c>
      <c r="E13" s="9">
        <f t="shared" si="23"/>
        <v>16.572000000000003</v>
      </c>
      <c r="F13" s="9">
        <f t="shared" si="23"/>
        <v>16.354999999999976</v>
      </c>
      <c r="G13" s="9">
        <f t="shared" si="23"/>
        <v>19.255999999999993</v>
      </c>
      <c r="H13" s="9">
        <f>H9-SUM(H10:H12)</f>
        <v>24.555000000000007</v>
      </c>
      <c r="I13" s="9">
        <f t="shared" ref="I13:J13" si="24">I9-SUM(I10:I12)</f>
        <v>30.497449999999986</v>
      </c>
      <c r="J13" s="9">
        <f t="shared" si="24"/>
        <v>34.956012499999993</v>
      </c>
      <c r="K13" s="9"/>
      <c r="L13" s="9"/>
      <c r="M13" s="9">
        <f t="shared" ref="M13" si="25">M9-SUM(M10:M12)</f>
        <v>13.034999999999997</v>
      </c>
      <c r="N13" s="9">
        <f t="shared" ref="N13" si="26">N9-SUM(N10:N12)</f>
        <v>55.447999999999979</v>
      </c>
      <c r="O13" s="9">
        <f t="shared" ref="O13" si="27">O9-SUM(O10:O12)</f>
        <v>109.26446250000001</v>
      </c>
      <c r="P13" s="9">
        <f t="shared" ref="P13" si="28">P9-SUM(P10:P12)</f>
        <v>159.73164192499999</v>
      </c>
      <c r="Q13" s="9">
        <f t="shared" ref="Q13" si="29">Q9-SUM(Q10:Q12)</f>
        <v>218.1607820427501</v>
      </c>
      <c r="R13" s="9">
        <f t="shared" ref="R13" si="30">R9-SUM(R10:R12)</f>
        <v>285.81038009638257</v>
      </c>
      <c r="S13" s="9">
        <f t="shared" ref="S13" si="31">S9-SUM(S10:S12)</f>
        <v>364.13454992711712</v>
      </c>
      <c r="T13" s="9">
        <f t="shared" ref="T13" si="32">T9-SUM(T10:T12)</f>
        <v>454.81337377138487</v>
      </c>
      <c r="U13" s="9">
        <f t="shared" ref="U13" si="33">U9-SUM(U10:U12)</f>
        <v>559.78795978312519</v>
      </c>
      <c r="V13" s="9">
        <f t="shared" ref="V13" si="34">V9-SUM(V10:V12)</f>
        <v>681.30093472709029</v>
      </c>
      <c r="W13" s="9"/>
      <c r="X13" s="9"/>
      <c r="Y13" s="9"/>
      <c r="Z13" s="9"/>
      <c r="AA13" s="9"/>
      <c r="AB13" s="9"/>
    </row>
    <row r="14" spans="1:28" x14ac:dyDescent="0.2">
      <c r="B14" s="2" t="s">
        <v>27</v>
      </c>
      <c r="C14" s="9">
        <v>10.792999999999999</v>
      </c>
      <c r="D14" s="9">
        <v>12.917</v>
      </c>
      <c r="E14" s="9">
        <v>11.984999999999999</v>
      </c>
      <c r="F14" s="9">
        <f t="shared" ref="F14:F16" si="35">N14-SUM(C14:E14)</f>
        <v>10.311999999999998</v>
      </c>
      <c r="G14" s="9">
        <v>7.1849999999999996</v>
      </c>
      <c r="H14" s="9">
        <v>6.6689999999999996</v>
      </c>
      <c r="I14" s="9">
        <f>H14*(1-2%)</f>
        <v>6.5356199999999998</v>
      </c>
      <c r="J14" s="9">
        <f t="shared" ref="J14" si="36">I14*(1-2%)</f>
        <v>6.4049075999999996</v>
      </c>
      <c r="K14" s="9"/>
      <c r="L14" s="9"/>
      <c r="M14" s="9">
        <v>31.538</v>
      </c>
      <c r="N14" s="9">
        <v>46.006999999999998</v>
      </c>
      <c r="O14" s="9">
        <f t="shared" ref="O14:O16" si="37">SUM(G14:J14)</f>
        <v>26.794527600000002</v>
      </c>
      <c r="P14" s="9">
        <f>O14*(1-2%)</f>
        <v>26.258637048000001</v>
      </c>
      <c r="Q14" s="9">
        <f t="shared" ref="Q14:V14" si="38">P14*(1-2%)</f>
        <v>25.733464307039998</v>
      </c>
      <c r="R14" s="9">
        <f t="shared" si="38"/>
        <v>25.218795020899197</v>
      </c>
      <c r="S14" s="9">
        <f t="shared" si="38"/>
        <v>24.714419120481214</v>
      </c>
      <c r="T14" s="9">
        <f t="shared" si="38"/>
        <v>24.220130738071589</v>
      </c>
      <c r="U14" s="9">
        <f t="shared" si="38"/>
        <v>23.735728123310157</v>
      </c>
      <c r="V14" s="9">
        <f t="shared" si="38"/>
        <v>23.261013560843953</v>
      </c>
      <c r="W14" s="9"/>
      <c r="X14" s="9"/>
      <c r="Y14" s="9"/>
      <c r="Z14" s="9"/>
      <c r="AA14" s="9"/>
      <c r="AB14" s="9"/>
    </row>
    <row r="15" spans="1:28" x14ac:dyDescent="0.2">
      <c r="B15" s="2" t="s">
        <v>28</v>
      </c>
      <c r="C15" s="9">
        <v>0.123</v>
      </c>
      <c r="D15" s="9">
        <v>0.16900000000000001</v>
      </c>
      <c r="E15" s="9">
        <v>-0.39</v>
      </c>
      <c r="F15" s="9">
        <f t="shared" si="35"/>
        <v>-11.398999999999999</v>
      </c>
      <c r="G15" s="9">
        <v>-0.11700000000000001</v>
      </c>
      <c r="H15" s="9">
        <v>-0.22700000000000001</v>
      </c>
      <c r="I15" s="9">
        <v>-2</v>
      </c>
      <c r="J15" s="9">
        <v>-2</v>
      </c>
      <c r="K15" s="9"/>
      <c r="L15" s="9"/>
      <c r="M15" s="9">
        <v>-2.7989999999999999</v>
      </c>
      <c r="N15" s="9">
        <f>0.085-11.582</f>
        <v>-11.497</v>
      </c>
      <c r="O15" s="9">
        <f t="shared" si="37"/>
        <v>-4.3439999999999994</v>
      </c>
      <c r="P15" s="9">
        <f>O15</f>
        <v>-4.3439999999999994</v>
      </c>
      <c r="Q15" s="9">
        <f t="shared" ref="Q15:V15" si="39">P15</f>
        <v>-4.3439999999999994</v>
      </c>
      <c r="R15" s="9">
        <f t="shared" si="39"/>
        <v>-4.3439999999999994</v>
      </c>
      <c r="S15" s="9">
        <f t="shared" si="39"/>
        <v>-4.3439999999999994</v>
      </c>
      <c r="T15" s="9">
        <f t="shared" si="39"/>
        <v>-4.3439999999999994</v>
      </c>
      <c r="U15" s="9">
        <f t="shared" si="39"/>
        <v>-4.3439999999999994</v>
      </c>
      <c r="V15" s="9">
        <f t="shared" si="39"/>
        <v>-4.3439999999999994</v>
      </c>
      <c r="W15" s="9"/>
      <c r="X15" s="9"/>
      <c r="Y15" s="9"/>
      <c r="Z15" s="9"/>
      <c r="AA15" s="9"/>
      <c r="AB15" s="9"/>
    </row>
    <row r="16" spans="1:28" x14ac:dyDescent="0.2">
      <c r="B16" s="2" t="s">
        <v>29</v>
      </c>
      <c r="C16" s="9">
        <v>15.317</v>
      </c>
      <c r="D16" s="9">
        <v>-7.0979999999999999</v>
      </c>
      <c r="E16" s="9">
        <v>3.3620000000000001</v>
      </c>
      <c r="F16" s="9">
        <f t="shared" si="35"/>
        <v>38.107999999999997</v>
      </c>
      <c r="G16" s="9">
        <v>18.68</v>
      </c>
      <c r="H16" s="9">
        <v>35.118000000000002</v>
      </c>
      <c r="I16" s="9">
        <v>35</v>
      </c>
      <c r="J16" s="9">
        <v>35</v>
      </c>
      <c r="K16" s="9"/>
      <c r="L16" s="9"/>
      <c r="M16" s="9">
        <v>-21.295000000000002</v>
      </c>
      <c r="N16" s="9">
        <v>49.689</v>
      </c>
      <c r="O16" s="9">
        <f t="shared" si="37"/>
        <v>123.798</v>
      </c>
      <c r="P16" s="9">
        <f>O16*(1-10%)</f>
        <v>111.4182</v>
      </c>
      <c r="Q16" s="9">
        <f t="shared" ref="Q16:V16" si="40">P16*(1-10%)</f>
        <v>100.27638</v>
      </c>
      <c r="R16" s="9">
        <f t="shared" si="40"/>
        <v>90.248742000000007</v>
      </c>
      <c r="S16" s="9">
        <f t="shared" si="40"/>
        <v>81.223867800000008</v>
      </c>
      <c r="T16" s="9">
        <f t="shared" si="40"/>
        <v>73.101481020000008</v>
      </c>
      <c r="U16" s="9">
        <f t="shared" si="40"/>
        <v>65.791332918000009</v>
      </c>
      <c r="V16" s="9">
        <f t="shared" si="40"/>
        <v>59.212199626200011</v>
      </c>
      <c r="W16" s="9"/>
      <c r="X16" s="9"/>
      <c r="Y16" s="9"/>
      <c r="Z16" s="9"/>
      <c r="AA16" s="9"/>
      <c r="AB16" s="9"/>
    </row>
    <row r="17" spans="2:28" x14ac:dyDescent="0.2">
      <c r="B17" s="2" t="s">
        <v>30</v>
      </c>
      <c r="C17" s="9">
        <f t="shared" ref="C17:G17" si="41">C13-C14+C15-C16</f>
        <v>-17.395999999999997</v>
      </c>
      <c r="D17" s="9">
        <f>D13-D14+D15-D16</f>
        <v>8.2799999999999958</v>
      </c>
      <c r="E17" s="9">
        <f t="shared" si="41"/>
        <v>0.83500000000000352</v>
      </c>
      <c r="F17" s="9">
        <f t="shared" si="41"/>
        <v>-43.46400000000002</v>
      </c>
      <c r="G17" s="9">
        <f t="shared" si="41"/>
        <v>-6.7260000000000062</v>
      </c>
      <c r="H17" s="9">
        <f>H13-H14+H15-H16</f>
        <v>-17.458999999999996</v>
      </c>
      <c r="I17" s="9">
        <f t="shared" ref="I17:J17" si="42">I13-I14+I15-I16</f>
        <v>-13.038170000000015</v>
      </c>
      <c r="J17" s="9">
        <f t="shared" si="42"/>
        <v>-8.4488951000000085</v>
      </c>
      <c r="K17" s="9"/>
      <c r="L17" s="9"/>
      <c r="M17" s="9">
        <f t="shared" ref="M17" si="43">M13-M14+M15-M16</f>
        <v>-7.0000000000014495E-3</v>
      </c>
      <c r="N17" s="9">
        <f t="shared" ref="N17" si="44">N13-N14+N15-N16</f>
        <v>-51.745000000000019</v>
      </c>
      <c r="O17" s="9">
        <f t="shared" ref="O17" si="45">O13-O14+O15-O16</f>
        <v>-45.672065099999998</v>
      </c>
      <c r="P17" s="9">
        <f t="shared" ref="P17" si="46">P13-P14+P15-P16</f>
        <v>17.710804877000001</v>
      </c>
      <c r="Q17" s="9">
        <f t="shared" ref="Q17" si="47">Q13-Q14+Q15-Q16</f>
        <v>87.806937735710093</v>
      </c>
      <c r="R17" s="9">
        <f t="shared" ref="R17" si="48">R13-R14+R15-R16</f>
        <v>165.99884307548336</v>
      </c>
      <c r="S17" s="9">
        <f t="shared" ref="S17" si="49">S13-S14+S15-S16</f>
        <v>253.85226300663589</v>
      </c>
      <c r="T17" s="9">
        <f t="shared" ref="T17" si="50">T13-T14+T15-T16</f>
        <v>353.1477620133133</v>
      </c>
      <c r="U17" s="9">
        <f t="shared" ref="U17" si="51">U13-U14+U15-U16</f>
        <v>465.91689874181492</v>
      </c>
      <c r="V17" s="9">
        <f t="shared" ref="V17" si="52">V13-V14+V15-V16</f>
        <v>594.4837215400463</v>
      </c>
      <c r="W17" s="9"/>
      <c r="X17" s="9"/>
      <c r="Y17" s="9"/>
      <c r="Z17" s="9"/>
      <c r="AA17" s="9"/>
      <c r="AB17" s="9"/>
    </row>
    <row r="18" spans="2:28" x14ac:dyDescent="0.2">
      <c r="B18" s="2" t="s">
        <v>31</v>
      </c>
      <c r="C18" s="9">
        <v>15.503</v>
      </c>
      <c r="D18" s="9">
        <v>-14.051</v>
      </c>
      <c r="E18" s="9">
        <v>1.272</v>
      </c>
      <c r="F18" s="9">
        <f>N18-SUM(C18:E18)</f>
        <v>1.2989999999999995</v>
      </c>
      <c r="G18" s="9">
        <v>6.726</v>
      </c>
      <c r="H18" s="9">
        <v>4.9649999999999999</v>
      </c>
      <c r="I18" s="9">
        <f>I17*-50%</f>
        <v>6.5190850000000076</v>
      </c>
      <c r="J18" s="9">
        <f>J17*-50%</f>
        <v>4.2244475500000043</v>
      </c>
      <c r="K18" s="9"/>
      <c r="L18" s="9"/>
      <c r="M18" s="9">
        <v>-0.85899999999999999</v>
      </c>
      <c r="N18" s="9">
        <v>4.0229999999999997</v>
      </c>
      <c r="O18" s="9">
        <f t="shared" ref="O18" si="53">SUM(G18:J18)</f>
        <v>22.434532550000011</v>
      </c>
      <c r="P18" s="9">
        <f>P17*17%</f>
        <v>3.0108368290900005</v>
      </c>
      <c r="Q18" s="9">
        <f t="shared" ref="Q18:V18" si="54">Q17*17%</f>
        <v>14.927179415070716</v>
      </c>
      <c r="R18" s="9">
        <f t="shared" si="54"/>
        <v>28.219803322832174</v>
      </c>
      <c r="S18" s="9">
        <f t="shared" si="54"/>
        <v>43.154884711128105</v>
      </c>
      <c r="T18" s="9">
        <f t="shared" si="54"/>
        <v>60.035119542263267</v>
      </c>
      <c r="U18" s="9">
        <f t="shared" si="54"/>
        <v>79.205872786108543</v>
      </c>
      <c r="V18" s="9">
        <f t="shared" si="54"/>
        <v>101.06223266180788</v>
      </c>
      <c r="W18" s="9"/>
      <c r="X18" s="9"/>
      <c r="Y18" s="9"/>
      <c r="Z18" s="9"/>
      <c r="AA18" s="9"/>
      <c r="AB18" s="9"/>
    </row>
    <row r="19" spans="2:28" x14ac:dyDescent="0.2">
      <c r="B19" s="2" t="s">
        <v>32</v>
      </c>
      <c r="C19" s="9">
        <f t="shared" ref="C19:G19" si="55">C17-C18</f>
        <v>-32.899000000000001</v>
      </c>
      <c r="D19" s="9">
        <f t="shared" si="55"/>
        <v>22.330999999999996</v>
      </c>
      <c r="E19" s="9">
        <f t="shared" si="55"/>
        <v>-0.4369999999999965</v>
      </c>
      <c r="F19" s="9">
        <f t="shared" si="55"/>
        <v>-44.763000000000019</v>
      </c>
      <c r="G19" s="9">
        <f t="shared" si="55"/>
        <v>-13.452000000000005</v>
      </c>
      <c r="H19" s="9">
        <f>H17-H18</f>
        <v>-22.423999999999996</v>
      </c>
      <c r="I19" s="9">
        <f t="shared" ref="I19:J19" si="56">I17-I18</f>
        <v>-19.557255000000023</v>
      </c>
      <c r="J19" s="9">
        <f t="shared" si="56"/>
        <v>-12.673342650000013</v>
      </c>
      <c r="K19" s="9"/>
      <c r="L19" s="9"/>
      <c r="M19" s="9">
        <f>M17-M18</f>
        <v>0.85199999999999854</v>
      </c>
      <c r="N19" s="9">
        <f>N17-N18</f>
        <v>-55.768000000000015</v>
      </c>
      <c r="O19" s="9">
        <f>O17-O18</f>
        <v>-68.106597650000012</v>
      </c>
      <c r="P19" s="9">
        <f t="shared" ref="P19:V19" si="57">P17-P18</f>
        <v>14.699968047910001</v>
      </c>
      <c r="Q19" s="9">
        <f t="shared" si="57"/>
        <v>72.879758320639382</v>
      </c>
      <c r="R19" s="9">
        <f t="shared" si="57"/>
        <v>137.77903975265119</v>
      </c>
      <c r="S19" s="9">
        <f t="shared" si="57"/>
        <v>210.6973782955078</v>
      </c>
      <c r="T19" s="9">
        <f t="shared" si="57"/>
        <v>293.11264247105004</v>
      </c>
      <c r="U19" s="9">
        <f t="shared" si="57"/>
        <v>386.71102595570636</v>
      </c>
      <c r="V19" s="9">
        <f t="shared" si="57"/>
        <v>493.42148887823839</v>
      </c>
      <c r="W19" s="9"/>
      <c r="X19" s="9"/>
      <c r="Y19" s="9"/>
      <c r="Z19" s="9"/>
      <c r="AA19" s="9"/>
      <c r="AB19" s="9"/>
    </row>
    <row r="20" spans="2:28" x14ac:dyDescent="0.2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">
      <c r="B21" s="2" t="s">
        <v>33</v>
      </c>
      <c r="C21" s="9">
        <f t="shared" ref="C21:G21" si="58">C19/C22</f>
        <v>-0.12024491600280959</v>
      </c>
      <c r="D21" s="9">
        <f t="shared" si="58"/>
        <v>0.12841547290574984</v>
      </c>
      <c r="E21" s="9">
        <f t="shared" si="58"/>
        <v>-2.5098555624070646E-3</v>
      </c>
      <c r="F21" s="9">
        <f t="shared" si="58"/>
        <v>-0.25570298982961548</v>
      </c>
      <c r="G21" s="9">
        <f t="shared" si="58"/>
        <v>-7.6642451233890213E-2</v>
      </c>
      <c r="H21" s="9">
        <f>H19/H22</f>
        <v>-0.1276433767007929</v>
      </c>
      <c r="I21" s="9">
        <f t="shared" ref="I21:J21" si="59">I19/I22</f>
        <v>-0.11132510110588963</v>
      </c>
      <c r="J21" s="9">
        <f t="shared" si="59"/>
        <v>-7.2140039686593688E-2</v>
      </c>
      <c r="K21" s="9"/>
      <c r="L21" s="9"/>
      <c r="M21" s="9">
        <f t="shared" ref="M21:O21" si="60">M19/M22</f>
        <v>5.3964170261137411E-3</v>
      </c>
      <c r="N21" s="9">
        <f t="shared" si="60"/>
        <v>-0.32019196452175669</v>
      </c>
      <c r="O21" s="9">
        <f t="shared" si="60"/>
        <v>-0.3877695322548147</v>
      </c>
      <c r="P21" s="9">
        <f t="shared" ref="P21" si="61">P19/P22</f>
        <v>8.3695264934421254E-2</v>
      </c>
      <c r="Q21" s="9">
        <f t="shared" ref="Q21" si="62">Q19/Q22</f>
        <v>0.41494584621697467</v>
      </c>
      <c r="R21" s="9">
        <f t="shared" ref="R21" si="63">R19/R22</f>
        <v>0.7844543060859106</v>
      </c>
      <c r="S21" s="9">
        <f t="shared" ref="S21" si="64">S19/S22</f>
        <v>1.1996198114143322</v>
      </c>
      <c r="T21" s="9">
        <f t="shared" ref="T21" si="65">T19/T22</f>
        <v>1.6688567068505116</v>
      </c>
      <c r="U21" s="9">
        <f t="shared" ref="U21" si="66">U19/U22</f>
        <v>2.2017654504375868</v>
      </c>
      <c r="V21" s="9">
        <f t="shared" ref="V21" si="67">V19/V22</f>
        <v>2.8093287074778535</v>
      </c>
      <c r="W21" s="9"/>
      <c r="X21" s="9"/>
      <c r="Y21" s="9"/>
      <c r="Z21" s="9"/>
      <c r="AA21" s="9"/>
      <c r="AB21" s="9"/>
    </row>
    <row r="22" spans="2:28" x14ac:dyDescent="0.2">
      <c r="B22" s="2" t="s">
        <v>3</v>
      </c>
      <c r="C22" s="9">
        <v>273.59992499999998</v>
      </c>
      <c r="D22" s="9">
        <v>173.89649</v>
      </c>
      <c r="E22" s="9">
        <v>174.11360500000001</v>
      </c>
      <c r="F22" s="9">
        <v>175.058571</v>
      </c>
      <c r="G22" s="9">
        <v>175.51630700000001</v>
      </c>
      <c r="H22" s="9">
        <v>175.67695699999999</v>
      </c>
      <c r="I22" s="9">
        <v>175.67695699999999</v>
      </c>
      <c r="J22" s="9">
        <v>175.67695699999999</v>
      </c>
      <c r="K22" s="9"/>
      <c r="L22" s="9"/>
      <c r="M22" s="9">
        <v>157.88253499999999</v>
      </c>
      <c r="N22" s="9">
        <v>174.17051699999999</v>
      </c>
      <c r="O22" s="9">
        <f>AVERAGE(G22:J22)</f>
        <v>175.63679450000001</v>
      </c>
      <c r="P22" s="9">
        <f>O22</f>
        <v>175.63679450000001</v>
      </c>
      <c r="Q22" s="9">
        <f t="shared" ref="Q22:V22" si="68">P22</f>
        <v>175.63679450000001</v>
      </c>
      <c r="R22" s="9">
        <f t="shared" si="68"/>
        <v>175.63679450000001</v>
      </c>
      <c r="S22" s="9">
        <f t="shared" si="68"/>
        <v>175.63679450000001</v>
      </c>
      <c r="T22" s="9">
        <f t="shared" si="68"/>
        <v>175.63679450000001</v>
      </c>
      <c r="U22" s="9">
        <f t="shared" si="68"/>
        <v>175.63679450000001</v>
      </c>
      <c r="V22" s="9">
        <f t="shared" si="68"/>
        <v>175.63679450000001</v>
      </c>
      <c r="W22" s="9"/>
      <c r="X22" s="9"/>
      <c r="Y22" s="9"/>
      <c r="Z22" s="9"/>
      <c r="AA22" s="9"/>
      <c r="AB22" s="9"/>
    </row>
    <row r="23" spans="2:28" x14ac:dyDescent="0.2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2:28" x14ac:dyDescent="0.2">
      <c r="B24" s="2" t="s">
        <v>37</v>
      </c>
      <c r="C24" s="9"/>
      <c r="D24" s="9"/>
      <c r="E24" s="9"/>
      <c r="F24" s="9"/>
      <c r="G24" s="12">
        <f>G7/C7-1</f>
        <v>0.35005106703219924</v>
      </c>
      <c r="H24" s="12">
        <f>H7/D7-1</f>
        <v>0.33811628587214404</v>
      </c>
      <c r="I24" s="12">
        <f t="shared" ref="I24:J24" si="69">I7/E7-1</f>
        <v>0.2589313672464344</v>
      </c>
      <c r="J24" s="12">
        <f t="shared" si="69"/>
        <v>0.29345503981355625</v>
      </c>
      <c r="K24" s="9"/>
      <c r="L24" s="9"/>
      <c r="M24" s="9"/>
      <c r="N24" s="12">
        <f>N7/M7-1</f>
        <v>0.33164628361920867</v>
      </c>
      <c r="O24" s="12">
        <f>O7/N7-1</f>
        <v>0.30686084615947418</v>
      </c>
      <c r="P24" s="12">
        <f t="shared" ref="P24:V24" si="70">P7/O7-1</f>
        <v>0.15500000000000003</v>
      </c>
      <c r="Q24" s="12">
        <f t="shared" si="70"/>
        <v>0.15500000000000025</v>
      </c>
      <c r="R24" s="12">
        <f t="shared" si="70"/>
        <v>0.15500000000000003</v>
      </c>
      <c r="S24" s="12">
        <f t="shared" si="70"/>
        <v>0.15500000000000003</v>
      </c>
      <c r="T24" s="12">
        <f t="shared" si="70"/>
        <v>0.15500000000000025</v>
      </c>
      <c r="U24" s="12">
        <f t="shared" si="70"/>
        <v>0.15500000000000003</v>
      </c>
      <c r="V24" s="12">
        <f t="shared" si="70"/>
        <v>0.15500000000000003</v>
      </c>
      <c r="W24" s="9"/>
      <c r="X24" s="9"/>
      <c r="Y24" s="9"/>
      <c r="Z24" s="9"/>
      <c r="AA24" s="9"/>
      <c r="AB24" s="9"/>
    </row>
    <row r="25" spans="2:28" x14ac:dyDescent="0.2">
      <c r="B25" s="2" t="s">
        <v>38</v>
      </c>
      <c r="C25" s="12">
        <f t="shared" ref="C25:G25" si="71">C9/C7</f>
        <v>0.73454102384919995</v>
      </c>
      <c r="D25" s="12">
        <f t="shared" si="71"/>
        <v>0.73821053657902436</v>
      </c>
      <c r="E25" s="12">
        <f t="shared" si="71"/>
        <v>0.74034273677018991</v>
      </c>
      <c r="F25" s="12">
        <f t="shared" si="71"/>
        <v>0.74627528230169504</v>
      </c>
      <c r="G25" s="12">
        <f t="shared" si="71"/>
        <v>0.73959784989050359</v>
      </c>
      <c r="H25" s="12">
        <f>H9/H7</f>
        <v>0.74498755237112158</v>
      </c>
      <c r="I25" s="12">
        <f t="shared" ref="I25:J25" si="72">I9/I7</f>
        <v>0.75071848501978511</v>
      </c>
      <c r="J25" s="12">
        <f t="shared" si="72"/>
        <v>0.75170101351351348</v>
      </c>
      <c r="K25" s="9"/>
      <c r="L25" s="9"/>
      <c r="M25" s="12">
        <f t="shared" ref="M25:Q25" si="73">M9/M7</f>
        <v>0.73704586826654361</v>
      </c>
      <c r="N25" s="12">
        <f t="shared" si="73"/>
        <v>0.74023743602974301</v>
      </c>
      <c r="O25" s="12">
        <f t="shared" si="73"/>
        <v>0.74712903677293896</v>
      </c>
      <c r="P25" s="12">
        <f t="shared" si="73"/>
        <v>0.77449602413517493</v>
      </c>
      <c r="Q25" s="12">
        <f t="shared" si="73"/>
        <v>0.79890121632833788</v>
      </c>
      <c r="R25" s="12">
        <f t="shared" ref="R25:V25" si="74">R9/R7</f>
        <v>0.82066515395514106</v>
      </c>
      <c r="S25" s="12">
        <f t="shared" si="74"/>
        <v>0.84007368707687902</v>
      </c>
      <c r="T25" s="12">
        <f t="shared" si="74"/>
        <v>0.85738172960102643</v>
      </c>
      <c r="U25" s="12">
        <f t="shared" si="74"/>
        <v>0.87281660734983302</v>
      </c>
      <c r="V25" s="12">
        <f t="shared" si="74"/>
        <v>0.88658104378383373</v>
      </c>
      <c r="W25" s="9"/>
      <c r="X25" s="9"/>
      <c r="Y25" s="9"/>
      <c r="Z25" s="9"/>
      <c r="AA25" s="9"/>
      <c r="AB25" s="9"/>
    </row>
    <row r="26" spans="2:28" x14ac:dyDescent="0.2">
      <c r="B26" s="2" t="s">
        <v>39</v>
      </c>
      <c r="C26" s="12">
        <f t="shared" ref="C26:G26" si="75">C13/C7</f>
        <v>0.1539357451307137</v>
      </c>
      <c r="D26" s="12">
        <f t="shared" si="75"/>
        <v>0.22636419773148295</v>
      </c>
      <c r="E26" s="12">
        <f t="shared" si="75"/>
        <v>0.23587349483332865</v>
      </c>
      <c r="F26" s="12">
        <f t="shared" si="75"/>
        <v>0.22688178009599616</v>
      </c>
      <c r="G26" s="12">
        <f t="shared" si="75"/>
        <v>0.25557103988320384</v>
      </c>
      <c r="H26" s="12">
        <f>H13/H7</f>
        <v>0.29819661181613949</v>
      </c>
      <c r="I26" s="12">
        <f t="shared" ref="I26:J26" si="76">I13/I7</f>
        <v>0.34479875635952506</v>
      </c>
      <c r="J26" s="12">
        <f t="shared" si="76"/>
        <v>0.37490360896610891</v>
      </c>
      <c r="K26" s="9"/>
      <c r="L26" s="9"/>
      <c r="M26" s="12">
        <f t="shared" ref="M26:Q26" si="77">M13/M7</f>
        <v>6.6841012229828467E-2</v>
      </c>
      <c r="N26" s="12">
        <f t="shared" si="77"/>
        <v>0.21351529317535065</v>
      </c>
      <c r="O26" s="12">
        <f t="shared" si="77"/>
        <v>0.3219531572278862</v>
      </c>
      <c r="P26" s="12">
        <f t="shared" si="77"/>
        <v>0.40749541479892409</v>
      </c>
      <c r="Q26" s="12">
        <f t="shared" si="77"/>
        <v>0.48186620413850406</v>
      </c>
      <c r="R26" s="12">
        <f t="shared" ref="R26:V26" si="78">R13/R7</f>
        <v>0.54657001123104154</v>
      </c>
      <c r="S26" s="12">
        <f t="shared" si="78"/>
        <v>0.6029033618037134</v>
      </c>
      <c r="T26" s="12">
        <f t="shared" si="78"/>
        <v>0.65198418326897778</v>
      </c>
      <c r="U26" s="12">
        <f t="shared" si="78"/>
        <v>0.69477695109356696</v>
      </c>
      <c r="V26" s="12">
        <f t="shared" si="78"/>
        <v>0.7321142326916622</v>
      </c>
      <c r="W26" s="9"/>
      <c r="X26" s="9"/>
      <c r="Y26" s="9"/>
      <c r="Z26" s="9"/>
      <c r="AA26" s="9"/>
      <c r="AB26" s="9"/>
    </row>
    <row r="27" spans="2:28" x14ac:dyDescent="0.2">
      <c r="B27" s="2" t="s">
        <v>40</v>
      </c>
      <c r="C27" s="12">
        <f t="shared" ref="C27:G27" si="79">C18/C17</f>
        <v>-0.89118188089215922</v>
      </c>
      <c r="D27" s="12">
        <f t="shared" si="79"/>
        <v>-1.6969806763285034</v>
      </c>
      <c r="E27" s="12">
        <f t="shared" si="79"/>
        <v>1.5233532934131673</v>
      </c>
      <c r="F27" s="12">
        <f t="shared" si="79"/>
        <v>-2.9886802871341774E-2</v>
      </c>
      <c r="G27" s="12">
        <f t="shared" si="79"/>
        <v>-0.99999999999999911</v>
      </c>
      <c r="H27" s="12">
        <f>H18/H17</f>
        <v>-0.28438054871413032</v>
      </c>
      <c r="I27" s="12">
        <f t="shared" ref="I27:J27" si="80">I18/I17</f>
        <v>-0.5</v>
      </c>
      <c r="J27" s="12">
        <f t="shared" si="80"/>
        <v>-0.5</v>
      </c>
      <c r="K27" s="9"/>
      <c r="L27" s="9"/>
      <c r="M27" s="12">
        <f t="shared" ref="M27:Q27" si="81">M18/M17</f>
        <v>122.7142857142603</v>
      </c>
      <c r="N27" s="12">
        <f t="shared" si="81"/>
        <v>-7.7746642187650941E-2</v>
      </c>
      <c r="O27" s="12">
        <f t="shared" si="81"/>
        <v>-0.49120906840711287</v>
      </c>
      <c r="P27" s="12">
        <f t="shared" si="81"/>
        <v>0.17</v>
      </c>
      <c r="Q27" s="12">
        <f t="shared" si="81"/>
        <v>0.17</v>
      </c>
      <c r="R27" s="12">
        <f t="shared" ref="R27:V27" si="82">R18/R17</f>
        <v>0.17</v>
      </c>
      <c r="S27" s="12">
        <f t="shared" si="82"/>
        <v>0.17</v>
      </c>
      <c r="T27" s="12">
        <f t="shared" si="82"/>
        <v>0.17</v>
      </c>
      <c r="U27" s="12">
        <f t="shared" si="82"/>
        <v>0.17</v>
      </c>
      <c r="V27" s="12">
        <f t="shared" si="82"/>
        <v>0.17</v>
      </c>
      <c r="W27" s="9"/>
      <c r="X27" s="9"/>
      <c r="Y27" s="9"/>
      <c r="Z27" s="9"/>
      <c r="AA27" s="9"/>
      <c r="AB27" s="9"/>
    </row>
    <row r="28" spans="2:28" x14ac:dyDescent="0.2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8" x14ac:dyDescent="0.2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8" x14ac:dyDescent="0.2">
      <c r="B30" s="2" t="s">
        <v>34</v>
      </c>
      <c r="C30" s="9">
        <v>8.5009999999999994</v>
      </c>
      <c r="D30" s="9">
        <v>14.782999999999999</v>
      </c>
      <c r="E30" s="9">
        <v>23.116</v>
      </c>
      <c r="F30" s="9">
        <f>N30-SUM(C30:E30)</f>
        <v>-10.225999999999999</v>
      </c>
      <c r="G30" s="9">
        <v>20.449000000000002</v>
      </c>
      <c r="H30" s="9">
        <v>36.298999999999999</v>
      </c>
      <c r="I30" s="9"/>
      <c r="J30" s="9"/>
      <c r="K30" s="9"/>
      <c r="L30" s="9"/>
      <c r="M30" s="9">
        <v>50.643999999999998</v>
      </c>
      <c r="N30" s="9">
        <v>36.173999999999999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2:28" x14ac:dyDescent="0.2">
      <c r="B31" s="2" t="s">
        <v>35</v>
      </c>
      <c r="C31" s="9">
        <v>3.2000000000000001E-2</v>
      </c>
      <c r="D31" s="9">
        <v>9.5000000000000001E-2</v>
      </c>
      <c r="E31" s="9">
        <v>0.24099999999999999</v>
      </c>
      <c r="F31" s="9">
        <f t="shared" ref="F31:F32" si="83">N31-SUM(C31:E31)</f>
        <v>0.14100000000000001</v>
      </c>
      <c r="G31" s="9">
        <v>0.19500000000000001</v>
      </c>
      <c r="H31" s="9">
        <v>0.375</v>
      </c>
      <c r="I31" s="9"/>
      <c r="J31" s="9"/>
      <c r="K31" s="9"/>
      <c r="L31" s="9"/>
      <c r="M31" s="9">
        <v>0.43</v>
      </c>
      <c r="N31" s="9">
        <v>0.50900000000000001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2:28" x14ac:dyDescent="0.2">
      <c r="B32" s="2" t="s">
        <v>36</v>
      </c>
      <c r="C32" s="9">
        <f>C30-C31</f>
        <v>8.4689999999999994</v>
      </c>
      <c r="D32" s="9">
        <f>D30-D31</f>
        <v>14.687999999999999</v>
      </c>
      <c r="E32" s="9">
        <f>E30-E31</f>
        <v>22.875</v>
      </c>
      <c r="F32" s="9">
        <f t="shared" si="83"/>
        <v>-10.366999999999997</v>
      </c>
      <c r="G32" s="9">
        <f>G30-G31</f>
        <v>20.254000000000001</v>
      </c>
      <c r="H32" s="9">
        <f>H30-H31</f>
        <v>35.923999999999999</v>
      </c>
      <c r="I32" s="9"/>
      <c r="J32" s="9"/>
      <c r="K32" s="9"/>
      <c r="L32" s="9"/>
      <c r="M32" s="9">
        <f t="shared" ref="M32:N32" si="84">M30-M31</f>
        <v>50.213999999999999</v>
      </c>
      <c r="N32" s="9">
        <f t="shared" si="84"/>
        <v>35.664999999999999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3:28" x14ac:dyDescent="0.2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3:28" x14ac:dyDescent="0.2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3:28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3:28" x14ac:dyDescent="0.2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3:28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3:28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3:28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3:28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3:28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3:28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3:28" x14ac:dyDescent="0.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3:28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3:28" x14ac:dyDescent="0.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3:28" x14ac:dyDescent="0.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3:28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3:28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3:28" x14ac:dyDescent="0.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3:28" x14ac:dyDescent="0.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3:28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3:28" x14ac:dyDescent="0.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3:28" x14ac:dyDescent="0.2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3:28" x14ac:dyDescent="0.2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3:28" x14ac:dyDescent="0.2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3:28" x14ac:dyDescent="0.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3:28" x14ac:dyDescent="0.2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3:28" x14ac:dyDescent="0.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3:28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3:28" x14ac:dyDescent="0.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3:28" x14ac:dyDescent="0.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3:28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3:28" x14ac:dyDescent="0.2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3:28" x14ac:dyDescent="0.2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3:28" x14ac:dyDescent="0.2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3:28" x14ac:dyDescent="0.2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3:28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3:28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3:28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3:28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3:28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3:28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3:28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3:28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3:28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3:28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3:28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3:28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3:28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3:28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3:28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3:28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3:28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3:28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3:28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3:28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3:28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3:28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3:28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3:28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3:28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3:28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3:28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3:28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3:28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3:28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3:28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3:28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3:28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3:28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3:28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3:28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3:28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3:28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3:28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3:28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3:28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3:28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3:28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3:28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3:28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3:28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3:28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3:28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3:28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3:28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3:28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3:28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3:28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3:28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3:28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3:28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3:28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3:28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3:28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3:28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3:28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3:28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3:28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3:28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3:28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3:28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3:28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3:28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3:28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3:28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3:28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3:28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3:28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3:28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3:28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3:28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3:28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3:28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3:28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3:28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3:28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3:28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3:28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3:28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3:28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3:28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3:28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3:28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3:28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3:28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3:28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3:28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3:28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3:28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3:28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3:28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3:28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3:28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3:28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3:28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3:28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3:28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3:28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3:28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3:28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3:28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3:28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3:28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3:28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3:28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3:28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3:28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3:28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3:28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3:28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3:28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3:28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3:28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3:28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3:28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3:28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3:28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3:28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3:28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3:28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3:28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3:28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3:28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3:28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3:28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3:28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3:28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3:28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3:28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3:28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3:28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3:28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3:28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3:28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3:28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3:28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3:28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3:28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3:28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3:28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3:28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3:28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3:28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3:28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3:28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3:28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3:28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3:28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3:28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3:28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3:28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3:28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3:28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3:28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3:28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3:28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3:28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3:28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3:28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3:28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3:28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3:28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3:28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3:28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3:28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3:28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3:28" x14ac:dyDescent="0.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3:28" x14ac:dyDescent="0.2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3:28" x14ac:dyDescent="0.2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3:28" x14ac:dyDescent="0.2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3:28" x14ac:dyDescent="0.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3:28" x14ac:dyDescent="0.2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3:28" x14ac:dyDescent="0.2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3:28" x14ac:dyDescent="0.2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3:28" x14ac:dyDescent="0.2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3:28" x14ac:dyDescent="0.2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3:28" x14ac:dyDescent="0.2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3:28" x14ac:dyDescent="0.2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3:28" x14ac:dyDescent="0.2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3:28" x14ac:dyDescent="0.2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3:28" x14ac:dyDescent="0.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3:28" x14ac:dyDescent="0.2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3:28" x14ac:dyDescent="0.2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3:28" x14ac:dyDescent="0.2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3:28" x14ac:dyDescent="0.2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3:28" x14ac:dyDescent="0.2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3:28" x14ac:dyDescent="0.2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3:28" x14ac:dyDescent="0.2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3:28" x14ac:dyDescent="0.2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3:28" x14ac:dyDescent="0.2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3:28" x14ac:dyDescent="0.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3:28" x14ac:dyDescent="0.2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3:28" x14ac:dyDescent="0.2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3:28" x14ac:dyDescent="0.2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3:28" x14ac:dyDescent="0.2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3:28" x14ac:dyDescent="0.2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3:28" x14ac:dyDescent="0.2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3:28" x14ac:dyDescent="0.2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3:28" x14ac:dyDescent="0.2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3:28" x14ac:dyDescent="0.2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3:28" x14ac:dyDescent="0.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3:28" x14ac:dyDescent="0.2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3:28" x14ac:dyDescent="0.2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3:28" x14ac:dyDescent="0.2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3:28" x14ac:dyDescent="0.2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3:28" x14ac:dyDescent="0.2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3:28" x14ac:dyDescent="0.2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3:28" x14ac:dyDescent="0.2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3:28" x14ac:dyDescent="0.2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3:28" x14ac:dyDescent="0.2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3:28" x14ac:dyDescent="0.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3:28" x14ac:dyDescent="0.2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3:28" x14ac:dyDescent="0.2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3:28" x14ac:dyDescent="0.2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3:28" x14ac:dyDescent="0.2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3:28" x14ac:dyDescent="0.2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3:28" x14ac:dyDescent="0.2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3:28" x14ac:dyDescent="0.2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3:28" x14ac:dyDescent="0.2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3:28" x14ac:dyDescent="0.2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3:28" x14ac:dyDescent="0.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3:28" x14ac:dyDescent="0.2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3:28" x14ac:dyDescent="0.2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3:28" x14ac:dyDescent="0.2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3:28" x14ac:dyDescent="0.2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3:28" x14ac:dyDescent="0.2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3:28" x14ac:dyDescent="0.2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3:28" x14ac:dyDescent="0.2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3:28" x14ac:dyDescent="0.2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3:28" x14ac:dyDescent="0.2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3:28" x14ac:dyDescent="0.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3:28" x14ac:dyDescent="0.2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3:28" x14ac:dyDescent="0.2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3:28" x14ac:dyDescent="0.2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3:28" x14ac:dyDescent="0.2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3:28" x14ac:dyDescent="0.2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3:28" x14ac:dyDescent="0.2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3:28" x14ac:dyDescent="0.2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3:28" x14ac:dyDescent="0.2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3:28" x14ac:dyDescent="0.2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3:28" x14ac:dyDescent="0.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3:28" x14ac:dyDescent="0.2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3:28" x14ac:dyDescent="0.2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3:28" x14ac:dyDescent="0.2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3:28" x14ac:dyDescent="0.2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3:28" x14ac:dyDescent="0.2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3:28" x14ac:dyDescent="0.2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3:28" x14ac:dyDescent="0.2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3:28" x14ac:dyDescent="0.2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3:28" x14ac:dyDescent="0.2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3:28" x14ac:dyDescent="0.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3:28" x14ac:dyDescent="0.2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3:28" x14ac:dyDescent="0.2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3:28" x14ac:dyDescent="0.2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3:28" x14ac:dyDescent="0.2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3:28" x14ac:dyDescent="0.2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3:28" x14ac:dyDescent="0.2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3"/>
      <c r="R328" s="3"/>
      <c r="S328" s="3"/>
    </row>
    <row r="329" spans="3:28" x14ac:dyDescent="0.2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3"/>
      <c r="R329" s="3"/>
      <c r="S329" s="3"/>
    </row>
    <row r="330" spans="3:28" x14ac:dyDescent="0.2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3"/>
      <c r="R330" s="3"/>
      <c r="S330" s="3"/>
    </row>
    <row r="331" spans="3:28" x14ac:dyDescent="0.2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3"/>
      <c r="R331" s="3"/>
      <c r="S331" s="3"/>
    </row>
    <row r="332" spans="3:28" x14ac:dyDescent="0.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3"/>
      <c r="R332" s="3"/>
      <c r="S332" s="3"/>
    </row>
    <row r="333" spans="3:28" x14ac:dyDescent="0.2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3"/>
      <c r="R333" s="3"/>
      <c r="S333" s="3"/>
    </row>
    <row r="334" spans="3:28" x14ac:dyDescent="0.2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3"/>
      <c r="R334" s="3"/>
      <c r="S334" s="3"/>
    </row>
    <row r="335" spans="3:28" x14ac:dyDescent="0.2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3"/>
      <c r="R335" s="3"/>
      <c r="S335" s="3"/>
    </row>
    <row r="336" spans="3:28" x14ac:dyDescent="0.2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3"/>
      <c r="R336" s="3"/>
      <c r="S336" s="3"/>
    </row>
    <row r="337" spans="3:19" x14ac:dyDescent="0.2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3"/>
      <c r="R337" s="3"/>
      <c r="S337" s="3"/>
    </row>
    <row r="338" spans="3:19" x14ac:dyDescent="0.2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3"/>
      <c r="R338" s="3"/>
      <c r="S338" s="3"/>
    </row>
    <row r="339" spans="3:19" x14ac:dyDescent="0.2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3"/>
      <c r="R339" s="3"/>
      <c r="S339" s="3"/>
    </row>
    <row r="340" spans="3:19" x14ac:dyDescent="0.2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3"/>
      <c r="R340" s="3"/>
      <c r="S340" s="3"/>
    </row>
    <row r="341" spans="3:19" x14ac:dyDescent="0.2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3"/>
      <c r="R341" s="3"/>
      <c r="S341" s="3"/>
    </row>
    <row r="342" spans="3:19" x14ac:dyDescent="0.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3"/>
      <c r="R342" s="3"/>
      <c r="S342" s="3"/>
    </row>
    <row r="343" spans="3:19" x14ac:dyDescent="0.2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3"/>
      <c r="R343" s="3"/>
      <c r="S343" s="3"/>
    </row>
    <row r="344" spans="3:19" x14ac:dyDescent="0.2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3"/>
      <c r="R344" s="3"/>
      <c r="S344" s="3"/>
    </row>
    <row r="345" spans="3:19" x14ac:dyDescent="0.2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3"/>
      <c r="R345" s="3"/>
      <c r="S345" s="3"/>
    </row>
    <row r="346" spans="3:19" x14ac:dyDescent="0.2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3"/>
      <c r="R346" s="3"/>
      <c r="S346" s="3"/>
    </row>
    <row r="347" spans="3:19" x14ac:dyDescent="0.2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3"/>
      <c r="R347" s="3"/>
      <c r="S347" s="3"/>
    </row>
    <row r="348" spans="3:19" x14ac:dyDescent="0.2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3"/>
      <c r="R348" s="3"/>
      <c r="S348" s="3"/>
    </row>
    <row r="349" spans="3:19" x14ac:dyDescent="0.2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3"/>
      <c r="R349" s="3"/>
      <c r="S349" s="3"/>
    </row>
    <row r="350" spans="3:19" x14ac:dyDescent="0.2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3"/>
      <c r="R350" s="3"/>
      <c r="S350" s="3"/>
    </row>
    <row r="351" spans="3:19" x14ac:dyDescent="0.2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3"/>
      <c r="R351" s="3"/>
      <c r="S351" s="3"/>
    </row>
    <row r="352" spans="3:19" x14ac:dyDescent="0.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3"/>
      <c r="R352" s="3"/>
      <c r="S352" s="3"/>
    </row>
    <row r="353" spans="3:19" x14ac:dyDescent="0.2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3"/>
      <c r="R353" s="3"/>
      <c r="S353" s="3"/>
    </row>
    <row r="354" spans="3:19" x14ac:dyDescent="0.2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3"/>
      <c r="R354" s="3"/>
      <c r="S354" s="3"/>
    </row>
    <row r="355" spans="3:19" x14ac:dyDescent="0.2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3"/>
      <c r="R355" s="3"/>
      <c r="S355" s="3"/>
    </row>
    <row r="356" spans="3:19" x14ac:dyDescent="0.2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3"/>
      <c r="R356" s="3"/>
      <c r="S356" s="3"/>
    </row>
    <row r="357" spans="3:19" x14ac:dyDescent="0.2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3"/>
      <c r="R357" s="3"/>
      <c r="S357" s="3"/>
    </row>
    <row r="358" spans="3:19" x14ac:dyDescent="0.2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3"/>
      <c r="R358" s="3"/>
      <c r="S358" s="3"/>
    </row>
    <row r="359" spans="3:19" x14ac:dyDescent="0.2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3"/>
      <c r="R359" s="3"/>
      <c r="S359" s="3"/>
    </row>
    <row r="360" spans="3:19" x14ac:dyDescent="0.2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3"/>
      <c r="R360" s="3"/>
      <c r="S360" s="3"/>
    </row>
    <row r="361" spans="3:19" x14ac:dyDescent="0.2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3"/>
      <c r="R361" s="3"/>
      <c r="S361" s="3"/>
    </row>
    <row r="362" spans="3:19" x14ac:dyDescent="0.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3"/>
      <c r="R362" s="3"/>
      <c r="S362" s="3"/>
    </row>
    <row r="363" spans="3:19" x14ac:dyDescent="0.2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3"/>
      <c r="R363" s="3"/>
      <c r="S363" s="3"/>
    </row>
    <row r="364" spans="3:19" x14ac:dyDescent="0.2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3"/>
      <c r="R364" s="3"/>
      <c r="S364" s="3"/>
    </row>
    <row r="365" spans="3:19" x14ac:dyDescent="0.2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3"/>
      <c r="R365" s="3"/>
      <c r="S365" s="3"/>
    </row>
    <row r="366" spans="3:19" x14ac:dyDescent="0.2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3"/>
      <c r="R366" s="3"/>
      <c r="S366" s="3"/>
    </row>
    <row r="367" spans="3:19" x14ac:dyDescent="0.2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3"/>
      <c r="R367" s="3"/>
      <c r="S367" s="3"/>
    </row>
    <row r="368" spans="3:19" x14ac:dyDescent="0.2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3"/>
      <c r="R368" s="3"/>
      <c r="S368" s="3"/>
    </row>
    <row r="369" spans="3:19" x14ac:dyDescent="0.2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3"/>
      <c r="R369" s="3"/>
      <c r="S369" s="3"/>
    </row>
    <row r="370" spans="3:19" x14ac:dyDescent="0.2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3"/>
      <c r="R370" s="3"/>
      <c r="S370" s="3"/>
    </row>
    <row r="371" spans="3:19" x14ac:dyDescent="0.2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3"/>
      <c r="R371" s="3"/>
      <c r="S371" s="3"/>
    </row>
    <row r="372" spans="3:19" x14ac:dyDescent="0.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3"/>
      <c r="R372" s="3"/>
      <c r="S372" s="3"/>
    </row>
    <row r="373" spans="3:19" x14ac:dyDescent="0.2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3"/>
      <c r="R373" s="3"/>
      <c r="S373" s="3"/>
    </row>
    <row r="374" spans="3:19" x14ac:dyDescent="0.2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3"/>
      <c r="R374" s="3"/>
      <c r="S374" s="3"/>
    </row>
    <row r="375" spans="3:19" x14ac:dyDescent="0.2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3"/>
      <c r="R375" s="3"/>
      <c r="S375" s="3"/>
    </row>
    <row r="376" spans="3:19" x14ac:dyDescent="0.2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3"/>
      <c r="R376" s="3"/>
      <c r="S376" s="3"/>
    </row>
    <row r="377" spans="3:19" x14ac:dyDescent="0.2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3"/>
      <c r="R377" s="3"/>
      <c r="S377" s="3"/>
    </row>
    <row r="378" spans="3:19" x14ac:dyDescent="0.2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3"/>
      <c r="R378" s="3"/>
      <c r="S378" s="3"/>
    </row>
    <row r="379" spans="3:19" x14ac:dyDescent="0.2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3"/>
      <c r="R379" s="3"/>
      <c r="S379" s="3"/>
    </row>
    <row r="380" spans="3:19" x14ac:dyDescent="0.2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3"/>
      <c r="R380" s="3"/>
      <c r="S380" s="3"/>
    </row>
    <row r="381" spans="3:19" x14ac:dyDescent="0.2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3"/>
      <c r="R381" s="3"/>
      <c r="S381" s="3"/>
    </row>
    <row r="382" spans="3:19" x14ac:dyDescent="0.2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3"/>
      <c r="R382" s="3"/>
      <c r="S382" s="3"/>
    </row>
    <row r="383" spans="3:19" x14ac:dyDescent="0.2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3"/>
      <c r="R383" s="3"/>
      <c r="S383" s="3"/>
    </row>
    <row r="384" spans="3:19" x14ac:dyDescent="0.2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3"/>
      <c r="R384" s="3"/>
      <c r="S384" s="3"/>
    </row>
    <row r="385" spans="3:19" x14ac:dyDescent="0.2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3"/>
      <c r="R385" s="3"/>
      <c r="S385" s="3"/>
    </row>
    <row r="386" spans="3:19" x14ac:dyDescent="0.2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3"/>
      <c r="R386" s="3"/>
      <c r="S386" s="3"/>
    </row>
    <row r="387" spans="3:19" x14ac:dyDescent="0.2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3"/>
      <c r="R387" s="3"/>
      <c r="S387" s="3"/>
    </row>
    <row r="388" spans="3:19" x14ac:dyDescent="0.2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3"/>
      <c r="R388" s="3"/>
      <c r="S388" s="3"/>
    </row>
    <row r="389" spans="3:19" x14ac:dyDescent="0.2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3"/>
      <c r="R389" s="3"/>
      <c r="S389" s="3"/>
    </row>
    <row r="390" spans="3:1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3:1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</sheetData>
  <hyperlinks>
    <hyperlink ref="A1" location="Main!A1" display="Main" xr:uid="{82E8A513-BC04-4726-A1EA-F3279B7FDDC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2024-09-18T12:14:28Z</dcterms:created>
  <dcterms:modified xsi:type="dcterms:W3CDTF">2025-09-02T13:07:32Z</dcterms:modified>
</cp:coreProperties>
</file>