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D790AEB-70D8-4623-B282-0F31F808AF4D}" xr6:coauthVersionLast="47" xr6:coauthVersionMax="47" xr10:uidLastSave="{00000000-0000-0000-0000-000000000000}"/>
  <bookViews>
    <workbookView xWindow="225" yWindow="1950" windowWidth="38175" windowHeight="15240" xr2:uid="{20CEB54E-2453-4B61-AAC7-D7D76D478430}"/>
  </bookViews>
  <sheets>
    <sheet name="Main" sheetId="1" r:id="rId1"/>
    <sheet name="Model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6" i="2" l="1"/>
  <c r="T46" i="2"/>
  <c r="S46" i="2"/>
  <c r="R46" i="2"/>
  <c r="Q46" i="2"/>
  <c r="U45" i="2"/>
  <c r="T45" i="2"/>
  <c r="S45" i="2"/>
  <c r="R45" i="2"/>
  <c r="Q45" i="2"/>
  <c r="U44" i="2"/>
  <c r="T44" i="2"/>
  <c r="S44" i="2"/>
  <c r="R44" i="2"/>
  <c r="Q44" i="2"/>
  <c r="U43" i="2"/>
  <c r="T43" i="2"/>
  <c r="S43" i="2"/>
  <c r="R43" i="2"/>
  <c r="Q43" i="2"/>
  <c r="V46" i="2"/>
  <c r="V45" i="2"/>
  <c r="V44" i="2"/>
  <c r="V43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K46" i="2"/>
  <c r="K45" i="2"/>
  <c r="K44" i="2"/>
  <c r="K43" i="2"/>
  <c r="K51" i="2"/>
  <c r="K50" i="2"/>
  <c r="K49" i="2"/>
  <c r="K48" i="2"/>
  <c r="K47" i="2"/>
  <c r="F25" i="2"/>
  <c r="F24" i="2"/>
  <c r="F23" i="2"/>
  <c r="F22" i="2"/>
  <c r="J25" i="2"/>
  <c r="J23" i="2"/>
  <c r="J22" i="2"/>
  <c r="F20" i="2"/>
  <c r="F19" i="2"/>
  <c r="J20" i="2"/>
  <c r="J19" i="2"/>
  <c r="K15" i="2"/>
  <c r="K10" i="2"/>
  <c r="K7" i="2"/>
  <c r="K30" i="2"/>
  <c r="K29" i="2"/>
  <c r="M7" i="1"/>
  <c r="V77" i="2"/>
  <c r="V78" i="2" s="1"/>
  <c r="V80" i="2"/>
  <c r="V72" i="2"/>
  <c r="V65" i="2"/>
  <c r="V59" i="2"/>
  <c r="V30" i="2"/>
  <c r="V29" i="2"/>
  <c r="V31" i="2" s="1"/>
  <c r="V49" i="2" s="1"/>
  <c r="F30" i="2"/>
  <c r="J30" i="2"/>
  <c r="V15" i="2"/>
  <c r="J15" i="2"/>
  <c r="I15" i="2"/>
  <c r="H15" i="2"/>
  <c r="G15" i="2"/>
  <c r="F15" i="2"/>
  <c r="E15" i="2"/>
  <c r="D15" i="2"/>
  <c r="C15" i="2"/>
  <c r="J10" i="2"/>
  <c r="I10" i="2"/>
  <c r="H10" i="2"/>
  <c r="G10" i="2"/>
  <c r="F10" i="2"/>
  <c r="E10" i="2"/>
  <c r="D10" i="2"/>
  <c r="C10" i="2"/>
  <c r="I7" i="2"/>
  <c r="H7" i="2"/>
  <c r="G7" i="2"/>
  <c r="F7" i="2"/>
  <c r="E7" i="2"/>
  <c r="D7" i="2"/>
  <c r="C7" i="2"/>
  <c r="J7" i="2"/>
  <c r="V10" i="2"/>
  <c r="J47" i="2"/>
  <c r="H47" i="2"/>
  <c r="G47" i="2"/>
  <c r="I47" i="2"/>
  <c r="K31" i="2" l="1"/>
  <c r="K36" i="2" s="1"/>
  <c r="K38" i="2" s="1"/>
  <c r="K40" i="2" s="1"/>
  <c r="V66" i="2"/>
  <c r="V36" i="2"/>
  <c r="V48" i="2"/>
  <c r="V79" i="2"/>
  <c r="V81" i="2" s="1"/>
  <c r="P85" i="2"/>
  <c r="P80" i="2"/>
  <c r="P75" i="2"/>
  <c r="Q75" i="2"/>
  <c r="P69" i="2"/>
  <c r="Q69" i="2"/>
  <c r="P67" i="2"/>
  <c r="P65" i="2"/>
  <c r="Q85" i="2"/>
  <c r="R85" i="2"/>
  <c r="R75" i="2"/>
  <c r="S75" i="2"/>
  <c r="R69" i="2"/>
  <c r="S69" i="2"/>
  <c r="P35" i="2"/>
  <c r="Q35" i="2"/>
  <c r="R35" i="2"/>
  <c r="P30" i="2"/>
  <c r="Q30" i="2"/>
  <c r="R30" i="2"/>
  <c r="V51" i="2" l="1"/>
  <c r="V38" i="2"/>
  <c r="D2" i="3"/>
  <c r="E2" i="3" s="1"/>
  <c r="F2" i="3" s="1"/>
  <c r="G2" i="3" s="1"/>
  <c r="H2" i="3" s="1"/>
  <c r="I2" i="3" s="1"/>
  <c r="T93" i="2"/>
  <c r="S93" i="2"/>
  <c r="R93" i="2"/>
  <c r="Q93" i="2"/>
  <c r="P93" i="2"/>
  <c r="U93" i="2"/>
  <c r="S85" i="2"/>
  <c r="T85" i="2"/>
  <c r="U85" i="2"/>
  <c r="T75" i="2"/>
  <c r="T78" i="2"/>
  <c r="S78" i="2"/>
  <c r="R78" i="2"/>
  <c r="Q78" i="2"/>
  <c r="P78" i="2"/>
  <c r="U75" i="2"/>
  <c r="U78" i="2" s="1"/>
  <c r="S72" i="2"/>
  <c r="R72" i="2"/>
  <c r="Q72" i="2"/>
  <c r="P72" i="2"/>
  <c r="T69" i="2"/>
  <c r="T72" i="2" s="1"/>
  <c r="T79" i="2" s="1"/>
  <c r="T81" i="2" s="1"/>
  <c r="U69" i="2"/>
  <c r="U72" i="2" s="1"/>
  <c r="U65" i="2"/>
  <c r="T65" i="2"/>
  <c r="S65" i="2"/>
  <c r="R65" i="2"/>
  <c r="Q65" i="2"/>
  <c r="S59" i="2"/>
  <c r="R59" i="2"/>
  <c r="Q59" i="2"/>
  <c r="P59" i="2"/>
  <c r="U56" i="2"/>
  <c r="U59" i="2" s="1"/>
  <c r="T56" i="2"/>
  <c r="T55" i="2"/>
  <c r="T47" i="2"/>
  <c r="S35" i="2"/>
  <c r="S32" i="2"/>
  <c r="T35" i="2"/>
  <c r="T29" i="2"/>
  <c r="T48" i="2" s="1"/>
  <c r="S29" i="2"/>
  <c r="S31" i="2" s="1"/>
  <c r="J29" i="2"/>
  <c r="J31" i="2" s="1"/>
  <c r="J49" i="2" s="1"/>
  <c r="U26" i="2"/>
  <c r="R26" i="2"/>
  <c r="S47" i="2" s="1"/>
  <c r="Q26" i="2"/>
  <c r="P26" i="2"/>
  <c r="P29" i="2" s="1"/>
  <c r="P48" i="2" s="1"/>
  <c r="H35" i="2"/>
  <c r="H30" i="2"/>
  <c r="T15" i="2"/>
  <c r="S15" i="2"/>
  <c r="R15" i="2"/>
  <c r="Q15" i="2"/>
  <c r="P15" i="2"/>
  <c r="U15" i="2"/>
  <c r="T10" i="2"/>
  <c r="S10" i="2"/>
  <c r="R10" i="2"/>
  <c r="Q10" i="2"/>
  <c r="P10" i="2"/>
  <c r="U10" i="2"/>
  <c r="T7" i="2"/>
  <c r="S7" i="2"/>
  <c r="R7" i="2"/>
  <c r="Q7" i="2"/>
  <c r="P7" i="2"/>
  <c r="U7" i="2"/>
  <c r="Q2" i="2"/>
  <c r="R2" i="2" s="1"/>
  <c r="S2" i="2" s="1"/>
  <c r="T2" i="2" s="1"/>
  <c r="U2" i="2" s="1"/>
  <c r="V2" i="2" s="1"/>
  <c r="F29" i="2"/>
  <c r="F31" i="2" s="1"/>
  <c r="F36" i="2" s="1"/>
  <c r="F38" i="2" s="1"/>
  <c r="F40" i="2" s="1"/>
  <c r="E29" i="2"/>
  <c r="E31" i="2" s="1"/>
  <c r="E36" i="2" s="1"/>
  <c r="E38" i="2" s="1"/>
  <c r="E40" i="2" s="1"/>
  <c r="D29" i="2"/>
  <c r="D31" i="2" s="1"/>
  <c r="D36" i="2" s="1"/>
  <c r="D38" i="2" s="1"/>
  <c r="D40" i="2" s="1"/>
  <c r="C29" i="2"/>
  <c r="C31" i="2" s="1"/>
  <c r="C36" i="2" s="1"/>
  <c r="C38" i="2" s="1"/>
  <c r="C40" i="2" s="1"/>
  <c r="I29" i="2"/>
  <c r="I31" i="2" s="1"/>
  <c r="I49" i="2" s="1"/>
  <c r="H29" i="2"/>
  <c r="G29" i="2"/>
  <c r="G31" i="2" s="1"/>
  <c r="G36" i="2" s="1"/>
  <c r="G38" i="2" s="1"/>
  <c r="G40" i="2" s="1"/>
  <c r="M5" i="1"/>
  <c r="M8" i="1" s="1"/>
  <c r="U29" i="2" l="1"/>
  <c r="U31" i="2" s="1"/>
  <c r="V47" i="2"/>
  <c r="V50" i="2"/>
  <c r="V40" i="2"/>
  <c r="G51" i="2"/>
  <c r="T59" i="2"/>
  <c r="T66" i="2" s="1"/>
  <c r="H31" i="2"/>
  <c r="H49" i="2" s="1"/>
  <c r="S36" i="2"/>
  <c r="S38" i="2" s="1"/>
  <c r="Q79" i="2"/>
  <c r="Q81" i="2" s="1"/>
  <c r="R79" i="2"/>
  <c r="R81" i="2" s="1"/>
  <c r="S79" i="2"/>
  <c r="S81" i="2" s="1"/>
  <c r="H48" i="2"/>
  <c r="I48" i="2"/>
  <c r="C49" i="2"/>
  <c r="C51" i="2"/>
  <c r="P79" i="2"/>
  <c r="P81" i="2" s="1"/>
  <c r="S95" i="2"/>
  <c r="G48" i="2"/>
  <c r="U66" i="2"/>
  <c r="G49" i="2"/>
  <c r="S66" i="2"/>
  <c r="S48" i="2"/>
  <c r="P66" i="2"/>
  <c r="Q47" i="2"/>
  <c r="C50" i="2"/>
  <c r="Q66" i="2"/>
  <c r="R47" i="2"/>
  <c r="C48" i="2"/>
  <c r="G50" i="2"/>
  <c r="R66" i="2"/>
  <c r="U79" i="2"/>
  <c r="U81" i="2" s="1"/>
  <c r="J48" i="2"/>
  <c r="J36" i="2"/>
  <c r="Q29" i="2"/>
  <c r="P31" i="2"/>
  <c r="S49" i="2"/>
  <c r="D48" i="2"/>
  <c r="D49" i="2"/>
  <c r="D50" i="2"/>
  <c r="D51" i="2"/>
  <c r="I36" i="2"/>
  <c r="R29" i="2"/>
  <c r="E48" i="2"/>
  <c r="E49" i="2"/>
  <c r="E50" i="2"/>
  <c r="E51" i="2"/>
  <c r="U47" i="2"/>
  <c r="F48" i="2"/>
  <c r="F49" i="2"/>
  <c r="F50" i="2"/>
  <c r="F51" i="2"/>
  <c r="T31" i="2"/>
  <c r="U48" i="2" l="1"/>
  <c r="F4" i="3"/>
  <c r="S40" i="2"/>
  <c r="H36" i="2"/>
  <c r="H38" i="2" s="1"/>
  <c r="H40" i="2" s="1"/>
  <c r="S51" i="2"/>
  <c r="F6" i="3" s="1"/>
  <c r="P95" i="2"/>
  <c r="U95" i="2"/>
  <c r="T49" i="2"/>
  <c r="T95" i="2"/>
  <c r="T36" i="2"/>
  <c r="T38" i="2" s="1"/>
  <c r="R48" i="2"/>
  <c r="R31" i="2"/>
  <c r="Q48" i="2"/>
  <c r="Q31" i="2"/>
  <c r="I38" i="2"/>
  <c r="I40" i="2" s="1"/>
  <c r="I51" i="2"/>
  <c r="J38" i="2"/>
  <c r="J40" i="2" s="1"/>
  <c r="J51" i="2"/>
  <c r="U36" i="2"/>
  <c r="U49" i="2"/>
  <c r="P49" i="2"/>
  <c r="P36" i="2"/>
  <c r="S50" i="2"/>
  <c r="T51" i="2" l="1"/>
  <c r="G6" i="3" s="1"/>
  <c r="G4" i="3"/>
  <c r="T40" i="2"/>
  <c r="H51" i="2"/>
  <c r="Q95" i="2"/>
  <c r="R95" i="2"/>
  <c r="P51" i="2"/>
  <c r="C6" i="3" s="1"/>
  <c r="P38" i="2"/>
  <c r="J50" i="2"/>
  <c r="U38" i="2"/>
  <c r="U51" i="2"/>
  <c r="H6" i="3" s="1"/>
  <c r="I50" i="2"/>
  <c r="Q36" i="2"/>
  <c r="Q49" i="2"/>
  <c r="T50" i="2"/>
  <c r="R36" i="2"/>
  <c r="R49" i="2"/>
  <c r="H50" i="2"/>
  <c r="H4" i="3" l="1"/>
  <c r="U40" i="2"/>
  <c r="C4" i="3"/>
  <c r="P40" i="2"/>
  <c r="R38" i="2"/>
  <c r="R51" i="2"/>
  <c r="E6" i="3" s="1"/>
  <c r="U50" i="2"/>
  <c r="P50" i="2"/>
  <c r="Q38" i="2"/>
  <c r="Q51" i="2"/>
  <c r="D6" i="3" s="1"/>
  <c r="D4" i="3" l="1"/>
  <c r="Q40" i="2"/>
  <c r="E4" i="3"/>
  <c r="R40" i="2"/>
  <c r="Q50" i="2"/>
  <c r="R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  <author>tc={4337D5CF-E1FC-467A-A120-62EDF1A80686}</author>
  </authors>
  <commentList>
    <comment ref="B3" authorId="0" shapeId="0" xr:uid="{F5CBBABE-DFE4-4D3C-9BA7-5E7F77323B2E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Sticks in Millions</t>
        </r>
      </text>
    </comment>
    <comment ref="H30" authorId="0" shapeId="0" xr:uid="{F41D16A9-EDCD-4447-9014-3047479447E7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Asset Impairment</t>
        </r>
      </text>
    </comment>
    <comment ref="K30" authorId="1" shapeId="0" xr:uid="{4337D5CF-E1FC-467A-A120-62EDF1A80686}">
      <text>
        <t>[Threaded comment]
Your version of Excel allows you to read this threaded comment; however, any edits to it will get removed if the file is opened in a newer version of Excel. Learn more: https://go.microsoft.com/fwlink/?linkid=870924
Comment:
    Goodwill Impairment</t>
      </text>
    </comment>
    <comment ref="V34" authorId="0" shapeId="0" xr:uid="{B2214F75-A0AC-44ED-975E-F0C9F05022E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Sale of IQS Systems commercialization rights</t>
        </r>
      </text>
    </comment>
    <comment ref="H35" authorId="0" shapeId="0" xr:uid="{1888C056-6D87-4874-8230-58AD263383C5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Sale of IQOS System Commercial Rigths
</t>
        </r>
      </text>
    </comment>
    <comment ref="U70" authorId="0" shapeId="0" xr:uid="{077C1A65-502D-4A5A-934C-D29EAE74EEC3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Sale of IQOS System commercialization rights</t>
        </r>
      </text>
    </comment>
  </commentList>
</comments>
</file>

<file path=xl/sharedStrings.xml><?xml version="1.0" encoding="utf-8"?>
<sst xmlns="http://schemas.openxmlformats.org/spreadsheetml/2006/main" count="159" uniqueCount="143">
  <si>
    <t>Altria Group</t>
  </si>
  <si>
    <t>Business Model</t>
  </si>
  <si>
    <t>Price</t>
  </si>
  <si>
    <t>Shares</t>
  </si>
  <si>
    <t>MC</t>
  </si>
  <si>
    <t>Cash</t>
  </si>
  <si>
    <t>Debt</t>
  </si>
  <si>
    <t>EV</t>
  </si>
  <si>
    <t>x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</si>
  <si>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</si>
  <si>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</si>
  <si>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</si>
  <si>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</si>
  <si>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</si>
  <si>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</si>
  <si>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</si>
  <si>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</si>
  <si>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</si>
  <si>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</si>
  <si>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</si>
  <si>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Operating Profit</t>
  </si>
  <si>
    <t>Periodic benefit Income</t>
  </si>
  <si>
    <t>Earning before Tax</t>
  </si>
  <si>
    <t>Income Tax</t>
  </si>
  <si>
    <t>Net Income</t>
  </si>
  <si>
    <t>EPS</t>
  </si>
  <si>
    <t>Excercise Taxes</t>
  </si>
  <si>
    <t>Debt Expense</t>
  </si>
  <si>
    <t>Loss from Investments</t>
  </si>
  <si>
    <t>Shipment Volume</t>
  </si>
  <si>
    <t xml:space="preserve">Malboro </t>
  </si>
  <si>
    <t>Other Premium</t>
  </si>
  <si>
    <t>Discount</t>
  </si>
  <si>
    <t>Cigaretes</t>
  </si>
  <si>
    <t>Cigars</t>
  </si>
  <si>
    <t>Black &amp; Mild</t>
  </si>
  <si>
    <t>Other</t>
  </si>
  <si>
    <t>Retail Share</t>
  </si>
  <si>
    <t>Oral Tabacco</t>
  </si>
  <si>
    <t>Copenhagen</t>
  </si>
  <si>
    <t>On!</t>
  </si>
  <si>
    <t>Skoal</t>
  </si>
  <si>
    <t>Oral Products</t>
  </si>
  <si>
    <t>All other</t>
  </si>
  <si>
    <t>Revenue Growth</t>
  </si>
  <si>
    <t>Gross Margin</t>
  </si>
  <si>
    <t>Operating Margin</t>
  </si>
  <si>
    <t>Net Margin</t>
  </si>
  <si>
    <t>Tax Rate</t>
  </si>
  <si>
    <t>Balance Sheet</t>
  </si>
  <si>
    <t>Cash and Cahs Equivalents</t>
  </si>
  <si>
    <t>Account Receivables</t>
  </si>
  <si>
    <t>Inventories</t>
  </si>
  <si>
    <t>Income Tax Receivables</t>
  </si>
  <si>
    <t>Current Assets</t>
  </si>
  <si>
    <t>PP&amp;E</t>
  </si>
  <si>
    <t>Goodwill</t>
  </si>
  <si>
    <t>Intangibles</t>
  </si>
  <si>
    <t>Equity Investments</t>
  </si>
  <si>
    <t>Non-current Assets</t>
  </si>
  <si>
    <t>Total Assets</t>
  </si>
  <si>
    <t>Current Debt</t>
  </si>
  <si>
    <t>Accounts Payable</t>
  </si>
  <si>
    <t>Accrued Liabilties</t>
  </si>
  <si>
    <t>Dividends Payables</t>
  </si>
  <si>
    <t>Current Liabilties</t>
  </si>
  <si>
    <t>Deffered Gains</t>
  </si>
  <si>
    <t>Long Term Debt</t>
  </si>
  <si>
    <t>Deffered Income Tax</t>
  </si>
  <si>
    <t>Accured Pansions Cost</t>
  </si>
  <si>
    <t>Non-current Liabilties</t>
  </si>
  <si>
    <t>Total Libilties</t>
  </si>
  <si>
    <t xml:space="preserve">Shareholders Equity </t>
  </si>
  <si>
    <t>Equity and Liabilties</t>
  </si>
  <si>
    <t>Cashflow Statment</t>
  </si>
  <si>
    <t>Change in WC</t>
  </si>
  <si>
    <t>CFFO</t>
  </si>
  <si>
    <t>CapEx</t>
  </si>
  <si>
    <t>CFFI</t>
  </si>
  <si>
    <t>CFFF</t>
  </si>
  <si>
    <t>Change in Cash</t>
  </si>
  <si>
    <t>D&amp;A</t>
  </si>
  <si>
    <t>Unlevered FCF</t>
  </si>
  <si>
    <t>Main</t>
  </si>
  <si>
    <t>Ratios</t>
  </si>
  <si>
    <t>Notes</t>
  </si>
  <si>
    <t>founded 1847 as Phl Moris Company</t>
  </si>
  <si>
    <t>Until 2008 -&gt;  Phil Moris International -&gt; Spin of Phil Moris (PM)</t>
  </si>
  <si>
    <t>Altria Group responsible for US Markets, PM for Interantional Markets</t>
  </si>
  <si>
    <t>Segment</t>
  </si>
  <si>
    <t>% of Rev</t>
  </si>
  <si>
    <t>Competitors</t>
  </si>
  <si>
    <t>Cigarettes</t>
  </si>
  <si>
    <t>Brands &amp; Products</t>
  </si>
  <si>
    <t xml:space="preserve">Cigars </t>
  </si>
  <si>
    <t>Wine</t>
  </si>
  <si>
    <t>MO</t>
  </si>
  <si>
    <t>IR</t>
  </si>
  <si>
    <t>Etragskennzahlen</t>
  </si>
  <si>
    <t>Eigenkapitalrendite (ROE)</t>
  </si>
  <si>
    <t>Return on Capital Employed (ROCE)</t>
  </si>
  <si>
    <t>Return on Capital Invested (ROIC)</t>
  </si>
  <si>
    <t>Retention Rate</t>
  </si>
  <si>
    <t>Expected Growth</t>
  </si>
  <si>
    <t>Reinvestment Rate</t>
  </si>
  <si>
    <t>Kennzahlen zur finanziellen Stabilität</t>
  </si>
  <si>
    <t>EK-Quote</t>
  </si>
  <si>
    <t>Gearing</t>
  </si>
  <si>
    <t>Interest Coverage Ratio</t>
  </si>
  <si>
    <t>Net Debt / EBITDA</t>
  </si>
  <si>
    <t>Goodwill-Anteil</t>
  </si>
  <si>
    <t>Kennzahlen WC Management</t>
  </si>
  <si>
    <t>Debitorenlaufzeit</t>
  </si>
  <si>
    <t>Kreditorenlaufzeit</t>
  </si>
  <si>
    <t>Umschlaghäufigkeit der Vorräte</t>
  </si>
  <si>
    <t>Lagedauer</t>
  </si>
  <si>
    <t>Cash Conversion</t>
  </si>
  <si>
    <t>Bewertungskennzahlen</t>
  </si>
  <si>
    <t>Equitymultiplikatoren:</t>
  </si>
  <si>
    <t>Market Cap</t>
  </si>
  <si>
    <t>P/E Ratio</t>
  </si>
  <si>
    <t>PEG Ratio</t>
  </si>
  <si>
    <t>P/B Ratio</t>
  </si>
  <si>
    <t>Entitymultipliaktoren</t>
  </si>
  <si>
    <t>EV/EBITDA</t>
  </si>
  <si>
    <t>EV/EBIT</t>
  </si>
  <si>
    <t>EV/FCF</t>
  </si>
  <si>
    <t>EV/Sales</t>
  </si>
  <si>
    <t>numbers in mio USD</t>
  </si>
  <si>
    <t>Malboro Net Pack Price</t>
  </si>
  <si>
    <t>Operating Expenses</t>
  </si>
  <si>
    <t>Q125</t>
  </si>
  <si>
    <t>Q225</t>
  </si>
  <si>
    <t>Q325</t>
  </si>
  <si>
    <t>Q425</t>
  </si>
  <si>
    <t>FY25</t>
  </si>
  <si>
    <t>Total Cigarettes</t>
  </si>
  <si>
    <t>Oral Tobacco Products</t>
  </si>
  <si>
    <t>Oral Growth</t>
  </si>
  <si>
    <t>Cigaretes Shipments</t>
  </si>
  <si>
    <t>Oral Shipments</t>
  </si>
  <si>
    <t>Combustible Growth</t>
  </si>
  <si>
    <t>Combustibles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</si>
</sst>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\(#,##0.0\)"/>
    <numFmt numFmtId="165" formatCode="&quot;FY&quot;0"/>
    <numFmt numFmtId="166" formatCode="#,##0.00;\(#,##0.00\)"/>
    <numFmt numFmtId="167" formatCode="#,##0;\(#,##0\)"/>
    <numFmt numFmtId="168" formatCode="0.0%"/>
  </numFmts>
  <fonts count="1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7" fillId="0" borderId="0" xfId="2"/>
    <xf numFmtId="0" fontId="8" fillId="0" borderId="0" xfId="0" applyFont="1"/>
    <xf numFmtId="0" fontId="1" fillId="0" borderId="0" xfId="0" applyFont="1"/>
    <xf numFmtId="164" fontId="1" fillId="0" borderId="0" xfId="0" applyNumberFormat="1" applyFont="1"/>
    <xf numFmtId="0" fontId="9" fillId="0" borderId="0" xfId="2" applyFont="1"/>
    <xf numFmtId="167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167" fontId="1" fillId="0" borderId="0" xfId="0" applyNumberFormat="1" applyFont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" fillId="0" borderId="4" xfId="0" applyFont="1" applyBorder="1"/>
    <xf numFmtId="9" fontId="1" fillId="0" borderId="5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9" fontId="1" fillId="0" borderId="0" xfId="0" applyNumberFormat="1" applyFont="1"/>
    <xf numFmtId="0" fontId="1" fillId="0" borderId="8" xfId="0" applyFont="1" applyBorder="1"/>
    <xf numFmtId="0" fontId="1" fillId="0" borderId="9" xfId="0" applyFont="1" applyBorder="1"/>
    <xf numFmtId="9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7" fontId="8" fillId="0" borderId="0" xfId="0" applyNumberFormat="1" applyFont="1"/>
    <xf numFmtId="168" fontId="1" fillId="0" borderId="0" xfId="1" applyNumberFormat="1" applyFont="1"/>
    <xf numFmtId="166" fontId="1" fillId="0" borderId="0" xfId="0" applyNumberFormat="1" applyFont="1"/>
    <xf numFmtId="9" fontId="1" fillId="0" borderId="0" xfId="1" applyFont="1"/>
    <xf numFmtId="164" fontId="8" fillId="0" borderId="0" xfId="0" applyNumberFormat="1" applyFont="1"/>
    <xf numFmtId="9" fontId="8" fillId="0" borderId="0" xfId="1" applyFont="1"/>
    <xf numFmtId="0" fontId="1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7D6BAB5A-D176-4271-A9E7-FEF7ED72F135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0" dT="2025-05-18T10:16:50.65" personId="{7D6BAB5A-D176-4271-A9E7-FEF7ED72F135}" id="{4337D5CF-E1FC-467A-A120-62EDF1A80686}">
    <text>Goodwill Impairment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tria.com/Investors/at-a-glance" TargetMode="External"/><Relationship Id="rId1" Type="http://schemas.openxmlformats.org/officeDocument/2006/relationships/hyperlink" Target="https://www.sec.gov/edgar/browse/?CIK=764180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A8BF-4A3E-4042-9051-F7B6DAB83C04}">
  <dimension ref="A1:N16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3" customWidth="1"/>
    <col min="2" max="2" width="12.7109375" style="3" customWidth="1"/>
    <col min="3" max="3" width="9.140625" style="3"/>
    <col min="4" max="4" width="25.5703125" style="3" customWidth="1"/>
    <col min="5" max="5" width="12.42578125" style="3" bestFit="1" customWidth="1"/>
    <col min="6" max="12" width="9.140625" style="3"/>
    <col min="13" max="13" width="8.85546875" style="3" bestFit="1" customWidth="1"/>
    <col min="14" max="16384" width="9.140625" style="3"/>
  </cols>
  <sheetData>
    <row r="1" spans="1:14" x14ac:dyDescent="0.2">
      <c r="A1" s="2" t="s">
        <v>0</v>
      </c>
    </row>
    <row r="2" spans="1:14" x14ac:dyDescent="0.2">
      <c r="A2" s="3" t="s">
        <v>128</v>
      </c>
    </row>
    <row r="3" spans="1:14" x14ac:dyDescent="0.2">
      <c r="L3" s="3" t="s">
        <v>2</v>
      </c>
      <c r="M3" s="4">
        <v>58.4</v>
      </c>
    </row>
    <row r="4" spans="1:14" x14ac:dyDescent="0.2">
      <c r="B4" s="5" t="s">
        <v>96</v>
      </c>
      <c r="L4" s="3" t="s">
        <v>3</v>
      </c>
      <c r="M4" s="6">
        <v>1684.451818</v>
      </c>
      <c r="N4" s="7" t="s">
        <v>131</v>
      </c>
    </row>
    <row r="5" spans="1:14" x14ac:dyDescent="0.2">
      <c r="B5" s="5" t="s">
        <v>97</v>
      </c>
      <c r="L5" s="3" t="s">
        <v>4</v>
      </c>
      <c r="M5" s="8">
        <f>M4*M3</f>
        <v>98371.986171199998</v>
      </c>
    </row>
    <row r="6" spans="1:14" x14ac:dyDescent="0.2">
      <c r="L6" s="3" t="s">
        <v>5</v>
      </c>
      <c r="M6" s="8">
        <v>4726</v>
      </c>
      <c r="N6" s="7" t="s">
        <v>131</v>
      </c>
    </row>
    <row r="7" spans="1:14" x14ac:dyDescent="0.2">
      <c r="B7" s="9" t="s">
        <v>1</v>
      </c>
      <c r="L7" s="3" t="s">
        <v>6</v>
      </c>
      <c r="M7" s="8">
        <f>2631+23428</f>
        <v>26059</v>
      </c>
      <c r="N7" s="7" t="s">
        <v>131</v>
      </c>
    </row>
    <row r="8" spans="1:14" x14ac:dyDescent="0.2">
      <c r="B8" s="10" t="s">
        <v>89</v>
      </c>
      <c r="C8" s="11" t="s">
        <v>90</v>
      </c>
      <c r="D8" s="11" t="s">
        <v>93</v>
      </c>
      <c r="E8" s="12" t="s">
        <v>91</v>
      </c>
      <c r="L8" s="3" t="s">
        <v>7</v>
      </c>
      <c r="M8" s="8">
        <f>M5+M7-M6</f>
        <v>119704.9861712</v>
      </c>
    </row>
    <row r="9" spans="1:14" x14ac:dyDescent="0.2">
      <c r="B9" s="13" t="s">
        <v>92</v>
      </c>
      <c r="C9" s="14">
        <v>0.89</v>
      </c>
      <c r="D9" s="15"/>
      <c r="E9" s="16"/>
    </row>
    <row r="10" spans="1:14" x14ac:dyDescent="0.2">
      <c r="B10" s="17" t="s">
        <v>94</v>
      </c>
      <c r="C10" s="18">
        <v>0.89</v>
      </c>
      <c r="E10" s="19"/>
    </row>
    <row r="11" spans="1:14" x14ac:dyDescent="0.2">
      <c r="B11" s="20" t="s">
        <v>42</v>
      </c>
      <c r="C11" s="21">
        <v>0.1</v>
      </c>
      <c r="D11" s="22"/>
      <c r="E11" s="23"/>
    </row>
    <row r="13" spans="1:14" x14ac:dyDescent="0.2">
      <c r="B13" s="9" t="s">
        <v>85</v>
      </c>
    </row>
    <row r="14" spans="1:14" x14ac:dyDescent="0.2">
      <c r="B14" s="3" t="s">
        <v>86</v>
      </c>
    </row>
    <row r="15" spans="1:14" x14ac:dyDescent="0.2">
      <c r="B15" s="3" t="s">
        <v>87</v>
      </c>
    </row>
    <row r="16" spans="1:14" x14ac:dyDescent="0.2">
      <c r="B16" s="3" t="s">
        <v>88</v>
      </c>
    </row>
  </sheetData>
  <hyperlinks>
    <hyperlink ref="B4" r:id="rId1" xr:uid="{9BF048FF-B1F4-4CB4-A23F-6D97D39D6D46}"/>
    <hyperlink ref="B5" r:id="rId2" xr:uid="{1C3CD5A7-FCC5-40C3-B632-16F5FC0671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1886-D4ED-45A3-A6D8-44AFD4D02C3D}">
  <dimension ref="A2:AQ35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3.85546875" style="3" customWidth="1"/>
    <col min="2" max="2" width="22.5703125" style="3" customWidth="1"/>
    <col min="3" max="14" width="9.140625" style="3"/>
    <col min="15" max="15" width="8.7109375" style="4"/>
    <col min="16" max="16" width="9.140625" style="4" bestFit="1" customWidth="1"/>
    <col min="17" max="18" width="8.7109375" style="4"/>
    <col min="19" max="19" width="9.140625" style="4" bestFit="1" customWidth="1"/>
    <col min="20" max="26" width="8.7109375" style="4"/>
    <col min="27" max="16384" width="9.140625" style="3"/>
  </cols>
  <sheetData>
    <row r="2" spans="1:36" x14ac:dyDescent="0.2"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131</v>
      </c>
      <c r="L2" s="7" t="s">
        <v>132</v>
      </c>
      <c r="M2" s="7" t="s">
        <v>133</v>
      </c>
      <c r="N2" s="7" t="s">
        <v>134</v>
      </c>
      <c r="P2" s="24">
        <v>18</v>
      </c>
      <c r="Q2" s="24">
        <f>P2+1</f>
        <v>19</v>
      </c>
      <c r="R2" s="24">
        <f t="shared" ref="R2:V2" si="0">Q2+1</f>
        <v>20</v>
      </c>
      <c r="S2" s="24">
        <f t="shared" si="0"/>
        <v>21</v>
      </c>
      <c r="T2" s="24">
        <f t="shared" si="0"/>
        <v>22</v>
      </c>
      <c r="U2" s="24">
        <f t="shared" si="0"/>
        <v>23</v>
      </c>
      <c r="V2" s="24">
        <f t="shared" si="0"/>
        <v>24</v>
      </c>
      <c r="W2" s="25" t="s">
        <v>135</v>
      </c>
    </row>
    <row r="3" spans="1:36" x14ac:dyDescent="0.2">
      <c r="A3" s="26" t="s">
        <v>8</v>
      </c>
      <c r="B3" s="9" t="s">
        <v>29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6" x14ac:dyDescent="0.2">
      <c r="B4" s="3" t="s">
        <v>30</v>
      </c>
      <c r="C4" s="8">
        <v>16396</v>
      </c>
      <c r="D4" s="8">
        <v>18506</v>
      </c>
      <c r="E4" s="8">
        <v>17437</v>
      </c>
      <c r="F4" s="8">
        <v>16462</v>
      </c>
      <c r="G4" s="8">
        <v>14973</v>
      </c>
      <c r="H4" s="8">
        <v>16316</v>
      </c>
      <c r="I4" s="8">
        <v>16122</v>
      </c>
      <c r="J4" s="8">
        <v>15173</v>
      </c>
      <c r="K4" s="8">
        <v>12978</v>
      </c>
      <c r="L4" s="8"/>
      <c r="M4" s="8"/>
      <c r="N4" s="8"/>
      <c r="P4" s="8">
        <v>94770</v>
      </c>
      <c r="Q4" s="8">
        <v>88473</v>
      </c>
      <c r="R4" s="8">
        <v>88858</v>
      </c>
      <c r="S4" s="8">
        <v>82970</v>
      </c>
      <c r="T4" s="8">
        <v>75406</v>
      </c>
      <c r="U4" s="8">
        <v>68801</v>
      </c>
      <c r="V4" s="8">
        <v>62584</v>
      </c>
      <c r="W4" s="8"/>
      <c r="X4" s="8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">
      <c r="B5" s="3" t="s">
        <v>31</v>
      </c>
      <c r="C5" s="8">
        <v>825</v>
      </c>
      <c r="D5" s="8">
        <v>954</v>
      </c>
      <c r="E5" s="8">
        <v>895</v>
      </c>
      <c r="F5" s="8">
        <v>859</v>
      </c>
      <c r="G5" s="8">
        <v>747</v>
      </c>
      <c r="H5" s="8">
        <v>826</v>
      </c>
      <c r="I5" s="8">
        <v>824</v>
      </c>
      <c r="J5" s="8">
        <v>789</v>
      </c>
      <c r="K5" s="8">
        <v>678</v>
      </c>
      <c r="L5" s="8"/>
      <c r="M5" s="8"/>
      <c r="N5" s="8"/>
      <c r="P5" s="8">
        <v>5552</v>
      </c>
      <c r="Q5" s="8">
        <v>4869</v>
      </c>
      <c r="R5" s="8">
        <v>4566</v>
      </c>
      <c r="S5" s="8">
        <v>4216</v>
      </c>
      <c r="T5" s="8">
        <v>3866</v>
      </c>
      <c r="U5" s="8">
        <v>3533</v>
      </c>
      <c r="V5" s="8">
        <v>3186</v>
      </c>
      <c r="W5" s="8"/>
      <c r="X5" s="8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">
      <c r="B6" s="3" t="s">
        <v>32</v>
      </c>
      <c r="C6" s="8">
        <v>1048</v>
      </c>
      <c r="D6" s="8">
        <v>1101</v>
      </c>
      <c r="E6" s="8">
        <v>970</v>
      </c>
      <c r="F6" s="8">
        <v>883</v>
      </c>
      <c r="G6" s="8">
        <v>730</v>
      </c>
      <c r="H6" s="8">
        <v>756</v>
      </c>
      <c r="I6" s="8">
        <v>695</v>
      </c>
      <c r="J6" s="8">
        <v>631</v>
      </c>
      <c r="K6" s="8">
        <v>548</v>
      </c>
      <c r="L6" s="8"/>
      <c r="M6" s="8"/>
      <c r="N6" s="8"/>
      <c r="P6" s="8">
        <v>10665</v>
      </c>
      <c r="Q6" s="8">
        <v>8457</v>
      </c>
      <c r="R6" s="8">
        <v>8001</v>
      </c>
      <c r="S6" s="8">
        <v>6608</v>
      </c>
      <c r="T6" s="8">
        <v>5406</v>
      </c>
      <c r="U6" s="8">
        <v>4002</v>
      </c>
      <c r="V6" s="8">
        <v>2812</v>
      </c>
      <c r="W6" s="8"/>
      <c r="X6" s="8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">
      <c r="B7" s="2" t="s">
        <v>33</v>
      </c>
      <c r="C7" s="27">
        <f t="shared" ref="C7:K7" si="1">SUM(C4:C6)</f>
        <v>18269</v>
      </c>
      <c r="D7" s="27">
        <f t="shared" si="1"/>
        <v>20561</v>
      </c>
      <c r="E7" s="27">
        <f t="shared" si="1"/>
        <v>19302</v>
      </c>
      <c r="F7" s="27">
        <f t="shared" si="1"/>
        <v>18204</v>
      </c>
      <c r="G7" s="27">
        <f t="shared" si="1"/>
        <v>16450</v>
      </c>
      <c r="H7" s="27">
        <f t="shared" si="1"/>
        <v>17898</v>
      </c>
      <c r="I7" s="27">
        <f t="shared" si="1"/>
        <v>17641</v>
      </c>
      <c r="J7" s="27">
        <f t="shared" si="1"/>
        <v>16593</v>
      </c>
      <c r="K7" s="27">
        <f t="shared" si="1"/>
        <v>14204</v>
      </c>
      <c r="L7" s="27"/>
      <c r="M7" s="27"/>
      <c r="N7" s="27"/>
      <c r="O7" s="27"/>
      <c r="P7" s="27">
        <f t="shared" ref="P7:U7" si="2">SUM(P4:P6)</f>
        <v>110987</v>
      </c>
      <c r="Q7" s="27">
        <f t="shared" si="2"/>
        <v>101799</v>
      </c>
      <c r="R7" s="27">
        <f t="shared" si="2"/>
        <v>101425</v>
      </c>
      <c r="S7" s="27">
        <f t="shared" si="2"/>
        <v>93794</v>
      </c>
      <c r="T7" s="27">
        <f t="shared" si="2"/>
        <v>84678</v>
      </c>
      <c r="U7" s="27">
        <f t="shared" si="2"/>
        <v>76336</v>
      </c>
      <c r="V7" s="27">
        <v>68582</v>
      </c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">
      <c r="B8" s="3" t="s">
        <v>35</v>
      </c>
      <c r="C8" s="8">
        <v>443</v>
      </c>
      <c r="D8" s="8">
        <v>465</v>
      </c>
      <c r="E8" s="8">
        <v>451</v>
      </c>
      <c r="F8" s="8">
        <v>418</v>
      </c>
      <c r="G8" s="8">
        <v>417</v>
      </c>
      <c r="H8" s="8">
        <v>460</v>
      </c>
      <c r="I8" s="8">
        <v>443</v>
      </c>
      <c r="J8" s="8">
        <v>430</v>
      </c>
      <c r="K8" s="8">
        <v>405</v>
      </c>
      <c r="L8" s="8"/>
      <c r="M8" s="8"/>
      <c r="N8" s="8"/>
      <c r="P8" s="8">
        <v>1527</v>
      </c>
      <c r="Q8" s="8">
        <v>1641</v>
      </c>
      <c r="R8" s="8">
        <v>1790</v>
      </c>
      <c r="S8" s="8">
        <v>1727</v>
      </c>
      <c r="T8" s="8">
        <v>1727</v>
      </c>
      <c r="U8" s="8">
        <v>1777</v>
      </c>
      <c r="V8" s="8">
        <v>1750</v>
      </c>
      <c r="W8" s="8"/>
      <c r="X8" s="8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">
      <c r="B9" s="3" t="s">
        <v>36</v>
      </c>
      <c r="C9" s="8">
        <v>1</v>
      </c>
      <c r="D9" s="8">
        <v>1</v>
      </c>
      <c r="E9" s="8">
        <v>0</v>
      </c>
      <c r="F9" s="8">
        <v>1</v>
      </c>
      <c r="G9" s="8">
        <v>0</v>
      </c>
      <c r="H9" s="8">
        <v>2</v>
      </c>
      <c r="I9" s="8">
        <v>1</v>
      </c>
      <c r="J9" s="8">
        <v>1</v>
      </c>
      <c r="K9" s="8">
        <v>0</v>
      </c>
      <c r="L9" s="8"/>
      <c r="M9" s="8"/>
      <c r="N9" s="8"/>
      <c r="P9" s="8">
        <v>15</v>
      </c>
      <c r="Q9" s="8">
        <v>10</v>
      </c>
      <c r="R9" s="8">
        <v>10</v>
      </c>
      <c r="S9" s="8">
        <v>4</v>
      </c>
      <c r="T9" s="8">
        <v>4</v>
      </c>
      <c r="U9" s="8">
        <v>3</v>
      </c>
      <c r="V9" s="8">
        <v>4</v>
      </c>
      <c r="W9" s="8"/>
      <c r="X9" s="8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">
      <c r="B10" s="2" t="s">
        <v>34</v>
      </c>
      <c r="C10" s="27">
        <f t="shared" ref="C10:K10" si="3">SUM(C8:C9)</f>
        <v>444</v>
      </c>
      <c r="D10" s="27">
        <f t="shared" si="3"/>
        <v>466</v>
      </c>
      <c r="E10" s="27">
        <f t="shared" si="3"/>
        <v>451</v>
      </c>
      <c r="F10" s="27">
        <f t="shared" si="3"/>
        <v>419</v>
      </c>
      <c r="G10" s="27">
        <f t="shared" si="3"/>
        <v>417</v>
      </c>
      <c r="H10" s="27">
        <f t="shared" si="3"/>
        <v>462</v>
      </c>
      <c r="I10" s="27">
        <f t="shared" si="3"/>
        <v>444</v>
      </c>
      <c r="J10" s="27">
        <f t="shared" si="3"/>
        <v>431</v>
      </c>
      <c r="K10" s="27">
        <f t="shared" si="3"/>
        <v>405</v>
      </c>
      <c r="L10" s="27"/>
      <c r="M10" s="27"/>
      <c r="N10" s="27"/>
      <c r="P10" s="27">
        <f t="shared" ref="P10:V10" si="4">SUM(P8:P9)</f>
        <v>1542</v>
      </c>
      <c r="Q10" s="27">
        <f t="shared" si="4"/>
        <v>1651</v>
      </c>
      <c r="R10" s="27">
        <f t="shared" si="4"/>
        <v>1800</v>
      </c>
      <c r="S10" s="27">
        <f t="shared" si="4"/>
        <v>1731</v>
      </c>
      <c r="T10" s="27">
        <f t="shared" si="4"/>
        <v>1731</v>
      </c>
      <c r="U10" s="27">
        <f t="shared" si="4"/>
        <v>1780</v>
      </c>
      <c r="V10" s="27">
        <f t="shared" si="4"/>
        <v>1754</v>
      </c>
      <c r="W10" s="8"/>
      <c r="X10" s="8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">
      <c r="B11" s="3" t="s">
        <v>39</v>
      </c>
      <c r="C11" s="8">
        <v>109</v>
      </c>
      <c r="D11" s="8">
        <v>114.9</v>
      </c>
      <c r="E11" s="8">
        <v>109.4</v>
      </c>
      <c r="F11" s="8">
        <v>106.8</v>
      </c>
      <c r="G11" s="8">
        <v>99.1</v>
      </c>
      <c r="H11" s="8">
        <v>103.9</v>
      </c>
      <c r="I11" s="8">
        <v>101.4</v>
      </c>
      <c r="J11" s="8">
        <v>97.1</v>
      </c>
      <c r="K11" s="8">
        <v>89.7</v>
      </c>
      <c r="L11" s="8"/>
      <c r="M11" s="8"/>
      <c r="N11" s="8"/>
      <c r="P11" s="8">
        <v>531.70000000000005</v>
      </c>
      <c r="Q11" s="8">
        <v>522.20000000000005</v>
      </c>
      <c r="R11" s="8">
        <v>522.4</v>
      </c>
      <c r="S11" s="8">
        <v>503.6</v>
      </c>
      <c r="T11" s="8">
        <v>470.6</v>
      </c>
      <c r="U11" s="8">
        <v>440.1</v>
      </c>
      <c r="V11" s="8">
        <v>401.5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B12" s="3" t="s">
        <v>41</v>
      </c>
      <c r="C12" s="8">
        <v>40.299999999999997</v>
      </c>
      <c r="D12" s="8">
        <v>42.6</v>
      </c>
      <c r="E12" s="8">
        <v>40.4</v>
      </c>
      <c r="F12" s="8">
        <v>39.799999999999997</v>
      </c>
      <c r="G12" s="8">
        <v>36.700000000000003</v>
      </c>
      <c r="H12" s="8">
        <v>37.5</v>
      </c>
      <c r="I12" s="8">
        <v>37.4</v>
      </c>
      <c r="J12" s="8">
        <v>35.4</v>
      </c>
      <c r="K12" s="8">
        <v>31.4</v>
      </c>
      <c r="L12" s="8"/>
      <c r="M12" s="8"/>
      <c r="N12" s="8"/>
      <c r="P12" s="8">
        <v>231.1</v>
      </c>
      <c r="Q12" s="8">
        <v>217.8</v>
      </c>
      <c r="R12" s="8">
        <v>208.5</v>
      </c>
      <c r="S12" s="8">
        <v>197.4</v>
      </c>
      <c r="T12" s="8">
        <v>179.4</v>
      </c>
      <c r="U12" s="8">
        <v>163.1</v>
      </c>
      <c r="V12" s="8">
        <v>147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B13" s="3" t="s">
        <v>40</v>
      </c>
      <c r="C13" s="8">
        <v>25.2</v>
      </c>
      <c r="D13" s="8">
        <v>30</v>
      </c>
      <c r="E13" s="8">
        <v>28.7</v>
      </c>
      <c r="F13" s="8">
        <v>30.4</v>
      </c>
      <c r="G13" s="8">
        <v>33.299999999999997</v>
      </c>
      <c r="H13" s="8">
        <v>41.2</v>
      </c>
      <c r="I13" s="8">
        <v>41.9</v>
      </c>
      <c r="J13" s="8">
        <v>43.9</v>
      </c>
      <c r="K13" s="8">
        <v>39.299999999999997</v>
      </c>
      <c r="L13" s="8"/>
      <c r="M13" s="8"/>
      <c r="N13" s="8"/>
      <c r="P13" s="8">
        <v>0</v>
      </c>
      <c r="Q13" s="8">
        <v>0</v>
      </c>
      <c r="R13" s="8">
        <v>0</v>
      </c>
      <c r="S13" s="8">
        <v>48.4</v>
      </c>
      <c r="T13" s="8">
        <v>82.5</v>
      </c>
      <c r="U13" s="8">
        <v>114.3</v>
      </c>
      <c r="V13" s="8">
        <v>160.30000000000001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B14" s="3" t="s">
        <v>36</v>
      </c>
      <c r="C14" s="8">
        <v>16.100000000000001</v>
      </c>
      <c r="D14" s="8">
        <v>16.899999999999999</v>
      </c>
      <c r="E14" s="8">
        <v>16.3</v>
      </c>
      <c r="F14" s="8">
        <v>16.100000000000001</v>
      </c>
      <c r="G14" s="8">
        <v>15.5</v>
      </c>
      <c r="H14" s="8">
        <v>18.100000000000001</v>
      </c>
      <c r="I14" s="8">
        <v>16.3</v>
      </c>
      <c r="J14" s="8">
        <v>15.9</v>
      </c>
      <c r="K14" s="8">
        <v>15</v>
      </c>
      <c r="L14" s="8"/>
      <c r="M14" s="8"/>
      <c r="N14" s="8"/>
      <c r="P14" s="8">
        <v>69.8</v>
      </c>
      <c r="Q14" s="8">
        <v>67</v>
      </c>
      <c r="R14" s="8">
        <v>88.7</v>
      </c>
      <c r="S14" s="8">
        <v>70.900000000000006</v>
      </c>
      <c r="T14" s="8">
        <v>68.099999999999994</v>
      </c>
      <c r="U14" s="8">
        <v>65.400000000000006</v>
      </c>
      <c r="V14" s="8">
        <v>65.900000000000006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B15" s="2" t="s">
        <v>38</v>
      </c>
      <c r="C15" s="27">
        <f t="shared" ref="C15:K15" si="5">SUM(C11:C14)</f>
        <v>190.6</v>
      </c>
      <c r="D15" s="27">
        <f t="shared" si="5"/>
        <v>204.4</v>
      </c>
      <c r="E15" s="27">
        <f t="shared" si="5"/>
        <v>194.8</v>
      </c>
      <c r="F15" s="27">
        <f t="shared" si="5"/>
        <v>193.1</v>
      </c>
      <c r="G15" s="27">
        <f t="shared" si="5"/>
        <v>184.60000000000002</v>
      </c>
      <c r="H15" s="27">
        <f t="shared" si="5"/>
        <v>200.70000000000002</v>
      </c>
      <c r="I15" s="27">
        <f t="shared" si="5"/>
        <v>197.00000000000003</v>
      </c>
      <c r="J15" s="27">
        <f t="shared" si="5"/>
        <v>192.3</v>
      </c>
      <c r="K15" s="27">
        <f t="shared" si="5"/>
        <v>175.39999999999998</v>
      </c>
      <c r="L15" s="27"/>
      <c r="M15" s="27"/>
      <c r="N15" s="27"/>
      <c r="P15" s="27">
        <f t="shared" ref="P15:V15" si="6">SUM(P11:P14)</f>
        <v>832.6</v>
      </c>
      <c r="Q15" s="27">
        <f t="shared" si="6"/>
        <v>807</v>
      </c>
      <c r="R15" s="27">
        <f t="shared" si="6"/>
        <v>819.6</v>
      </c>
      <c r="S15" s="27">
        <f t="shared" si="6"/>
        <v>820.3</v>
      </c>
      <c r="T15" s="27">
        <f t="shared" si="6"/>
        <v>800.6</v>
      </c>
      <c r="U15" s="27">
        <f t="shared" si="6"/>
        <v>782.9</v>
      </c>
      <c r="V15" s="27">
        <f t="shared" si="6"/>
        <v>774.69999999999993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B16" s="3" t="s">
        <v>129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U16" s="4">
        <v>9.6199999999999992</v>
      </c>
    </row>
    <row r="17" spans="1:43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43" x14ac:dyDescent="0.2">
      <c r="A18" s="26" t="s">
        <v>8</v>
      </c>
      <c r="B18" s="9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43" x14ac:dyDescent="0.2">
      <c r="B19" s="3" t="s">
        <v>136</v>
      </c>
      <c r="C19" s="28">
        <v>0.47</v>
      </c>
      <c r="D19" s="28">
        <v>0.42099999999999999</v>
      </c>
      <c r="E19" s="28">
        <v>0.42299999999999999</v>
      </c>
      <c r="F19" s="28">
        <f>+U19</f>
        <v>0.46899999999999997</v>
      </c>
      <c r="G19" s="28">
        <v>0.46400000000000002</v>
      </c>
      <c r="H19" s="28">
        <v>0.42</v>
      </c>
      <c r="I19" s="28">
        <v>0.46100000000000002</v>
      </c>
      <c r="J19" s="28">
        <f>+V19</f>
        <v>0.45900000000000002</v>
      </c>
      <c r="K19" s="28">
        <v>0.45</v>
      </c>
      <c r="L19" s="28"/>
      <c r="M19" s="28"/>
      <c r="N19" s="28"/>
      <c r="O19" s="28"/>
      <c r="P19" s="28">
        <v>0.501</v>
      </c>
      <c r="Q19" s="28">
        <v>0.498</v>
      </c>
      <c r="R19" s="28">
        <v>0.49199999999999999</v>
      </c>
      <c r="S19" s="28">
        <v>0.48699999999999999</v>
      </c>
      <c r="T19" s="28">
        <v>0.47899999999999998</v>
      </c>
      <c r="U19" s="28">
        <v>0.46899999999999997</v>
      </c>
      <c r="V19" s="28">
        <v>0.45900000000000002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43" x14ac:dyDescent="0.2">
      <c r="B20" s="3" t="s">
        <v>137</v>
      </c>
      <c r="C20" s="28">
        <v>0.44900000000000001</v>
      </c>
      <c r="D20" s="28">
        <v>0.443</v>
      </c>
      <c r="E20" s="28">
        <v>0.434</v>
      </c>
      <c r="F20" s="28">
        <f>+U20</f>
        <v>0.42499999999999999</v>
      </c>
      <c r="G20" s="28">
        <v>0.378</v>
      </c>
      <c r="H20" s="28">
        <v>0.379</v>
      </c>
      <c r="I20" s="28">
        <v>0.378</v>
      </c>
      <c r="J20" s="28">
        <f>+V20</f>
        <v>0.375</v>
      </c>
      <c r="K20" s="28">
        <v>0.34699999999999998</v>
      </c>
      <c r="L20" s="28"/>
      <c r="M20" s="28"/>
      <c r="N20" s="28"/>
      <c r="O20" s="28"/>
      <c r="P20" s="28">
        <v>0.54</v>
      </c>
      <c r="Q20" s="28">
        <v>0.52500000000000002</v>
      </c>
      <c r="R20" s="28">
        <v>0.498</v>
      </c>
      <c r="S20" s="28">
        <v>0.47699999999999998</v>
      </c>
      <c r="T20" s="28">
        <v>0.46400000000000002</v>
      </c>
      <c r="U20" s="28">
        <v>0.42499999999999999</v>
      </c>
      <c r="V20" s="28">
        <v>0.375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43" x14ac:dyDescent="0.2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43" x14ac:dyDescent="0.2">
      <c r="B22" s="3" t="s">
        <v>142</v>
      </c>
      <c r="C22" s="8">
        <v>5090</v>
      </c>
      <c r="D22" s="8">
        <v>5820</v>
      </c>
      <c r="E22" s="8">
        <v>5572</v>
      </c>
      <c r="F22" s="8">
        <f>+U22-SUM(C22:E22)</f>
        <v>5274</v>
      </c>
      <c r="G22" s="8">
        <v>4906</v>
      </c>
      <c r="H22" s="8">
        <v>5495</v>
      </c>
      <c r="I22" s="8">
        <v>5540</v>
      </c>
      <c r="J22" s="8">
        <f>+V22-SUM(G22:I22)</f>
        <v>5263</v>
      </c>
      <c r="K22" s="8">
        <v>4622</v>
      </c>
      <c r="L22" s="8"/>
      <c r="M22" s="8"/>
      <c r="N22" s="8"/>
      <c r="P22" s="8">
        <v>22297</v>
      </c>
      <c r="Q22" s="8">
        <v>21996</v>
      </c>
      <c r="R22" s="8">
        <v>23089</v>
      </c>
      <c r="S22" s="8">
        <v>22866</v>
      </c>
      <c r="T22" s="8">
        <v>22476</v>
      </c>
      <c r="U22" s="8">
        <v>21756</v>
      </c>
      <c r="V22" s="8">
        <v>21204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43" x14ac:dyDescent="0.2">
      <c r="B23" s="3" t="s">
        <v>42</v>
      </c>
      <c r="C23" s="8">
        <v>628</v>
      </c>
      <c r="D23" s="8">
        <v>680</v>
      </c>
      <c r="E23" s="8">
        <v>685</v>
      </c>
      <c r="F23" s="8">
        <f>+U23-SUM(C23:E23)</f>
        <v>674</v>
      </c>
      <c r="G23" s="8">
        <v>651</v>
      </c>
      <c r="H23" s="8">
        <v>711</v>
      </c>
      <c r="I23" s="8">
        <v>722</v>
      </c>
      <c r="J23" s="8">
        <f>+V23-SUM(G23:I23)</f>
        <v>692</v>
      </c>
      <c r="K23" s="8">
        <v>654</v>
      </c>
      <c r="L23" s="8"/>
      <c r="M23" s="8"/>
      <c r="N23" s="8"/>
      <c r="P23" s="8">
        <v>2262</v>
      </c>
      <c r="Q23" s="8">
        <v>2367</v>
      </c>
      <c r="R23" s="8">
        <v>2533</v>
      </c>
      <c r="S23" s="8">
        <v>2608</v>
      </c>
      <c r="T23" s="8">
        <v>2580</v>
      </c>
      <c r="U23" s="8">
        <v>2667</v>
      </c>
      <c r="V23" s="8">
        <v>2776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43" x14ac:dyDescent="0.2">
      <c r="B24" s="3" t="s">
        <v>95</v>
      </c>
      <c r="C24" s="8">
        <v>0</v>
      </c>
      <c r="D24" s="8">
        <v>0</v>
      </c>
      <c r="E24" s="8">
        <v>0</v>
      </c>
      <c r="F24" s="8">
        <f>+U24-SUM(C24:E24)</f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/>
      <c r="M24" s="8"/>
      <c r="N24" s="8"/>
      <c r="P24" s="8">
        <v>691</v>
      </c>
      <c r="Q24" s="8">
        <v>689</v>
      </c>
      <c r="R24" s="8">
        <v>614</v>
      </c>
      <c r="S24" s="8">
        <v>494</v>
      </c>
      <c r="T24" s="8">
        <v>0</v>
      </c>
      <c r="U24" s="8">
        <v>0</v>
      </c>
      <c r="V24" s="8">
        <v>0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43" x14ac:dyDescent="0.2">
      <c r="B25" s="3" t="s">
        <v>43</v>
      </c>
      <c r="C25" s="8">
        <v>1</v>
      </c>
      <c r="D25" s="8">
        <v>8</v>
      </c>
      <c r="E25" s="8">
        <v>24</v>
      </c>
      <c r="F25" s="8">
        <f>+U25-SUM(C25:E25)</f>
        <v>27</v>
      </c>
      <c r="G25" s="8">
        <v>19</v>
      </c>
      <c r="H25" s="8">
        <v>3</v>
      </c>
      <c r="I25" s="8">
        <v>-3</v>
      </c>
      <c r="J25" s="8">
        <f>+V25-SUM(G25:I25)</f>
        <v>19</v>
      </c>
      <c r="K25" s="8">
        <v>-17</v>
      </c>
      <c r="L25" s="8"/>
      <c r="M25" s="8"/>
      <c r="N25" s="8"/>
      <c r="P25" s="8">
        <v>114</v>
      </c>
      <c r="Q25" s="8">
        <v>58</v>
      </c>
      <c r="R25" s="8">
        <v>-83</v>
      </c>
      <c r="S25" s="8">
        <v>45</v>
      </c>
      <c r="T25" s="8">
        <v>40</v>
      </c>
      <c r="U25" s="8">
        <v>60</v>
      </c>
      <c r="V25" s="8">
        <v>38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43" x14ac:dyDescent="0.2">
      <c r="B26" s="2" t="s">
        <v>17</v>
      </c>
      <c r="C26" s="27">
        <v>5719</v>
      </c>
      <c r="D26" s="27">
        <v>6508</v>
      </c>
      <c r="E26" s="27">
        <v>6281</v>
      </c>
      <c r="F26" s="27">
        <v>5975</v>
      </c>
      <c r="G26" s="27">
        <v>5576</v>
      </c>
      <c r="H26" s="27">
        <v>6209</v>
      </c>
      <c r="I26" s="27">
        <v>6259</v>
      </c>
      <c r="J26" s="27">
        <v>5974</v>
      </c>
      <c r="K26" s="27">
        <v>5259</v>
      </c>
      <c r="L26" s="27"/>
      <c r="M26" s="27"/>
      <c r="N26" s="27"/>
      <c r="P26" s="27">
        <f t="shared" ref="P26:R26" si="7">SUM(P22:P25)</f>
        <v>25364</v>
      </c>
      <c r="Q26" s="27">
        <f t="shared" si="7"/>
        <v>25110</v>
      </c>
      <c r="R26" s="27">
        <f t="shared" si="7"/>
        <v>26153</v>
      </c>
      <c r="S26" s="27">
        <v>26013</v>
      </c>
      <c r="T26" s="27">
        <v>25096</v>
      </c>
      <c r="U26" s="27">
        <f>SUM(U22:U25)</f>
        <v>24483</v>
      </c>
      <c r="V26" s="27">
        <v>24018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43" x14ac:dyDescent="0.2">
      <c r="B27" s="3" t="s">
        <v>18</v>
      </c>
      <c r="C27" s="8">
        <v>1434</v>
      </c>
      <c r="D27" s="8">
        <v>1681</v>
      </c>
      <c r="E27" s="8">
        <v>1578</v>
      </c>
      <c r="F27" s="8">
        <v>1525</v>
      </c>
      <c r="G27" s="8">
        <v>1437</v>
      </c>
      <c r="H27" s="8">
        <v>1602</v>
      </c>
      <c r="I27" s="8">
        <v>1536</v>
      </c>
      <c r="J27" s="8">
        <v>1502</v>
      </c>
      <c r="K27" s="8">
        <v>1270</v>
      </c>
      <c r="L27" s="8"/>
      <c r="M27" s="8"/>
      <c r="N27" s="8"/>
      <c r="P27" s="8">
        <v>7373</v>
      </c>
      <c r="Q27" s="8">
        <v>7085</v>
      </c>
      <c r="R27" s="8">
        <v>7818</v>
      </c>
      <c r="S27" s="8">
        <v>7119</v>
      </c>
      <c r="T27" s="8">
        <v>6442</v>
      </c>
      <c r="U27" s="8">
        <v>6218</v>
      </c>
      <c r="V27" s="8">
        <v>6077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43" x14ac:dyDescent="0.2">
      <c r="B28" s="3" t="s">
        <v>26</v>
      </c>
      <c r="C28" s="8">
        <v>956</v>
      </c>
      <c r="D28" s="8">
        <v>1070</v>
      </c>
      <c r="E28" s="8">
        <v>1004</v>
      </c>
      <c r="F28" s="8">
        <v>951</v>
      </c>
      <c r="G28" s="8">
        <v>859</v>
      </c>
      <c r="H28" s="8">
        <v>932</v>
      </c>
      <c r="I28" s="8">
        <v>915</v>
      </c>
      <c r="J28" s="8">
        <v>868</v>
      </c>
      <c r="K28" s="8">
        <v>740</v>
      </c>
      <c r="L28" s="8"/>
      <c r="M28" s="8"/>
      <c r="N28" s="8"/>
      <c r="P28" s="8">
        <v>5737</v>
      </c>
      <c r="Q28" s="8">
        <v>5314</v>
      </c>
      <c r="R28" s="8">
        <v>5312</v>
      </c>
      <c r="S28" s="8">
        <v>4902</v>
      </c>
      <c r="T28" s="8">
        <v>4408</v>
      </c>
      <c r="U28" s="8">
        <v>3981</v>
      </c>
      <c r="V28" s="8">
        <v>3574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43" x14ac:dyDescent="0.2">
      <c r="B29" s="3" t="s">
        <v>19</v>
      </c>
      <c r="C29" s="8">
        <f t="shared" ref="C29:F29" si="8">C26-C27-C28</f>
        <v>3329</v>
      </c>
      <c r="D29" s="8">
        <f t="shared" si="8"/>
        <v>3757</v>
      </c>
      <c r="E29" s="8">
        <f t="shared" si="8"/>
        <v>3699</v>
      </c>
      <c r="F29" s="8">
        <f t="shared" si="8"/>
        <v>3499</v>
      </c>
      <c r="G29" s="8">
        <f>G26-G27-G28</f>
        <v>3280</v>
      </c>
      <c r="H29" s="8">
        <f t="shared" ref="H29:V29" si="9">H26-H27-H28</f>
        <v>3675</v>
      </c>
      <c r="I29" s="8">
        <f t="shared" si="9"/>
        <v>3808</v>
      </c>
      <c r="J29" s="8">
        <f t="shared" si="9"/>
        <v>3604</v>
      </c>
      <c r="K29" s="8">
        <f t="shared" si="9"/>
        <v>3249</v>
      </c>
      <c r="L29" s="8"/>
      <c r="M29" s="8"/>
      <c r="N29" s="8"/>
      <c r="P29" s="8">
        <f t="shared" si="9"/>
        <v>12254</v>
      </c>
      <c r="Q29" s="8">
        <f t="shared" si="9"/>
        <v>12711</v>
      </c>
      <c r="R29" s="8">
        <f t="shared" si="9"/>
        <v>13023</v>
      </c>
      <c r="S29" s="8">
        <f t="shared" si="9"/>
        <v>13992</v>
      </c>
      <c r="T29" s="8">
        <f t="shared" si="9"/>
        <v>14246</v>
      </c>
      <c r="U29" s="8">
        <f t="shared" si="9"/>
        <v>14284</v>
      </c>
      <c r="V29" s="8">
        <f t="shared" si="9"/>
        <v>14367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43" x14ac:dyDescent="0.2">
      <c r="B30" s="3" t="s">
        <v>130</v>
      </c>
      <c r="C30" s="8">
        <v>572</v>
      </c>
      <c r="D30" s="8">
        <v>852</v>
      </c>
      <c r="E30" s="8">
        <v>610</v>
      </c>
      <c r="F30" s="8">
        <f>570+41+92</f>
        <v>703</v>
      </c>
      <c r="G30" s="8">
        <v>606</v>
      </c>
      <c r="H30" s="8">
        <f>788+354</f>
        <v>1142</v>
      </c>
      <c r="I30" s="8">
        <v>656</v>
      </c>
      <c r="J30" s="8">
        <f>601+35+37+49</f>
        <v>722</v>
      </c>
      <c r="K30" s="8">
        <f>588+873</f>
        <v>1461</v>
      </c>
      <c r="L30" s="8"/>
      <c r="M30" s="8"/>
      <c r="N30" s="8"/>
      <c r="P30" s="8">
        <f>2756+383</f>
        <v>3139</v>
      </c>
      <c r="Q30" s="8">
        <f>2226+159</f>
        <v>2385</v>
      </c>
      <c r="R30" s="8">
        <f>2154-4</f>
        <v>2150</v>
      </c>
      <c r="S30" s="8">
        <v>2432</v>
      </c>
      <c r="T30" s="8">
        <v>2327</v>
      </c>
      <c r="U30" s="8">
        <v>2737</v>
      </c>
      <c r="V30" s="8">
        <f>2122+389+139+476</f>
        <v>3126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43" x14ac:dyDescent="0.2">
      <c r="B31" s="3" t="s">
        <v>20</v>
      </c>
      <c r="C31" s="8">
        <f>C29-C30</f>
        <v>2757</v>
      </c>
      <c r="D31" s="8">
        <f t="shared" ref="D31:G31" si="10">D29-D30</f>
        <v>2905</v>
      </c>
      <c r="E31" s="8">
        <f t="shared" si="10"/>
        <v>3089</v>
      </c>
      <c r="F31" s="8">
        <f t="shared" si="10"/>
        <v>2796</v>
      </c>
      <c r="G31" s="8">
        <f t="shared" si="10"/>
        <v>2674</v>
      </c>
      <c r="H31" s="8">
        <f>H29-H30</f>
        <v>2533</v>
      </c>
      <c r="I31" s="8">
        <f t="shared" ref="I31:K31" si="11">I29-I30</f>
        <v>3152</v>
      </c>
      <c r="J31" s="8">
        <f t="shared" si="11"/>
        <v>2882</v>
      </c>
      <c r="K31" s="8">
        <f t="shared" si="11"/>
        <v>1788</v>
      </c>
      <c r="L31" s="8"/>
      <c r="M31" s="8"/>
      <c r="N31" s="8"/>
      <c r="P31" s="8">
        <f t="shared" ref="P31" si="12">P29-P30</f>
        <v>9115</v>
      </c>
      <c r="Q31" s="8">
        <f t="shared" ref="Q31" si="13">Q29-Q30</f>
        <v>10326</v>
      </c>
      <c r="R31" s="8">
        <f t="shared" ref="R31" si="14">R29-R30</f>
        <v>10873</v>
      </c>
      <c r="S31" s="8">
        <f t="shared" ref="S31" si="15">S29-S30</f>
        <v>11560</v>
      </c>
      <c r="T31" s="8">
        <f t="shared" ref="T31" si="16">T29-T30</f>
        <v>11919</v>
      </c>
      <c r="U31" s="8">
        <f t="shared" ref="U31:V31" si="17">U29-U30</f>
        <v>11547</v>
      </c>
      <c r="V31" s="8">
        <f t="shared" si="17"/>
        <v>11241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43" x14ac:dyDescent="0.2">
      <c r="B32" s="3" t="s">
        <v>27</v>
      </c>
      <c r="C32" s="8">
        <v>229</v>
      </c>
      <c r="D32" s="8">
        <v>257</v>
      </c>
      <c r="E32" s="8">
        <v>272</v>
      </c>
      <c r="F32" s="8">
        <v>231</v>
      </c>
      <c r="G32" s="8">
        <v>254</v>
      </c>
      <c r="H32" s="8">
        <v>261</v>
      </c>
      <c r="I32" s="8">
        <v>267</v>
      </c>
      <c r="J32" s="8">
        <v>255</v>
      </c>
      <c r="K32" s="8">
        <v>262</v>
      </c>
      <c r="L32" s="8"/>
      <c r="M32" s="8"/>
      <c r="N32" s="8"/>
      <c r="P32" s="8">
        <v>665</v>
      </c>
      <c r="Q32" s="8">
        <v>1280</v>
      </c>
      <c r="R32" s="8">
        <v>1209</v>
      </c>
      <c r="S32" s="8">
        <f>1162+649</f>
        <v>1811</v>
      </c>
      <c r="T32" s="8">
        <v>1058</v>
      </c>
      <c r="U32" s="8">
        <v>989</v>
      </c>
      <c r="V32" s="8">
        <v>1037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2:37" x14ac:dyDescent="0.2">
      <c r="B33" s="3" t="s">
        <v>21</v>
      </c>
      <c r="C33" s="8">
        <v>-31</v>
      </c>
      <c r="D33" s="8">
        <v>-31</v>
      </c>
      <c r="E33" s="8">
        <v>-33</v>
      </c>
      <c r="F33" s="8">
        <v>-32</v>
      </c>
      <c r="G33" s="8">
        <v>-24</v>
      </c>
      <c r="H33" s="8">
        <v>-25</v>
      </c>
      <c r="I33" s="8">
        <v>-25</v>
      </c>
      <c r="J33" s="8">
        <v>-28</v>
      </c>
      <c r="K33" s="8">
        <v>-14</v>
      </c>
      <c r="L33" s="8"/>
      <c r="M33" s="8"/>
      <c r="N33" s="8"/>
      <c r="P33" s="8">
        <v>-34</v>
      </c>
      <c r="Q33" s="8">
        <v>-37</v>
      </c>
      <c r="R33" s="8">
        <v>-77</v>
      </c>
      <c r="S33" s="8">
        <v>-202</v>
      </c>
      <c r="T33" s="8">
        <v>-184</v>
      </c>
      <c r="U33" s="8">
        <v>-127</v>
      </c>
      <c r="V33" s="8">
        <v>-102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2:37" x14ac:dyDescent="0.2">
      <c r="B34" s="3" t="s">
        <v>36</v>
      </c>
      <c r="C34" s="8"/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/>
      <c r="M34" s="8"/>
      <c r="N34" s="8"/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-2700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2:37" x14ac:dyDescent="0.2">
      <c r="B35" s="3" t="s">
        <v>28</v>
      </c>
      <c r="C35" s="8">
        <v>80</v>
      </c>
      <c r="D35" s="8">
        <v>-127</v>
      </c>
      <c r="E35" s="8">
        <v>-58</v>
      </c>
      <c r="F35" s="8">
        <v>-138</v>
      </c>
      <c r="G35" s="8">
        <v>-295</v>
      </c>
      <c r="H35" s="8">
        <f>-119-2700</f>
        <v>-2819</v>
      </c>
      <c r="I35" s="8">
        <v>-116</v>
      </c>
      <c r="J35" s="8">
        <v>-122</v>
      </c>
      <c r="K35" s="8">
        <v>-143</v>
      </c>
      <c r="L35" s="8"/>
      <c r="M35" s="8"/>
      <c r="N35" s="8"/>
      <c r="P35" s="8">
        <f>-890+33</f>
        <v>-857</v>
      </c>
      <c r="Q35" s="8">
        <f>-1725+8600+1442</f>
        <v>8317</v>
      </c>
      <c r="R35" s="8">
        <f>111+2600+140</f>
        <v>2851</v>
      </c>
      <c r="S35" s="8">
        <f>5979+148</f>
        <v>6127</v>
      </c>
      <c r="T35" s="8">
        <f>3641+15</f>
        <v>3656</v>
      </c>
      <c r="U35" s="8">
        <v>-243</v>
      </c>
      <c r="V35" s="8">
        <v>-652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2:37" x14ac:dyDescent="0.2">
      <c r="B36" s="3" t="s">
        <v>22</v>
      </c>
      <c r="C36" s="8">
        <f t="shared" ref="C36:F36" si="18">C31-SUM(C32:C35)</f>
        <v>2479</v>
      </c>
      <c r="D36" s="8">
        <f t="shared" si="18"/>
        <v>2806</v>
      </c>
      <c r="E36" s="8">
        <f t="shared" si="18"/>
        <v>2908</v>
      </c>
      <c r="F36" s="8">
        <f t="shared" si="18"/>
        <v>2735</v>
      </c>
      <c r="G36" s="8">
        <f>G31-SUM(G32:G35)</f>
        <v>2739</v>
      </c>
      <c r="H36" s="8">
        <f>H31-SUM(H32:H35)</f>
        <v>5116</v>
      </c>
      <c r="I36" s="8">
        <f t="shared" ref="I36:U36" si="19">I31-SUM(I32:I35)</f>
        <v>3026</v>
      </c>
      <c r="J36" s="8">
        <f t="shared" si="19"/>
        <v>2777</v>
      </c>
      <c r="K36" s="8">
        <f t="shared" si="19"/>
        <v>1683</v>
      </c>
      <c r="L36" s="8"/>
      <c r="M36" s="8"/>
      <c r="N36" s="8"/>
      <c r="P36" s="8">
        <f t="shared" si="19"/>
        <v>9341</v>
      </c>
      <c r="Q36" s="8">
        <f t="shared" si="19"/>
        <v>766</v>
      </c>
      <c r="R36" s="8">
        <f t="shared" si="19"/>
        <v>6890</v>
      </c>
      <c r="S36" s="8">
        <f t="shared" si="19"/>
        <v>3824</v>
      </c>
      <c r="T36" s="8">
        <f t="shared" si="19"/>
        <v>7389</v>
      </c>
      <c r="U36" s="8">
        <f t="shared" si="19"/>
        <v>10928</v>
      </c>
      <c r="V36" s="8">
        <f>V31-SUM(V32:V35)</f>
        <v>13658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2:37" x14ac:dyDescent="0.2">
      <c r="B37" s="3" t="s">
        <v>23</v>
      </c>
      <c r="C37" s="8">
        <v>692</v>
      </c>
      <c r="D37" s="8">
        <v>689</v>
      </c>
      <c r="E37" s="8">
        <v>742</v>
      </c>
      <c r="F37" s="8">
        <v>675</v>
      </c>
      <c r="G37" s="8">
        <v>610</v>
      </c>
      <c r="H37" s="8">
        <v>1313</v>
      </c>
      <c r="I37" s="8">
        <v>733</v>
      </c>
      <c r="J37" s="8">
        <v>-262</v>
      </c>
      <c r="K37" s="8">
        <v>606</v>
      </c>
      <c r="L37" s="8"/>
      <c r="M37" s="8"/>
      <c r="N37" s="8"/>
      <c r="P37" s="8">
        <v>2374</v>
      </c>
      <c r="Q37" s="8">
        <v>2064</v>
      </c>
      <c r="R37" s="8">
        <v>2436</v>
      </c>
      <c r="S37" s="8">
        <v>1349</v>
      </c>
      <c r="T37" s="8">
        <v>1625</v>
      </c>
      <c r="U37" s="8">
        <v>2798</v>
      </c>
      <c r="V37" s="8">
        <v>2394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2:37" x14ac:dyDescent="0.2">
      <c r="B38" s="3" t="s">
        <v>24</v>
      </c>
      <c r="C38" s="8">
        <f>C36-C37</f>
        <v>1787</v>
      </c>
      <c r="D38" s="8">
        <f t="shared" ref="D38:V38" si="20">D36-D37</f>
        <v>2117</v>
      </c>
      <c r="E38" s="8">
        <f t="shared" si="20"/>
        <v>2166</v>
      </c>
      <c r="F38" s="8">
        <f t="shared" si="20"/>
        <v>2060</v>
      </c>
      <c r="G38" s="8">
        <f t="shared" si="20"/>
        <v>2129</v>
      </c>
      <c r="H38" s="8">
        <f t="shared" si="20"/>
        <v>3803</v>
      </c>
      <c r="I38" s="8">
        <f t="shared" si="20"/>
        <v>2293</v>
      </c>
      <c r="J38" s="8">
        <f t="shared" si="20"/>
        <v>3039</v>
      </c>
      <c r="K38" s="8">
        <f t="shared" si="20"/>
        <v>1077</v>
      </c>
      <c r="L38" s="8"/>
      <c r="M38" s="8"/>
      <c r="N38" s="8"/>
      <c r="P38" s="8">
        <f t="shared" si="20"/>
        <v>6967</v>
      </c>
      <c r="Q38" s="8">
        <f t="shared" si="20"/>
        <v>-1298</v>
      </c>
      <c r="R38" s="8">
        <f t="shared" si="20"/>
        <v>4454</v>
      </c>
      <c r="S38" s="8">
        <f t="shared" si="20"/>
        <v>2475</v>
      </c>
      <c r="T38" s="8">
        <f t="shared" si="20"/>
        <v>5764</v>
      </c>
      <c r="U38" s="8">
        <f t="shared" si="20"/>
        <v>8130</v>
      </c>
      <c r="V38" s="8">
        <f t="shared" si="20"/>
        <v>11264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2:37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P39" s="8"/>
      <c r="Q39" s="8"/>
      <c r="R39" s="8"/>
      <c r="S39" s="8"/>
      <c r="T39" s="8"/>
      <c r="U39" s="8"/>
      <c r="V39" s="8"/>
    </row>
    <row r="40" spans="2:37" x14ac:dyDescent="0.2">
      <c r="B40" s="3" t="s">
        <v>25</v>
      </c>
      <c r="C40" s="29">
        <f t="shared" ref="C40:I40" si="21">+C38/C41</f>
        <v>1.0005599104143337</v>
      </c>
      <c r="D40" s="29">
        <f t="shared" si="21"/>
        <v>1.186659192825112</v>
      </c>
      <c r="E40" s="29">
        <f t="shared" si="21"/>
        <v>1.2168539325842698</v>
      </c>
      <c r="F40" s="29">
        <f t="shared" si="21"/>
        <v>1.1658177702320316</v>
      </c>
      <c r="G40" s="29">
        <f t="shared" si="21"/>
        <v>1.2110352673492606</v>
      </c>
      <c r="H40" s="29">
        <f t="shared" si="21"/>
        <v>2.1881472957422323</v>
      </c>
      <c r="I40" s="29">
        <f t="shared" si="21"/>
        <v>1.3285052143684821</v>
      </c>
      <c r="J40" s="29">
        <f>+J38/J41</f>
        <v>1.7939787485242031</v>
      </c>
      <c r="K40" s="29">
        <f>+K38/K41</f>
        <v>0.63727810650887573</v>
      </c>
      <c r="L40" s="29"/>
      <c r="M40" s="29"/>
      <c r="N40" s="29"/>
      <c r="P40" s="29">
        <f t="shared" ref="P40:V40" si="22">+P38/P41</f>
        <v>3.6901483050847457</v>
      </c>
      <c r="Q40" s="29">
        <f t="shared" si="22"/>
        <v>-0.69448903156768327</v>
      </c>
      <c r="R40" s="29">
        <f t="shared" si="22"/>
        <v>2.397201291711518</v>
      </c>
      <c r="S40" s="29">
        <f t="shared" si="22"/>
        <v>1.3414634146341464</v>
      </c>
      <c r="T40" s="29">
        <f t="shared" si="22"/>
        <v>3.1951219512195124</v>
      </c>
      <c r="U40" s="29">
        <f t="shared" si="22"/>
        <v>4.5751266178953296</v>
      </c>
      <c r="V40" s="29">
        <f t="shared" si="22"/>
        <v>6.556461001164144</v>
      </c>
    </row>
    <row r="41" spans="2:37" x14ac:dyDescent="0.2">
      <c r="B41" s="3" t="s">
        <v>3</v>
      </c>
      <c r="C41" s="8">
        <v>1786</v>
      </c>
      <c r="D41" s="8">
        <v>1784</v>
      </c>
      <c r="E41" s="8">
        <v>1780</v>
      </c>
      <c r="F41" s="8">
        <v>1767</v>
      </c>
      <c r="G41" s="8">
        <v>1758</v>
      </c>
      <c r="H41" s="8">
        <v>1738</v>
      </c>
      <c r="I41" s="8">
        <v>1726</v>
      </c>
      <c r="J41" s="8">
        <v>1694</v>
      </c>
      <c r="K41" s="8">
        <v>1690</v>
      </c>
      <c r="L41" s="8"/>
      <c r="M41" s="8"/>
      <c r="N41" s="8"/>
      <c r="P41" s="8">
        <v>1888</v>
      </c>
      <c r="Q41" s="8">
        <v>1869</v>
      </c>
      <c r="R41" s="8">
        <v>1858</v>
      </c>
      <c r="S41" s="8">
        <v>1845</v>
      </c>
      <c r="T41" s="8">
        <v>1804</v>
      </c>
      <c r="U41" s="8">
        <v>1777</v>
      </c>
      <c r="V41" s="8">
        <v>1718</v>
      </c>
    </row>
    <row r="42" spans="2:37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37" x14ac:dyDescent="0.2">
      <c r="B43" s="3" t="s">
        <v>139</v>
      </c>
      <c r="C43" s="4"/>
      <c r="D43" s="4"/>
      <c r="E43" s="4"/>
      <c r="F43" s="4"/>
      <c r="G43" s="30">
        <f t="shared" ref="G43:J43" si="23">+G7/C7-1</f>
        <v>-9.9567573485138783E-2</v>
      </c>
      <c r="H43" s="30">
        <f t="shared" si="23"/>
        <v>-0.12951704683624332</v>
      </c>
      <c r="I43" s="30">
        <f t="shared" si="23"/>
        <v>-8.6053258729665294E-2</v>
      </c>
      <c r="J43" s="30">
        <f t="shared" si="23"/>
        <v>-8.8497033618984866E-2</v>
      </c>
      <c r="K43" s="30">
        <f>+K7/G7-1</f>
        <v>-0.1365349544072948</v>
      </c>
      <c r="L43" s="30">
        <f t="shared" ref="L43:N43" si="24">+L7/H7-1</f>
        <v>-1</v>
      </c>
      <c r="M43" s="30">
        <f t="shared" si="24"/>
        <v>-1</v>
      </c>
      <c r="N43" s="30">
        <f t="shared" si="24"/>
        <v>-1</v>
      </c>
      <c r="Q43" s="30">
        <f t="shared" ref="Q43:U43" si="25">+Q7/P7-1</f>
        <v>-8.2784470253272957E-2</v>
      </c>
      <c r="R43" s="30">
        <f t="shared" si="25"/>
        <v>-3.6739064234422303E-3</v>
      </c>
      <c r="S43" s="30">
        <f t="shared" si="25"/>
        <v>-7.5237860488045372E-2</v>
      </c>
      <c r="T43" s="30">
        <f t="shared" si="25"/>
        <v>-9.7191718020342432E-2</v>
      </c>
      <c r="U43" s="30">
        <f t="shared" si="25"/>
        <v>-9.8514372091924707E-2</v>
      </c>
      <c r="V43" s="30">
        <f>+V7/U7-1</f>
        <v>-0.10157723747642</v>
      </c>
    </row>
    <row r="44" spans="2:37" x14ac:dyDescent="0.2">
      <c r="B44" s="3" t="s">
        <v>140</v>
      </c>
      <c r="C44" s="4"/>
      <c r="D44" s="4"/>
      <c r="E44" s="4"/>
      <c r="F44" s="4"/>
      <c r="G44" s="30">
        <f t="shared" ref="G44:J44" si="26">+G15/C15-1</f>
        <v>-3.1479538300104748E-2</v>
      </c>
      <c r="H44" s="30">
        <f t="shared" si="26"/>
        <v>-1.8101761252446114E-2</v>
      </c>
      <c r="I44" s="30">
        <f t="shared" si="26"/>
        <v>1.1293634496920113E-2</v>
      </c>
      <c r="J44" s="30">
        <f t="shared" si="26"/>
        <v>-4.1429311237699551E-3</v>
      </c>
      <c r="K44" s="30">
        <f>+K15/G15-1</f>
        <v>-4.9837486457204982E-2</v>
      </c>
      <c r="L44" s="30">
        <f t="shared" ref="L44:N44" si="27">+L15/H15-1</f>
        <v>-1</v>
      </c>
      <c r="M44" s="30">
        <f t="shared" si="27"/>
        <v>-1</v>
      </c>
      <c r="N44" s="30">
        <f t="shared" si="27"/>
        <v>-1</v>
      </c>
      <c r="Q44" s="30">
        <f t="shared" ref="Q44:U44" si="28">+Q15/P15-1</f>
        <v>-3.0747057410521306E-2</v>
      </c>
      <c r="R44" s="30">
        <f t="shared" si="28"/>
        <v>1.5613382899628325E-2</v>
      </c>
      <c r="S44" s="30">
        <f t="shared" si="28"/>
        <v>8.5407515861390948E-4</v>
      </c>
      <c r="T44" s="30">
        <f t="shared" si="28"/>
        <v>-2.4015604047299632E-2</v>
      </c>
      <c r="U44" s="30">
        <f t="shared" si="28"/>
        <v>-2.2108418685985565E-2</v>
      </c>
      <c r="V44" s="30">
        <f>+V15/U15-1</f>
        <v>-1.0473879167198885E-2</v>
      </c>
    </row>
    <row r="45" spans="2:37" x14ac:dyDescent="0.2">
      <c r="B45" s="3" t="s">
        <v>141</v>
      </c>
      <c r="C45" s="4"/>
      <c r="D45" s="4"/>
      <c r="E45" s="4"/>
      <c r="F45" s="4"/>
      <c r="G45" s="30">
        <f t="shared" ref="G45:J45" si="29">+G22/C22-1</f>
        <v>-3.6149312377210197E-2</v>
      </c>
      <c r="H45" s="30">
        <f t="shared" si="29"/>
        <v>-5.5841924398625453E-2</v>
      </c>
      <c r="I45" s="30">
        <f t="shared" si="29"/>
        <v>-5.7430007178750353E-3</v>
      </c>
      <c r="J45" s="30">
        <f t="shared" si="29"/>
        <v>-2.0857034508912076E-3</v>
      </c>
      <c r="K45" s="30">
        <f>+K22/G22-1</f>
        <v>-5.7888300040766394E-2</v>
      </c>
      <c r="L45" s="30">
        <f t="shared" ref="L45:N45" si="30">+L22/H22-1</f>
        <v>-1</v>
      </c>
      <c r="M45" s="30">
        <f t="shared" si="30"/>
        <v>-1</v>
      </c>
      <c r="N45" s="30">
        <f t="shared" si="30"/>
        <v>-1</v>
      </c>
      <c r="Q45" s="30">
        <f t="shared" ref="Q45:U45" si="31">+Q22/P22-1</f>
        <v>-1.3499573933713038E-2</v>
      </c>
      <c r="R45" s="30">
        <f t="shared" si="31"/>
        <v>4.9690852882342318E-2</v>
      </c>
      <c r="S45" s="30">
        <f t="shared" si="31"/>
        <v>-9.6582788340768833E-3</v>
      </c>
      <c r="T45" s="30">
        <f t="shared" si="31"/>
        <v>-1.7055890842298638E-2</v>
      </c>
      <c r="U45" s="30">
        <f t="shared" si="31"/>
        <v>-3.2034169781099853E-2</v>
      </c>
      <c r="V45" s="30">
        <f>+V22/U22-1</f>
        <v>-2.5372311086596766E-2</v>
      </c>
    </row>
    <row r="46" spans="2:37" x14ac:dyDescent="0.2">
      <c r="B46" s="3" t="s">
        <v>138</v>
      </c>
      <c r="C46" s="4"/>
      <c r="D46" s="4"/>
      <c r="E46" s="4"/>
      <c r="F46" s="4"/>
      <c r="G46" s="30">
        <f t="shared" ref="G46:J46" si="32">+G23/C23-1</f>
        <v>3.6624203821655987E-2</v>
      </c>
      <c r="H46" s="30">
        <f t="shared" si="32"/>
        <v>4.5588235294117707E-2</v>
      </c>
      <c r="I46" s="30">
        <f t="shared" si="32"/>
        <v>5.4014598540145897E-2</v>
      </c>
      <c r="J46" s="30">
        <f t="shared" si="32"/>
        <v>2.6706231454005858E-2</v>
      </c>
      <c r="K46" s="30">
        <f>+K23/G23-1</f>
        <v>4.6082949308756671E-3</v>
      </c>
      <c r="L46" s="30">
        <f t="shared" ref="L46:N46" si="33">+L23/H23-1</f>
        <v>-1</v>
      </c>
      <c r="M46" s="30">
        <f t="shared" si="33"/>
        <v>-1</v>
      </c>
      <c r="N46" s="30">
        <f t="shared" si="33"/>
        <v>-1</v>
      </c>
      <c r="Q46" s="30">
        <f t="shared" ref="Q46:U46" si="34">+Q23/P23-1</f>
        <v>4.6419098143235971E-2</v>
      </c>
      <c r="R46" s="30">
        <f t="shared" si="34"/>
        <v>7.013096746937042E-2</v>
      </c>
      <c r="S46" s="30">
        <f t="shared" si="34"/>
        <v>2.9609159099881488E-2</v>
      </c>
      <c r="T46" s="30">
        <f t="shared" si="34"/>
        <v>-1.0736196319018454E-2</v>
      </c>
      <c r="U46" s="30">
        <f t="shared" si="34"/>
        <v>3.3720930232558066E-2</v>
      </c>
      <c r="V46" s="30">
        <f>+V23/U23-1</f>
        <v>4.0869891263592084E-2</v>
      </c>
    </row>
    <row r="47" spans="2:37" x14ac:dyDescent="0.2">
      <c r="B47" s="2" t="s">
        <v>44</v>
      </c>
      <c r="C47" s="31"/>
      <c r="D47" s="31"/>
      <c r="E47" s="31"/>
      <c r="F47" s="31"/>
      <c r="G47" s="32">
        <f>+G26/C26-1</f>
        <v>-2.5004371393600233E-2</v>
      </c>
      <c r="H47" s="32">
        <f>+H26/D26-1</f>
        <v>-4.594345421020285E-2</v>
      </c>
      <c r="I47" s="32">
        <f>+I26/E26-1</f>
        <v>-3.5026269702276291E-3</v>
      </c>
      <c r="J47" s="32">
        <f>+J26/F26-1</f>
        <v>-1.6736401673644874E-4</v>
      </c>
      <c r="K47" s="32">
        <f>+K26/G26-1</f>
        <v>-5.6850789096126286E-2</v>
      </c>
      <c r="L47" s="32">
        <f t="shared" ref="L47:N47" si="35">+L26/H26-1</f>
        <v>-1</v>
      </c>
      <c r="M47" s="32">
        <f t="shared" si="35"/>
        <v>-1</v>
      </c>
      <c r="N47" s="32">
        <f t="shared" si="35"/>
        <v>-1</v>
      </c>
      <c r="O47" s="31"/>
      <c r="P47" s="31"/>
      <c r="Q47" s="32">
        <f t="shared" ref="Q47:V47" si="36">Q26/P26-1</f>
        <v>-1.0014193344898281E-2</v>
      </c>
      <c r="R47" s="32">
        <f t="shared" si="36"/>
        <v>4.153723616089211E-2</v>
      </c>
      <c r="S47" s="32">
        <f t="shared" si="36"/>
        <v>-5.3531143654648172E-3</v>
      </c>
      <c r="T47" s="32">
        <f t="shared" si="36"/>
        <v>-3.5251604966747396E-2</v>
      </c>
      <c r="U47" s="32">
        <f t="shared" si="36"/>
        <v>-2.4426203379024569E-2</v>
      </c>
      <c r="V47" s="32">
        <f t="shared" si="36"/>
        <v>-1.8992770493811983E-2</v>
      </c>
    </row>
    <row r="48" spans="2:37" x14ac:dyDescent="0.2">
      <c r="B48" s="3" t="s">
        <v>45</v>
      </c>
      <c r="C48" s="30">
        <f t="shared" ref="C48:K48" si="37">C29/C26</f>
        <v>0.58209477181325409</v>
      </c>
      <c r="D48" s="30">
        <f t="shared" si="37"/>
        <v>0.57728948985863549</v>
      </c>
      <c r="E48" s="30">
        <f t="shared" si="37"/>
        <v>0.58891896194873428</v>
      </c>
      <c r="F48" s="30">
        <f t="shared" si="37"/>
        <v>0.58560669456066949</v>
      </c>
      <c r="G48" s="30">
        <f t="shared" si="37"/>
        <v>0.58823529411764708</v>
      </c>
      <c r="H48" s="30">
        <f t="shared" si="37"/>
        <v>0.59188275084554676</v>
      </c>
      <c r="I48" s="30">
        <f t="shared" si="37"/>
        <v>0.60840389838632369</v>
      </c>
      <c r="J48" s="30">
        <f t="shared" si="37"/>
        <v>0.60328088382992973</v>
      </c>
      <c r="K48" s="30">
        <f t="shared" si="37"/>
        <v>0.61779806046776953</v>
      </c>
      <c r="L48" s="30" t="e">
        <f t="shared" ref="L48:N48" si="38">L29/L26</f>
        <v>#DIV/0!</v>
      </c>
      <c r="M48" s="30" t="e">
        <f t="shared" si="38"/>
        <v>#DIV/0!</v>
      </c>
      <c r="N48" s="30" t="e">
        <f t="shared" si="38"/>
        <v>#DIV/0!</v>
      </c>
      <c r="P48" s="30">
        <f t="shared" ref="P48:V48" si="39">P29/P26</f>
        <v>0.48312568995426591</v>
      </c>
      <c r="Q48" s="30">
        <f t="shared" si="39"/>
        <v>0.50621266427718037</v>
      </c>
      <c r="R48" s="30">
        <f t="shared" si="39"/>
        <v>0.49795434558176882</v>
      </c>
      <c r="S48" s="30">
        <f t="shared" si="39"/>
        <v>0.53788490370199515</v>
      </c>
      <c r="T48" s="30">
        <f t="shared" si="39"/>
        <v>0.56766018489002235</v>
      </c>
      <c r="U48" s="30">
        <f t="shared" si="39"/>
        <v>0.58342523383572276</v>
      </c>
      <c r="V48" s="30">
        <f t="shared" si="39"/>
        <v>0.59817636772420679</v>
      </c>
    </row>
    <row r="49" spans="1:37" x14ac:dyDescent="0.2">
      <c r="B49" s="3" t="s">
        <v>46</v>
      </c>
      <c r="C49" s="30">
        <f t="shared" ref="C49:K49" si="40">C31/C26</f>
        <v>0.48207728623885293</v>
      </c>
      <c r="D49" s="30">
        <f t="shared" si="40"/>
        <v>0.44637369391518134</v>
      </c>
      <c r="E49" s="30">
        <f t="shared" si="40"/>
        <v>0.49180066868333067</v>
      </c>
      <c r="F49" s="30">
        <f t="shared" si="40"/>
        <v>0.46794979079497906</v>
      </c>
      <c r="G49" s="30">
        <f t="shared" si="40"/>
        <v>0.47955523672883787</v>
      </c>
      <c r="H49" s="30">
        <f t="shared" si="40"/>
        <v>0.40795619262361088</v>
      </c>
      <c r="I49" s="30">
        <f t="shared" si="40"/>
        <v>0.5035948234542259</v>
      </c>
      <c r="J49" s="30">
        <f t="shared" si="40"/>
        <v>0.48242383662537663</v>
      </c>
      <c r="K49" s="30">
        <f t="shared" si="40"/>
        <v>0.33998859098687961</v>
      </c>
      <c r="L49" s="30" t="e">
        <f t="shared" ref="L49:N49" si="41">L31/L26</f>
        <v>#DIV/0!</v>
      </c>
      <c r="M49" s="30" t="e">
        <f t="shared" si="41"/>
        <v>#DIV/0!</v>
      </c>
      <c r="N49" s="30" t="e">
        <f t="shared" si="41"/>
        <v>#DIV/0!</v>
      </c>
      <c r="P49" s="30">
        <f t="shared" ref="P49:V49" si="42">P31/P26</f>
        <v>0.35936760763286546</v>
      </c>
      <c r="Q49" s="30">
        <f t="shared" si="42"/>
        <v>0.41123058542413382</v>
      </c>
      <c r="R49" s="30">
        <f t="shared" si="42"/>
        <v>0.41574580354070279</v>
      </c>
      <c r="S49" s="30">
        <f t="shared" si="42"/>
        <v>0.44439318802137395</v>
      </c>
      <c r="T49" s="30">
        <f t="shared" si="42"/>
        <v>0.47493624481989161</v>
      </c>
      <c r="U49" s="30">
        <f t="shared" si="42"/>
        <v>0.47163337826246782</v>
      </c>
      <c r="V49" s="30">
        <f t="shared" si="42"/>
        <v>0.46802398201348988</v>
      </c>
    </row>
    <row r="50" spans="1:37" x14ac:dyDescent="0.2">
      <c r="B50" s="3" t="s">
        <v>47</v>
      </c>
      <c r="C50" s="30">
        <f>Model!C38/Model!C26</f>
        <v>0.31246721454799792</v>
      </c>
      <c r="D50" s="30">
        <f>Model!D38/Model!D26</f>
        <v>0.32529194837123543</v>
      </c>
      <c r="E50" s="30">
        <f>Model!E38/Model!E26</f>
        <v>0.34484954625059705</v>
      </c>
      <c r="F50" s="30">
        <f>Model!F38/Model!F26</f>
        <v>0.34476987447698743</v>
      </c>
      <c r="G50" s="30">
        <f>Model!G38/Model!G26</f>
        <v>0.38181492109038739</v>
      </c>
      <c r="H50" s="30">
        <f>Model!H38/Model!H26</f>
        <v>0.61249798679336442</v>
      </c>
      <c r="I50" s="30">
        <f>Model!I38/Model!I26</f>
        <v>0.36635245246844544</v>
      </c>
      <c r="J50" s="30">
        <f>Model!J38/Model!J26</f>
        <v>0.5087043856712421</v>
      </c>
      <c r="K50" s="30">
        <f>Model!K38/Model!K26</f>
        <v>0.20479178551055333</v>
      </c>
      <c r="L50" s="30" t="e">
        <f>Model!L38/Model!L26</f>
        <v>#DIV/0!</v>
      </c>
      <c r="M50" s="30" t="e">
        <f>Model!M38/Model!M26</f>
        <v>#DIV/0!</v>
      </c>
      <c r="N50" s="30" t="e">
        <f>Model!N38/Model!N26</f>
        <v>#DIV/0!</v>
      </c>
      <c r="P50" s="30">
        <f>Model!P38/Model!P26</f>
        <v>0.27468064973978867</v>
      </c>
      <c r="Q50" s="30">
        <f>Model!Q38/Model!Q26</f>
        <v>-5.1692552767821587E-2</v>
      </c>
      <c r="R50" s="30">
        <f>Model!R38/Model!R26</f>
        <v>0.17030550988414331</v>
      </c>
      <c r="S50" s="30">
        <f>Model!S38/Model!S26</f>
        <v>9.5144735324645374E-2</v>
      </c>
      <c r="T50" s="30">
        <f>Model!T38/Model!T26</f>
        <v>0.22967803634045267</v>
      </c>
      <c r="U50" s="30">
        <f>Model!U38/Model!U26</f>
        <v>0.33206714863374587</v>
      </c>
      <c r="V50" s="30">
        <f>Model!V38/Model!V26</f>
        <v>0.46898159713548171</v>
      </c>
    </row>
    <row r="51" spans="1:37" x14ac:dyDescent="0.2">
      <c r="B51" s="3" t="s">
        <v>48</v>
      </c>
      <c r="C51" s="30">
        <f t="shared" ref="C51:K51" si="43">C37/C36</f>
        <v>0.27914481645824929</v>
      </c>
      <c r="D51" s="30">
        <f t="shared" si="43"/>
        <v>0.24554526015680683</v>
      </c>
      <c r="E51" s="30">
        <f t="shared" si="43"/>
        <v>0.25515818431911969</v>
      </c>
      <c r="F51" s="30">
        <f t="shared" si="43"/>
        <v>0.24680073126142596</v>
      </c>
      <c r="G51" s="30">
        <f t="shared" si="43"/>
        <v>0.22270901788974079</v>
      </c>
      <c r="H51" s="30">
        <f t="shared" si="43"/>
        <v>0.25664581704456607</v>
      </c>
      <c r="I51" s="30">
        <f t="shared" si="43"/>
        <v>0.24223397224058163</v>
      </c>
      <c r="J51" s="30">
        <f t="shared" si="43"/>
        <v>-9.4346416996759094E-2</v>
      </c>
      <c r="K51" s="30">
        <f t="shared" si="43"/>
        <v>0.36007130124777181</v>
      </c>
      <c r="L51" s="30" t="e">
        <f t="shared" ref="L51:N51" si="44">L37/L36</f>
        <v>#DIV/0!</v>
      </c>
      <c r="M51" s="30" t="e">
        <f t="shared" si="44"/>
        <v>#DIV/0!</v>
      </c>
      <c r="N51" s="30" t="e">
        <f t="shared" si="44"/>
        <v>#DIV/0!</v>
      </c>
      <c r="P51" s="30">
        <f t="shared" ref="P51:V51" si="45">P37/P36</f>
        <v>0.25414837811797453</v>
      </c>
      <c r="Q51" s="30">
        <f t="shared" si="45"/>
        <v>2.6945169712793735</v>
      </c>
      <c r="R51" s="30">
        <f t="shared" si="45"/>
        <v>0.35355587808417999</v>
      </c>
      <c r="S51" s="30">
        <f t="shared" si="45"/>
        <v>0.35277196652719667</v>
      </c>
      <c r="T51" s="30">
        <f t="shared" si="45"/>
        <v>0.21992150493977533</v>
      </c>
      <c r="U51" s="30">
        <f t="shared" si="45"/>
        <v>0.25603953147877012</v>
      </c>
      <c r="V51" s="30">
        <f t="shared" si="45"/>
        <v>0.17528188607409576</v>
      </c>
    </row>
    <row r="52" spans="1:37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37" x14ac:dyDescent="0.2">
      <c r="A53" s="26" t="s">
        <v>8</v>
      </c>
      <c r="B53" s="9" t="s">
        <v>49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37" x14ac:dyDescent="0.2">
      <c r="B54" s="3" t="s">
        <v>50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P54" s="8">
        <v>1333</v>
      </c>
      <c r="Q54" s="8">
        <v>2117</v>
      </c>
      <c r="R54" s="8">
        <v>4945</v>
      </c>
      <c r="S54" s="8">
        <v>4544</v>
      </c>
      <c r="T54" s="8">
        <v>4030</v>
      </c>
      <c r="U54" s="8">
        <v>3686</v>
      </c>
      <c r="V54" s="8">
        <v>3127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">
      <c r="B55" s="3" t="s">
        <v>51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P55" s="8">
        <v>142</v>
      </c>
      <c r="Q55" s="8">
        <v>152</v>
      </c>
      <c r="R55" s="8">
        <v>137</v>
      </c>
      <c r="S55" s="8">
        <v>47</v>
      </c>
      <c r="T55" s="8">
        <f>1721+48</f>
        <v>1769</v>
      </c>
      <c r="U55" s="8">
        <v>71</v>
      </c>
      <c r="V55" s="8">
        <v>0</v>
      </c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2">
      <c r="B56" s="3" t="s">
        <v>52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P56" s="8">
        <v>2331</v>
      </c>
      <c r="Q56" s="8">
        <v>2293</v>
      </c>
      <c r="R56" s="8">
        <v>1966</v>
      </c>
      <c r="S56" s="8">
        <v>1194</v>
      </c>
      <c r="T56" s="8">
        <f>704+186+24+266</f>
        <v>1180</v>
      </c>
      <c r="U56" s="8">
        <f>649+204+22+340</f>
        <v>1215</v>
      </c>
      <c r="V56" s="8">
        <v>1080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">
      <c r="B57" s="3" t="s">
        <v>53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P57" s="8">
        <v>167</v>
      </c>
      <c r="Q57" s="8">
        <v>116</v>
      </c>
      <c r="R57" s="8">
        <v>0</v>
      </c>
      <c r="S57" s="8">
        <v>0</v>
      </c>
      <c r="T57" s="8">
        <v>103</v>
      </c>
      <c r="U57" s="8">
        <v>496</v>
      </c>
      <c r="V57" s="8">
        <v>0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">
      <c r="B58" s="3" t="s">
        <v>36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P58" s="8">
        <v>326</v>
      </c>
      <c r="Q58" s="8">
        <v>146</v>
      </c>
      <c r="R58" s="8">
        <v>69</v>
      </c>
      <c r="S58" s="8">
        <v>298</v>
      </c>
      <c r="T58" s="8">
        <v>138</v>
      </c>
      <c r="U58" s="8">
        <v>117</v>
      </c>
      <c r="V58" s="8">
        <v>306</v>
      </c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">
      <c r="B59" s="3" t="s">
        <v>54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P59" s="8">
        <f t="shared" ref="P59:T59" si="46">SUM(P54:P58)</f>
        <v>4299</v>
      </c>
      <c r="Q59" s="8">
        <f t="shared" si="46"/>
        <v>4824</v>
      </c>
      <c r="R59" s="8">
        <f t="shared" si="46"/>
        <v>7117</v>
      </c>
      <c r="S59" s="8">
        <f t="shared" si="46"/>
        <v>6083</v>
      </c>
      <c r="T59" s="8">
        <f t="shared" si="46"/>
        <v>7220</v>
      </c>
      <c r="U59" s="8">
        <f>SUM(U54:U58)</f>
        <v>5585</v>
      </c>
      <c r="V59" s="8">
        <f>SUM(V54:V58)</f>
        <v>4513</v>
      </c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2">
      <c r="B60" s="3" t="s">
        <v>55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P60" s="8">
        <v>1938</v>
      </c>
      <c r="Q60" s="8">
        <v>1999</v>
      </c>
      <c r="R60" s="8">
        <v>2012</v>
      </c>
      <c r="S60" s="8">
        <v>1553</v>
      </c>
      <c r="T60" s="8">
        <v>1608</v>
      </c>
      <c r="U60" s="8">
        <v>1652</v>
      </c>
      <c r="V60" s="8">
        <v>1617</v>
      </c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">
      <c r="B61" s="3" t="s">
        <v>56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P61" s="8">
        <v>5196</v>
      </c>
      <c r="Q61" s="8">
        <v>5177</v>
      </c>
      <c r="R61" s="8">
        <v>5177</v>
      </c>
      <c r="S61" s="8">
        <v>5177</v>
      </c>
      <c r="T61" s="8">
        <v>5177</v>
      </c>
      <c r="U61" s="8">
        <v>6791</v>
      </c>
      <c r="V61" s="8">
        <v>19918</v>
      </c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2">
      <c r="B62" s="3" t="s">
        <v>57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P62" s="8">
        <v>12279</v>
      </c>
      <c r="Q62" s="8">
        <v>12687</v>
      </c>
      <c r="R62" s="8">
        <v>12615</v>
      </c>
      <c r="S62" s="8">
        <v>12306</v>
      </c>
      <c r="T62" s="8">
        <v>12384</v>
      </c>
      <c r="U62" s="8">
        <v>13686</v>
      </c>
      <c r="V62" s="8">
        <v>0</v>
      </c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">
      <c r="B63" s="3" t="s">
        <v>58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P63" s="8">
        <v>30496</v>
      </c>
      <c r="Q63" s="8">
        <v>23581</v>
      </c>
      <c r="R63" s="8">
        <v>19529</v>
      </c>
      <c r="S63" s="8">
        <v>13481</v>
      </c>
      <c r="T63" s="8">
        <v>9600</v>
      </c>
      <c r="U63" s="8">
        <v>10011</v>
      </c>
      <c r="V63" s="8">
        <v>8195</v>
      </c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2">
      <c r="B64" s="3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P64" s="8">
        <v>1251</v>
      </c>
      <c r="Q64" s="8">
        <v>1003</v>
      </c>
      <c r="R64" s="8">
        <v>964</v>
      </c>
      <c r="S64" s="8">
        <v>923</v>
      </c>
      <c r="T64" s="8">
        <v>965</v>
      </c>
      <c r="U64" s="8">
        <v>845</v>
      </c>
      <c r="V64" s="8">
        <v>934</v>
      </c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2:37" x14ac:dyDescent="0.2">
      <c r="B65" s="3" t="s">
        <v>59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P65" s="8">
        <f>SUM(P60:P64)</f>
        <v>51160</v>
      </c>
      <c r="Q65" s="8">
        <f t="shared" ref="Q65:T65" si="47">SUM(Q60:Q64)</f>
        <v>44447</v>
      </c>
      <c r="R65" s="8">
        <f t="shared" si="47"/>
        <v>40297</v>
      </c>
      <c r="S65" s="8">
        <f t="shared" si="47"/>
        <v>33440</v>
      </c>
      <c r="T65" s="8">
        <f t="shared" si="47"/>
        <v>29734</v>
      </c>
      <c r="U65" s="8">
        <f>SUM(U60:U64)</f>
        <v>32985</v>
      </c>
      <c r="V65" s="8">
        <f>SUM(V60:V64)</f>
        <v>30664</v>
      </c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2:37" x14ac:dyDescent="0.2">
      <c r="B66" s="2" t="s">
        <v>60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P66" s="27">
        <f t="shared" ref="P66:V66" si="48">P65+P59</f>
        <v>55459</v>
      </c>
      <c r="Q66" s="27">
        <f t="shared" si="48"/>
        <v>49271</v>
      </c>
      <c r="R66" s="27">
        <f t="shared" si="48"/>
        <v>47414</v>
      </c>
      <c r="S66" s="27">
        <f t="shared" si="48"/>
        <v>39523</v>
      </c>
      <c r="T66" s="27">
        <f t="shared" si="48"/>
        <v>36954</v>
      </c>
      <c r="U66" s="27">
        <f t="shared" si="48"/>
        <v>38570</v>
      </c>
      <c r="V66" s="27">
        <f t="shared" si="48"/>
        <v>35177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2:37" x14ac:dyDescent="0.2">
      <c r="B67" s="3" t="s">
        <v>61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P67" s="8">
        <f>12704+1144</f>
        <v>13848</v>
      </c>
      <c r="Q67" s="8">
        <v>1000</v>
      </c>
      <c r="R67" s="8">
        <v>1500</v>
      </c>
      <c r="S67" s="8">
        <v>1105</v>
      </c>
      <c r="T67" s="8">
        <v>1556</v>
      </c>
      <c r="U67" s="8">
        <v>1121</v>
      </c>
      <c r="V67" s="8">
        <v>1527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2:37" x14ac:dyDescent="0.2">
      <c r="B68" s="3" t="s">
        <v>62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P68" s="8">
        <v>399</v>
      </c>
      <c r="Q68" s="8">
        <v>325</v>
      </c>
      <c r="R68" s="8">
        <v>380</v>
      </c>
      <c r="S68" s="8">
        <v>449</v>
      </c>
      <c r="T68" s="8">
        <v>552</v>
      </c>
      <c r="U68" s="8">
        <v>582</v>
      </c>
      <c r="V68" s="8">
        <v>0</v>
      </c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2:37" x14ac:dyDescent="0.2">
      <c r="B69" s="3" t="s">
        <v>63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P69" s="8">
        <f>3454+586+1403</f>
        <v>5443</v>
      </c>
      <c r="Q69" s="8">
        <f>393+3346+1545</f>
        <v>5284</v>
      </c>
      <c r="R69" s="8">
        <f>523+3564+1494</f>
        <v>5581</v>
      </c>
      <c r="S69" s="8">
        <f>664+3349+1365</f>
        <v>5378</v>
      </c>
      <c r="T69" s="8">
        <f>599+2925+1299</f>
        <v>4823</v>
      </c>
      <c r="U69" s="8">
        <f>716+2563+1902</f>
        <v>5181</v>
      </c>
      <c r="V69" s="8">
        <v>2354</v>
      </c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2:37" x14ac:dyDescent="0.2">
      <c r="B70" s="3" t="s">
        <v>66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2700</v>
      </c>
      <c r="V70" s="8">
        <v>0</v>
      </c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2:37" x14ac:dyDescent="0.2">
      <c r="B71" s="3" t="s">
        <v>64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P71" s="8">
        <v>1503</v>
      </c>
      <c r="Q71" s="8">
        <v>1565</v>
      </c>
      <c r="R71" s="8">
        <v>1602</v>
      </c>
      <c r="S71" s="8">
        <v>1647</v>
      </c>
      <c r="T71" s="8">
        <v>1685</v>
      </c>
      <c r="U71" s="8">
        <v>1735</v>
      </c>
      <c r="V71" s="8">
        <v>4900</v>
      </c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2:37" x14ac:dyDescent="0.2">
      <c r="B72" s="3" t="s">
        <v>65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P72" s="8">
        <f t="shared" ref="P72:T72" si="49">SUM(P67:P71)</f>
        <v>21193</v>
      </c>
      <c r="Q72" s="8">
        <f t="shared" si="49"/>
        <v>8174</v>
      </c>
      <c r="R72" s="8">
        <f t="shared" si="49"/>
        <v>9063</v>
      </c>
      <c r="S72" s="8">
        <f t="shared" si="49"/>
        <v>8579</v>
      </c>
      <c r="T72" s="8">
        <f t="shared" si="49"/>
        <v>8616</v>
      </c>
      <c r="U72" s="8">
        <f>SUM(U67:U71)</f>
        <v>11319</v>
      </c>
      <c r="V72" s="8">
        <f>SUM(V67:V71)</f>
        <v>8781</v>
      </c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2:37" x14ac:dyDescent="0.2">
      <c r="B73" s="3" t="s">
        <v>67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P73" s="8">
        <v>11898</v>
      </c>
      <c r="Q73" s="8">
        <v>27042</v>
      </c>
      <c r="R73" s="8">
        <v>27971</v>
      </c>
      <c r="S73" s="8">
        <v>26939</v>
      </c>
      <c r="T73" s="8">
        <v>25124</v>
      </c>
      <c r="U73" s="8">
        <v>25112</v>
      </c>
      <c r="V73" s="8">
        <v>23399</v>
      </c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2:37" x14ac:dyDescent="0.2">
      <c r="B74" s="3" t="s">
        <v>68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P74" s="8">
        <v>4993</v>
      </c>
      <c r="Q74" s="8">
        <v>5083</v>
      </c>
      <c r="R74" s="8">
        <v>4532</v>
      </c>
      <c r="S74" s="8">
        <v>3692</v>
      </c>
      <c r="T74" s="8">
        <v>2897</v>
      </c>
      <c r="U74" s="8">
        <v>2799</v>
      </c>
      <c r="V74" s="8">
        <v>3749</v>
      </c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2:37" x14ac:dyDescent="0.2">
      <c r="B75" s="3" t="s">
        <v>69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P75" s="8">
        <f>544+1749</f>
        <v>2293</v>
      </c>
      <c r="Q75" s="8">
        <f>473+1797</f>
        <v>2270</v>
      </c>
      <c r="R75" s="8">
        <f>551+1951</f>
        <v>2502</v>
      </c>
      <c r="S75" s="8">
        <f>200+1436</f>
        <v>1636</v>
      </c>
      <c r="T75" s="8">
        <f>133+1083</f>
        <v>1216</v>
      </c>
      <c r="U75" s="8">
        <f>130+1079</f>
        <v>1209</v>
      </c>
      <c r="V75" s="8">
        <v>136</v>
      </c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2:37" x14ac:dyDescent="0.2">
      <c r="B76" s="3" t="s">
        <v>66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P76" s="8">
        <v>0</v>
      </c>
      <c r="Q76" s="8">
        <v>0</v>
      </c>
      <c r="R76" s="8">
        <v>0</v>
      </c>
      <c r="S76" s="8">
        <v>0</v>
      </c>
      <c r="T76" s="8">
        <v>2700</v>
      </c>
      <c r="U76" s="8">
        <v>0</v>
      </c>
      <c r="V76" s="8">
        <v>0</v>
      </c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2:37" x14ac:dyDescent="0.2">
      <c r="B77" s="3" t="s">
        <v>36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P77" s="8">
        <v>254</v>
      </c>
      <c r="Q77" s="8">
        <v>345</v>
      </c>
      <c r="R77" s="8">
        <v>381</v>
      </c>
      <c r="S77" s="8">
        <v>283</v>
      </c>
      <c r="T77" s="8">
        <v>324</v>
      </c>
      <c r="U77" s="8">
        <v>1621</v>
      </c>
      <c r="V77" s="8">
        <f>935+365</f>
        <v>1300</v>
      </c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2:37" x14ac:dyDescent="0.2">
      <c r="B78" s="3" t="s">
        <v>70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P78" s="8">
        <f t="shared" ref="P78:T78" si="50">SUM(P73:P77)</f>
        <v>19438</v>
      </c>
      <c r="Q78" s="8">
        <f t="shared" si="50"/>
        <v>34740</v>
      </c>
      <c r="R78" s="8">
        <f t="shared" si="50"/>
        <v>35386</v>
      </c>
      <c r="S78" s="8">
        <f t="shared" si="50"/>
        <v>32550</v>
      </c>
      <c r="T78" s="8">
        <f t="shared" si="50"/>
        <v>32261</v>
      </c>
      <c r="U78" s="8">
        <f>SUM(U73:U77)</f>
        <v>30741</v>
      </c>
      <c r="V78" s="8">
        <f>SUM(V73:V77)</f>
        <v>28584</v>
      </c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2:37" x14ac:dyDescent="0.2">
      <c r="B79" s="2" t="s">
        <v>71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P79" s="27">
        <f t="shared" ref="P79:V79" si="51">P78+P72</f>
        <v>40631</v>
      </c>
      <c r="Q79" s="27">
        <f t="shared" si="51"/>
        <v>42914</v>
      </c>
      <c r="R79" s="27">
        <f t="shared" si="51"/>
        <v>44449</v>
      </c>
      <c r="S79" s="27">
        <f t="shared" si="51"/>
        <v>41129</v>
      </c>
      <c r="T79" s="27">
        <f t="shared" si="51"/>
        <v>40877</v>
      </c>
      <c r="U79" s="27">
        <f t="shared" si="51"/>
        <v>42060</v>
      </c>
      <c r="V79" s="27">
        <f t="shared" si="51"/>
        <v>37365</v>
      </c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2:37" x14ac:dyDescent="0.2">
      <c r="B80" s="3" t="s">
        <v>72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P80" s="8">
        <f>14789+39</f>
        <v>14828</v>
      </c>
      <c r="Q80" s="8">
        <v>6357</v>
      </c>
      <c r="R80" s="8">
        <v>2925</v>
      </c>
      <c r="S80" s="8">
        <v>-1606</v>
      </c>
      <c r="T80" s="8">
        <v>-3923</v>
      </c>
      <c r="U80" s="8">
        <v>-3490</v>
      </c>
      <c r="V80" s="8">
        <f>-2238+50</f>
        <v>-2188</v>
      </c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x14ac:dyDescent="0.2">
      <c r="B81" s="2" t="s">
        <v>73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P81" s="27">
        <f t="shared" ref="P81:V81" si="52">P80+P79</f>
        <v>55459</v>
      </c>
      <c r="Q81" s="27">
        <f t="shared" si="52"/>
        <v>49271</v>
      </c>
      <c r="R81" s="27">
        <f t="shared" si="52"/>
        <v>47374</v>
      </c>
      <c r="S81" s="27">
        <f t="shared" si="52"/>
        <v>39523</v>
      </c>
      <c r="T81" s="27">
        <f t="shared" si="52"/>
        <v>36954</v>
      </c>
      <c r="U81" s="27">
        <f t="shared" si="52"/>
        <v>38570</v>
      </c>
      <c r="V81" s="27">
        <f t="shared" si="52"/>
        <v>35177</v>
      </c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x14ac:dyDescent="0.2">
      <c r="A83" s="26" t="s">
        <v>8</v>
      </c>
      <c r="B83" s="9" t="s">
        <v>74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:37" x14ac:dyDescent="0.2">
      <c r="B84" s="3" t="s">
        <v>81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P84" s="8">
        <v>227</v>
      </c>
      <c r="Q84" s="8">
        <v>226</v>
      </c>
      <c r="R84" s="8">
        <v>257</v>
      </c>
      <c r="S84" s="8">
        <v>244</v>
      </c>
      <c r="T84" s="8">
        <v>226</v>
      </c>
      <c r="U84" s="8">
        <v>272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1:37" x14ac:dyDescent="0.2">
      <c r="B85" s="3" t="s">
        <v>75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P85" s="8">
        <f>-129+27+218-21+980-41-13+79</f>
        <v>1100</v>
      </c>
      <c r="Q85" s="8">
        <f>-8+42-79+89+11-108-56-52+452</f>
        <v>291</v>
      </c>
      <c r="R85" s="8">
        <f>20+2+53-29-15+218-33-49+712</f>
        <v>879</v>
      </c>
      <c r="S85" s="8">
        <f>-18+57+163-149+165-215-26-175+170</f>
        <v>-28</v>
      </c>
      <c r="T85" s="8">
        <f>-21+14+92-118-129-424-20-156+199</f>
        <v>-563</v>
      </c>
      <c r="U85" s="8">
        <f>6-15+38+6+280-362-20-136+287</f>
        <v>84</v>
      </c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1:37" x14ac:dyDescent="0.2">
      <c r="B86" s="2" t="s">
        <v>76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31"/>
      <c r="P86" s="27">
        <v>8391</v>
      </c>
      <c r="Q86" s="27">
        <v>7837</v>
      </c>
      <c r="R86" s="27">
        <v>8385</v>
      </c>
      <c r="S86" s="27">
        <v>8405</v>
      </c>
      <c r="T86" s="27">
        <v>8256</v>
      </c>
      <c r="U86" s="27">
        <v>9287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x14ac:dyDescent="0.2">
      <c r="B88" s="3" t="s">
        <v>77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P88" s="8">
        <v>-238</v>
      </c>
      <c r="Q88" s="8">
        <v>-246</v>
      </c>
      <c r="R88" s="8">
        <v>-231</v>
      </c>
      <c r="S88" s="8">
        <v>-169</v>
      </c>
      <c r="T88" s="8">
        <v>-205</v>
      </c>
      <c r="U88" s="8">
        <v>-196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1:37" x14ac:dyDescent="0.2">
      <c r="B89" s="2" t="s">
        <v>78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P89" s="27">
        <v>-12988</v>
      </c>
      <c r="Q89" s="27">
        <v>-2398</v>
      </c>
      <c r="R89" s="27">
        <v>-143</v>
      </c>
      <c r="S89" s="27">
        <v>1212</v>
      </c>
      <c r="T89" s="27">
        <v>782</v>
      </c>
      <c r="U89" s="27">
        <v>-1283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1:37" x14ac:dyDescent="0.2">
      <c r="B91" s="2" t="s">
        <v>79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P91" s="27">
        <v>4716</v>
      </c>
      <c r="Q91" s="27">
        <v>-4712</v>
      </c>
      <c r="R91" s="27">
        <v>-5396</v>
      </c>
      <c r="S91" s="27">
        <v>-10029</v>
      </c>
      <c r="T91" s="27">
        <v>-9541</v>
      </c>
      <c r="U91" s="27">
        <v>-8374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1:37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x14ac:dyDescent="0.2">
      <c r="B93" s="2" t="s">
        <v>80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P93" s="27">
        <f t="shared" ref="P93:T93" si="53">P91+P89+P86</f>
        <v>119</v>
      </c>
      <c r="Q93" s="27">
        <f t="shared" si="53"/>
        <v>727</v>
      </c>
      <c r="R93" s="27">
        <f t="shared" si="53"/>
        <v>2846</v>
      </c>
      <c r="S93" s="27">
        <f t="shared" si="53"/>
        <v>-412</v>
      </c>
      <c r="T93" s="27">
        <f t="shared" si="53"/>
        <v>-503</v>
      </c>
      <c r="U93" s="27">
        <f>U91+U89+U86</f>
        <v>-370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1:37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x14ac:dyDescent="0.2">
      <c r="B95" s="2" t="s">
        <v>82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P95" s="27">
        <f t="shared" ref="P95:U95" si="54">P31-P37+P84+P85+P88</f>
        <v>7830</v>
      </c>
      <c r="Q95" s="27">
        <f t="shared" si="54"/>
        <v>8533</v>
      </c>
      <c r="R95" s="27">
        <f t="shared" si="54"/>
        <v>9342</v>
      </c>
      <c r="S95" s="27">
        <f t="shared" si="54"/>
        <v>10258</v>
      </c>
      <c r="T95" s="27">
        <f t="shared" si="54"/>
        <v>9752</v>
      </c>
      <c r="U95" s="27">
        <f t="shared" si="54"/>
        <v>8909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3:37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3:37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3:37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3:37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3:37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3:37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3:37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3:37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3:37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3:37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3:37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3:37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3:37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3:37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3:37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3:37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3:37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3:37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3:37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3:37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3:37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3:37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3:37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3:37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3:37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3:37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3:37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3:37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3:37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3:37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3:37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3:37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3:37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3:37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3:37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3:37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3:37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3:37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3:37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3:37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3:37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3:37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3:37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3:37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3:37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3:37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3:37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3:37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3:37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3:37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3:37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3:37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3:37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3:37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3:37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3:37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3:37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3:37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3:37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3:37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3:37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3:37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3:37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3:37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3:37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3:37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3:37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3:37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3:37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3:37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3:37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3:37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3:37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3:37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3:37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3:37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3:37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3:37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3:37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3:37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3:37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3:37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3:37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3:37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3:37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3:37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3:37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3:37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3:37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3:37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3:37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3:37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3:37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3:37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3:37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3:37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3:37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3:37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3:37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3:37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3:37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3:37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3:37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3:37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3:37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3:37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3:37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3:37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3:37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3:37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3:37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3:37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3:37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3:37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3:37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3:37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3:37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3:37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3:37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3:37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3:37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3:37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3:37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3:37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3:37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3:37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spans="3:37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spans="3:37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spans="3:37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spans="3:37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spans="3:37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spans="3:37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spans="3:37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spans="3:37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spans="3:37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spans="3:37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spans="3:37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spans="3:37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spans="3:37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spans="3:37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spans="3:37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spans="3:37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spans="3:37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spans="3:37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spans="3:37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spans="3:37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spans="3:37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3:37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spans="3:37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spans="3:37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spans="3:37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spans="3:37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spans="3:37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spans="3:37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spans="3:37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spans="3:37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spans="3:37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spans="3:37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spans="3:37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spans="3:37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spans="3:37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spans="3:37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spans="3:37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spans="3:37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spans="3:37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spans="3:37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spans="3:37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spans="3:37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spans="3:37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spans="3:37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spans="3:37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spans="3:37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spans="3:37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spans="3:37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spans="3:37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spans="3:37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spans="3:37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spans="3:37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spans="3:37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spans="3:37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spans="3:37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spans="3:37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spans="3:37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 spans="3:37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 spans="3:37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 spans="3:37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 spans="3:37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 spans="3:37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 spans="3:37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 spans="3:37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 spans="3:37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 spans="3:37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 spans="3:37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 spans="3:37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 spans="3:37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 spans="3:37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 spans="3:37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 spans="3:37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 spans="3:37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 spans="3:37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 spans="3:37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 spans="3:37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 spans="3:37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 spans="3:37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 spans="3:37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 spans="3:37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 spans="3:37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 spans="3:37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 spans="3:37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 spans="3:37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 spans="3:37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 spans="3:37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 spans="3:37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 spans="3:37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 spans="3:37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 spans="3:37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 spans="3:37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 spans="3:37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 spans="3:37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 spans="3:37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spans="3:37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spans="3:37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 spans="3:37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 spans="3:37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 spans="3:37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 spans="3:37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 spans="3:37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 spans="3:37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 spans="3:37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 spans="3:37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 spans="3:37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 spans="3:37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 spans="3:37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 spans="3:37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 spans="3:37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 spans="3:37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 spans="3:37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 spans="3:37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 spans="3:37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3:37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3:14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3:14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3:14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3:14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3:14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3:14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3:14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3:14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3:14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3:14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3:14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3:14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3:14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3:14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3:14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57F9-C4DB-4307-8BCE-CCB612E8D1EA}">
  <dimension ref="A1:I3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7109375" style="3" bestFit="1" customWidth="1"/>
    <col min="2" max="2" width="32.42578125" style="3" bestFit="1" customWidth="1"/>
    <col min="3" max="16384" width="9.140625" style="3"/>
  </cols>
  <sheetData>
    <row r="1" spans="1:9" customFormat="1" ht="15" x14ac:dyDescent="0.25">
      <c r="A1" s="1" t="s">
        <v>83</v>
      </c>
    </row>
    <row r="2" spans="1:9" x14ac:dyDescent="0.2">
      <c r="B2" s="9" t="s">
        <v>84</v>
      </c>
      <c r="C2" s="24">
        <v>18</v>
      </c>
      <c r="D2" s="24">
        <f>C2+1</f>
        <v>19</v>
      </c>
      <c r="E2" s="24">
        <f t="shared" ref="E2:I2" si="0">D2+1</f>
        <v>20</v>
      </c>
      <c r="F2" s="24">
        <f t="shared" si="0"/>
        <v>21</v>
      </c>
      <c r="G2" s="24">
        <f t="shared" si="0"/>
        <v>22</v>
      </c>
      <c r="H2" s="24">
        <f t="shared" si="0"/>
        <v>23</v>
      </c>
      <c r="I2" s="24">
        <f t="shared" si="0"/>
        <v>24</v>
      </c>
    </row>
    <row r="3" spans="1:9" x14ac:dyDescent="0.2">
      <c r="B3" s="9" t="s">
        <v>98</v>
      </c>
    </row>
    <row r="4" spans="1:9" x14ac:dyDescent="0.2">
      <c r="B4" s="3" t="s">
        <v>99</v>
      </c>
      <c r="C4" s="30">
        <f>Model!P38/Model!P80</f>
        <v>0.4698543296466145</v>
      </c>
      <c r="D4" s="30">
        <f>Model!Q38/Model!Q80</f>
        <v>-0.20418436369356616</v>
      </c>
      <c r="E4" s="30">
        <f>Model!R38/Model!R80</f>
        <v>1.5227350427350428</v>
      </c>
      <c r="F4" s="30">
        <f>Model!S38/Model!S80</f>
        <v>-1.5410958904109588</v>
      </c>
      <c r="G4" s="30">
        <f>Model!T38/Model!T80</f>
        <v>-1.4692837114453225</v>
      </c>
      <c r="H4" s="30">
        <f>Model!U38/Model!U80</f>
        <v>-2.329512893982808</v>
      </c>
    </row>
    <row r="5" spans="1:9" x14ac:dyDescent="0.2">
      <c r="B5" s="3" t="s">
        <v>100</v>
      </c>
    </row>
    <row r="6" spans="1:9" x14ac:dyDescent="0.2">
      <c r="B6" s="3" t="s">
        <v>101</v>
      </c>
      <c r="C6" s="30">
        <f>Model!P31*(1-Model!P51)/(Model!P67+Model!P73+Model!P80-Model!P54)</f>
        <v>0.17324832530910686</v>
      </c>
      <c r="D6" s="30">
        <f>Model!Q31*(1-Model!Q51)/(Model!Q67+Model!Q73+Model!Q80-Model!Q54)</f>
        <v>-0.54202286863982441</v>
      </c>
      <c r="E6" s="30">
        <f>Model!R31*(1-Model!R51)/(Model!R67+Model!R73+Model!R80-Model!R54)</f>
        <v>0.25604848412045866</v>
      </c>
      <c r="F6" s="30">
        <f>Model!S31*(1-Model!S51)/(Model!S67+Model!S73+Model!S80-Model!S54)</f>
        <v>0.34173545569314001</v>
      </c>
      <c r="G6" s="30">
        <f>Model!T31*(1-Model!T51)/(Model!T67+Model!T73+Model!T80-Model!T54)</f>
        <v>0.49648932464478124</v>
      </c>
      <c r="H6" s="30">
        <f>Model!U31*(1-Model!U51)/(Model!U67+Model!U73+Model!U80-Model!U54)</f>
        <v>0.45077984625148976</v>
      </c>
    </row>
    <row r="7" spans="1:9" x14ac:dyDescent="0.2">
      <c r="B7" s="3" t="s">
        <v>102</v>
      </c>
    </row>
    <row r="8" spans="1:9" x14ac:dyDescent="0.2">
      <c r="B8" s="3" t="s">
        <v>103</v>
      </c>
    </row>
    <row r="9" spans="1:9" x14ac:dyDescent="0.2">
      <c r="B9" s="3" t="s">
        <v>104</v>
      </c>
    </row>
    <row r="10" spans="1:9" x14ac:dyDescent="0.2">
      <c r="B10" s="3" t="s">
        <v>103</v>
      </c>
    </row>
    <row r="13" spans="1:9" x14ac:dyDescent="0.2">
      <c r="B13" s="9" t="s">
        <v>105</v>
      </c>
    </row>
    <row r="14" spans="1:9" x14ac:dyDescent="0.2">
      <c r="B14" s="3" t="s">
        <v>106</v>
      </c>
    </row>
    <row r="15" spans="1:9" x14ac:dyDescent="0.2">
      <c r="B15" s="3" t="s">
        <v>107</v>
      </c>
    </row>
    <row r="16" spans="1:9" x14ac:dyDescent="0.2">
      <c r="B16" s="3" t="s">
        <v>108</v>
      </c>
    </row>
    <row r="17" spans="2:2" x14ac:dyDescent="0.2">
      <c r="B17" s="3" t="s">
        <v>109</v>
      </c>
    </row>
    <row r="18" spans="2:2" x14ac:dyDescent="0.2">
      <c r="B18" s="3" t="s">
        <v>110</v>
      </c>
    </row>
    <row r="20" spans="2:2" x14ac:dyDescent="0.2">
      <c r="B20" s="9" t="s">
        <v>111</v>
      </c>
    </row>
    <row r="21" spans="2:2" x14ac:dyDescent="0.2">
      <c r="B21" s="3" t="s">
        <v>112</v>
      </c>
    </row>
    <row r="22" spans="2:2" x14ac:dyDescent="0.2">
      <c r="B22" s="3" t="s">
        <v>113</v>
      </c>
    </row>
    <row r="23" spans="2:2" x14ac:dyDescent="0.2">
      <c r="B23" s="3" t="s">
        <v>114</v>
      </c>
    </row>
    <row r="24" spans="2:2" x14ac:dyDescent="0.2">
      <c r="B24" s="3" t="s">
        <v>115</v>
      </c>
    </row>
    <row r="25" spans="2:2" x14ac:dyDescent="0.2">
      <c r="B25" s="3" t="s">
        <v>116</v>
      </c>
    </row>
    <row r="27" spans="2:2" x14ac:dyDescent="0.2">
      <c r="B27" s="9" t="s">
        <v>117</v>
      </c>
    </row>
    <row r="28" spans="2:2" x14ac:dyDescent="0.2">
      <c r="B28" s="33" t="s">
        <v>118</v>
      </c>
    </row>
    <row r="29" spans="2:2" x14ac:dyDescent="0.2">
      <c r="B29" s="3" t="s">
        <v>119</v>
      </c>
    </row>
    <row r="30" spans="2:2" x14ac:dyDescent="0.2">
      <c r="B30" s="3" t="s">
        <v>7</v>
      </c>
    </row>
    <row r="31" spans="2:2" x14ac:dyDescent="0.2">
      <c r="B31" s="3" t="s">
        <v>120</v>
      </c>
    </row>
    <row r="32" spans="2:2" x14ac:dyDescent="0.2">
      <c r="B32" s="3" t="s">
        <v>121</v>
      </c>
    </row>
    <row r="33" spans="2:2" x14ac:dyDescent="0.2">
      <c r="B33" s="3" t="s">
        <v>122</v>
      </c>
    </row>
    <row r="34" spans="2:2" x14ac:dyDescent="0.2">
      <c r="B34" s="33" t="s">
        <v>123</v>
      </c>
    </row>
    <row r="35" spans="2:2" x14ac:dyDescent="0.2">
      <c r="B35" s="3" t="s">
        <v>124</v>
      </c>
    </row>
    <row r="36" spans="2:2" x14ac:dyDescent="0.2">
      <c r="B36" s="3" t="s">
        <v>125</v>
      </c>
    </row>
    <row r="37" spans="2:2" x14ac:dyDescent="0.2">
      <c r="B37" s="3" t="s">
        <v>126</v>
      </c>
    </row>
    <row r="38" spans="2:2" x14ac:dyDescent="0.2">
      <c r="B38" s="3" t="s">
        <v>127</v>
      </c>
    </row>
  </sheetData>
  <hyperlinks>
    <hyperlink ref="A1" location="Main!A1" display="Main" xr:uid="{47B1903B-A7E4-4972-9491-9EBD5667D1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2024-07-26T15:41:25Z</dcterms:created>
  <dcterms:modified xsi:type="dcterms:W3CDTF">2025-09-02T16:51:15Z</dcterms:modified>
</cp:coreProperties>
</file>