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D3CAFC1-8B7A-46F4-BAF1-AB95557C444D}" xr6:coauthVersionLast="47" xr6:coauthVersionMax="47" xr10:uidLastSave="{00000000-0000-0000-0000-000000000000}"/>
  <bookViews>
    <workbookView xWindow="225" yWindow="1950" windowWidth="38175" windowHeight="15240" xr2:uid="{F2317BC5-DDE7-4B11-8968-E77385A88B3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2" l="1"/>
  <c r="M34" i="2"/>
  <c r="N33" i="2"/>
  <c r="M33" i="2"/>
  <c r="N32" i="2"/>
  <c r="M32" i="2"/>
  <c r="N31" i="2"/>
  <c r="M31" i="2"/>
  <c r="N30" i="2"/>
  <c r="M30" i="2"/>
  <c r="O34" i="2"/>
  <c r="O33" i="2"/>
  <c r="O32" i="2"/>
  <c r="O31" i="2"/>
  <c r="O30" i="2"/>
  <c r="P30" i="2"/>
  <c r="P31" i="2"/>
  <c r="P33" i="2"/>
  <c r="P32" i="2"/>
  <c r="P34" i="2"/>
  <c r="O35" i="2"/>
  <c r="N35" i="2"/>
  <c r="M35" i="2"/>
  <c r="P35" i="2"/>
  <c r="P36" i="2"/>
  <c r="P37" i="2"/>
  <c r="P38" i="2"/>
  <c r="O38" i="2"/>
  <c r="N38" i="2"/>
  <c r="M38" i="2"/>
  <c r="L38" i="2"/>
  <c r="O37" i="2"/>
  <c r="N37" i="2"/>
  <c r="M37" i="2"/>
  <c r="L37" i="2"/>
  <c r="O36" i="2"/>
  <c r="N36" i="2"/>
  <c r="M36" i="2"/>
  <c r="L36" i="2"/>
  <c r="N18" i="2"/>
  <c r="N17" i="2"/>
  <c r="O27" i="2"/>
  <c r="M27" i="2"/>
  <c r="O18" i="2"/>
  <c r="O17" i="2"/>
  <c r="P27" i="2"/>
  <c r="M25" i="2"/>
  <c r="L25" i="2"/>
  <c r="P25" i="2"/>
  <c r="P22" i="2"/>
  <c r="M22" i="2"/>
  <c r="L22" i="2"/>
  <c r="P19" i="2"/>
  <c r="M19" i="2"/>
  <c r="L19" i="2"/>
  <c r="P18" i="2"/>
  <c r="P17" i="2"/>
  <c r="P13" i="2"/>
  <c r="O13" i="2"/>
  <c r="N13" i="2"/>
  <c r="M13" i="2"/>
  <c r="L13" i="2"/>
  <c r="P10" i="2"/>
  <c r="O10" i="2"/>
  <c r="N10" i="2"/>
  <c r="M10" i="2"/>
  <c r="L10" i="2"/>
  <c r="G30" i="2"/>
  <c r="G31" i="2"/>
  <c r="G34" i="2"/>
  <c r="G33" i="2"/>
  <c r="G32" i="2"/>
  <c r="C18" i="2"/>
  <c r="C17" i="2"/>
  <c r="G17" i="2"/>
  <c r="G18" i="2"/>
  <c r="C10" i="2"/>
  <c r="C13" i="2" s="1"/>
  <c r="F10" i="2"/>
  <c r="F13" i="2" s="1"/>
  <c r="F19" i="2" s="1"/>
  <c r="E10" i="2"/>
  <c r="E13" i="2" s="1"/>
  <c r="E19" i="2" s="1"/>
  <c r="D10" i="2"/>
  <c r="D13" i="2" s="1"/>
  <c r="D19" i="2" s="1"/>
  <c r="G10" i="2"/>
  <c r="G13" i="2" s="1"/>
  <c r="G36" i="2" s="1"/>
  <c r="H6" i="1"/>
  <c r="H3" i="1"/>
  <c r="H4" i="1" s="1"/>
  <c r="H7" i="1" s="1"/>
  <c r="N19" i="2" l="1"/>
  <c r="N22" i="2" s="1"/>
  <c r="N25" i="2" s="1"/>
  <c r="N27" i="2" s="1"/>
  <c r="O19" i="2"/>
  <c r="O22" i="2" s="1"/>
  <c r="O25" i="2" s="1"/>
  <c r="C19" i="2"/>
  <c r="C37" i="2" s="1"/>
  <c r="E22" i="2"/>
  <c r="E37" i="2"/>
  <c r="D37" i="2"/>
  <c r="D22" i="2"/>
  <c r="F22" i="2"/>
  <c r="F37" i="2"/>
  <c r="G35" i="2"/>
  <c r="C36" i="2"/>
  <c r="D36" i="2"/>
  <c r="E36" i="2"/>
  <c r="F36" i="2"/>
  <c r="G19" i="2"/>
  <c r="C22" i="2" l="1"/>
  <c r="C38" i="2" s="1"/>
  <c r="G22" i="2"/>
  <c r="G37" i="2"/>
  <c r="F38" i="2"/>
  <c r="F25" i="2"/>
  <c r="F27" i="2" s="1"/>
  <c r="D38" i="2"/>
  <c r="D25" i="2"/>
  <c r="D27" i="2" s="1"/>
  <c r="E38" i="2"/>
  <c r="E25" i="2"/>
  <c r="E27" i="2" s="1"/>
  <c r="C25" i="2" l="1"/>
  <c r="C27" i="2" s="1"/>
  <c r="G25" i="2"/>
  <c r="G27" i="2" s="1"/>
  <c r="G38" i="2"/>
</calcChain>
</file>

<file path=xl/sharedStrings.xml><?xml version="1.0" encoding="utf-8"?>
<sst xmlns="http://schemas.openxmlformats.org/spreadsheetml/2006/main" count="75" uniqueCount="68">
  <si>
    <t xml:space="preserve">Virtu Financial 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</si>
  <si>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</si>
  <si>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</si>
  <si>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</si>
  <si>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</si>
  <si>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</si>
  <si>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</si>
  <si>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</si>
  <si>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</si>
  <si>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</si>
  <si>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</si>
  <si>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</si>
  <si>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</si>
  <si>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</si>
  <si>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</si>
  <si>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</si>
  <si>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</si>
  <si>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Trading Income</t>
  </si>
  <si>
    <t>Interests and Dividends</t>
  </si>
  <si>
    <t>Commissions and services</t>
  </si>
  <si>
    <t>Other</t>
  </si>
  <si>
    <t>Revenue</t>
  </si>
  <si>
    <t>Brokerager, exchange, payment for order flow</t>
  </si>
  <si>
    <t>Interest and Dividend Expense</t>
  </si>
  <si>
    <t>Gross Profit</t>
  </si>
  <si>
    <t>Communication and data processing</t>
  </si>
  <si>
    <t>Employee compensation</t>
  </si>
  <si>
    <t>D&amp;A</t>
  </si>
  <si>
    <t>Operating Income</t>
  </si>
  <si>
    <t>Transaction, advisor fees &amp; other</t>
  </si>
  <si>
    <t>Operations and administrative</t>
  </si>
  <si>
    <t>Pretax Income</t>
  </si>
  <si>
    <t>Interest on long term debt</t>
  </si>
  <si>
    <t>Cost of debt</t>
  </si>
  <si>
    <t>Tax Expense</t>
  </si>
  <si>
    <t>Minority Interest</t>
  </si>
  <si>
    <t>Net Income</t>
  </si>
  <si>
    <t>EPS</t>
  </si>
  <si>
    <t>Trading Income Growth</t>
  </si>
  <si>
    <t>Interest/Dividends Growth</t>
  </si>
  <si>
    <t>Commission Growth</t>
  </si>
  <si>
    <t>Revenue Growth</t>
  </si>
  <si>
    <t>Gross Margin</t>
  </si>
  <si>
    <t>Operating Margin</t>
  </si>
  <si>
    <t>Tax Rate</t>
  </si>
  <si>
    <t xml:space="preserve"> </t>
  </si>
  <si>
    <t>Market Making</t>
  </si>
  <si>
    <t>Execution Services</t>
  </si>
  <si>
    <t>Corporate</t>
  </si>
  <si>
    <t>IR</t>
  </si>
  <si>
    <t>VIRT</t>
  </si>
  <si>
    <t>Segments</t>
  </si>
  <si>
    <t>% of Rev</t>
  </si>
  <si>
    <t>Services</t>
  </si>
  <si>
    <t>Competitors</t>
  </si>
  <si>
    <t>Jane Street, Citadel</t>
  </si>
  <si>
    <t>market making in every asset class</t>
  </si>
  <si>
    <t>Market making</t>
  </si>
  <si>
    <t>25.000 OTC securities</t>
  </si>
  <si>
    <t>Trading services and analytics</t>
  </si>
  <si>
    <t xml:space="preserve">Corporate </t>
  </si>
  <si>
    <t>FY20</t>
  </si>
  <si>
    <t>FY21</t>
  </si>
  <si>
    <t>FY22</t>
  </si>
  <si>
    <t>FY23</t>
  </si>
  <si>
    <t>FY24</t>
  </si>
  <si>
    <t>Market Making Growth</t>
  </si>
  <si>
    <t>Execution Services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</si>
</sst>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1" fillId="0" borderId="4" xfId="0" applyFont="1" applyBorder="1"/>
    <xf numFmtId="9" fontId="1" fillId="0" borderId="5" xfId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9" fontId="1" fillId="0" borderId="0" xfId="1" applyFont="1" applyBorder="1"/>
    <xf numFmtId="0" fontId="1" fillId="0" borderId="8" xfId="0" applyFont="1" applyBorder="1"/>
    <xf numFmtId="0" fontId="1" fillId="0" borderId="9" xfId="0" applyFont="1" applyBorder="1"/>
    <xf numFmtId="9" fontId="1" fillId="0" borderId="10" xfId="1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0" xfId="2" applyFont="1"/>
    <xf numFmtId="164" fontId="5" fillId="0" borderId="0" xfId="0" applyNumberFormat="1" applyFont="1"/>
    <xf numFmtId="165" fontId="6" fillId="0" borderId="0" xfId="0" applyNumberFormat="1" applyFont="1"/>
    <xf numFmtId="9" fontId="6" fillId="0" borderId="0" xfId="1" applyFont="1"/>
    <xf numFmtId="9" fontId="5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A60B-4FB3-4488-9DA0-E5C9B71C2297}">
  <dimension ref="A1:I13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140625" style="6" customWidth="1"/>
    <col min="2" max="2" width="17.42578125" style="6" customWidth="1"/>
    <col min="3" max="3" width="9.140625" style="6"/>
    <col min="4" max="4" width="29.140625" style="6" customWidth="1"/>
    <col min="5" max="5" width="17.7109375" style="6" bestFit="1" customWidth="1"/>
    <col min="6" max="16384" width="9.140625" style="6"/>
  </cols>
  <sheetData>
    <row r="1" spans="1:9" x14ac:dyDescent="0.2">
      <c r="A1" s="5" t="s">
        <v>0</v>
      </c>
    </row>
    <row r="2" spans="1:9" x14ac:dyDescent="0.2">
      <c r="A2" s="6" t="s">
        <v>1</v>
      </c>
      <c r="G2" s="6" t="s">
        <v>2</v>
      </c>
      <c r="H2" s="6">
        <v>41.2</v>
      </c>
    </row>
    <row r="3" spans="1:9" x14ac:dyDescent="0.2">
      <c r="G3" s="6" t="s">
        <v>3</v>
      </c>
      <c r="H3" s="7">
        <f>85.911653+8.194847+60.09174</f>
        <v>154.19824</v>
      </c>
      <c r="I3" s="8" t="s">
        <v>13</v>
      </c>
    </row>
    <row r="4" spans="1:9" x14ac:dyDescent="0.2">
      <c r="B4" s="6" t="s">
        <v>49</v>
      </c>
      <c r="G4" s="6" t="s">
        <v>4</v>
      </c>
      <c r="H4" s="7">
        <f>+H2*H3</f>
        <v>6352.9674880000002</v>
      </c>
    </row>
    <row r="5" spans="1:9" x14ac:dyDescent="0.2">
      <c r="B5" s="6" t="s">
        <v>50</v>
      </c>
      <c r="G5" s="6" t="s">
        <v>5</v>
      </c>
      <c r="H5" s="7">
        <v>723.65</v>
      </c>
      <c r="I5" s="8" t="s">
        <v>13</v>
      </c>
    </row>
    <row r="6" spans="1:9" x14ac:dyDescent="0.2">
      <c r="G6" s="6" t="s">
        <v>6</v>
      </c>
      <c r="H6" s="7">
        <f>112.149+1741.092</f>
        <v>1853.241</v>
      </c>
      <c r="I6" s="8" t="s">
        <v>13</v>
      </c>
    </row>
    <row r="7" spans="1:9" x14ac:dyDescent="0.2">
      <c r="B7" s="9" t="s">
        <v>51</v>
      </c>
      <c r="C7" s="10" t="s">
        <v>52</v>
      </c>
      <c r="D7" s="10" t="s">
        <v>53</v>
      </c>
      <c r="E7" s="11" t="s">
        <v>54</v>
      </c>
      <c r="G7" s="6" t="s">
        <v>7</v>
      </c>
      <c r="H7" s="7">
        <f>+H4-H5+H6</f>
        <v>7482.5584880000006</v>
      </c>
    </row>
    <row r="8" spans="1:9" x14ac:dyDescent="0.2">
      <c r="B8" s="12" t="s">
        <v>46</v>
      </c>
      <c r="C8" s="13">
        <v>0.8249165442330485</v>
      </c>
      <c r="D8" s="14" t="s">
        <v>56</v>
      </c>
      <c r="E8" s="15" t="s">
        <v>55</v>
      </c>
    </row>
    <row r="9" spans="1:9" x14ac:dyDescent="0.2">
      <c r="B9" s="16" t="s">
        <v>47</v>
      </c>
      <c r="C9" s="17">
        <v>0.16829361153115824</v>
      </c>
      <c r="D9" s="6" t="s">
        <v>59</v>
      </c>
      <c r="E9" s="18"/>
    </row>
    <row r="10" spans="1:9" x14ac:dyDescent="0.2">
      <c r="B10" s="19" t="s">
        <v>48</v>
      </c>
      <c r="C10" s="20">
        <v>6.7898442357934245E-3</v>
      </c>
      <c r="D10" s="21" t="s">
        <v>60</v>
      </c>
      <c r="E10" s="22"/>
    </row>
    <row r="12" spans="1:9" x14ac:dyDescent="0.2">
      <c r="B12" s="6" t="s">
        <v>57</v>
      </c>
    </row>
    <row r="13" spans="1:9" x14ac:dyDescent="0.2">
      <c r="B13" s="6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E76C-2625-4A8C-BA57-81F6807C2301}">
  <dimension ref="A1:AL352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7" sqref="B17"/>
    </sheetView>
  </sheetViews>
  <sheetFormatPr defaultRowHeight="14.25" x14ac:dyDescent="0.2"/>
  <cols>
    <col min="1" max="1" width="5.42578125" style="2" bestFit="1" customWidth="1"/>
    <col min="2" max="2" width="29.5703125" style="2" customWidth="1"/>
    <col min="3" max="16384" width="9.140625" style="2"/>
  </cols>
  <sheetData>
    <row r="1" spans="1:38" x14ac:dyDescent="0.2">
      <c r="A1" s="23" t="s">
        <v>8</v>
      </c>
      <c r="G1" s="2" t="s">
        <v>45</v>
      </c>
    </row>
    <row r="2" spans="1:38" x14ac:dyDescent="0.2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L2" s="4" t="s">
        <v>61</v>
      </c>
      <c r="M2" s="4" t="s">
        <v>62</v>
      </c>
      <c r="N2" s="4" t="s">
        <v>63</v>
      </c>
      <c r="O2" s="4" t="s">
        <v>64</v>
      </c>
      <c r="P2" s="4" t="s">
        <v>65</v>
      </c>
    </row>
    <row r="3" spans="1:38" x14ac:dyDescent="0.2">
      <c r="B3" s="2" t="s">
        <v>46</v>
      </c>
      <c r="C3" s="3">
        <v>521.99800000000005</v>
      </c>
      <c r="D3" s="3"/>
      <c r="E3" s="3"/>
      <c r="F3" s="3"/>
      <c r="G3" s="3">
        <v>691.17200000000003</v>
      </c>
      <c r="H3" s="3"/>
      <c r="I3" s="3"/>
      <c r="J3" s="3"/>
      <c r="K3" s="3"/>
      <c r="L3" s="3"/>
      <c r="M3" s="3"/>
      <c r="N3" s="3">
        <v>1812.8389999999999</v>
      </c>
      <c r="O3" s="3">
        <v>1843.5229999999999</v>
      </c>
      <c r="P3" s="3">
        <v>2374.096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">
      <c r="B4" s="2" t="s">
        <v>47</v>
      </c>
      <c r="C4" s="3">
        <v>117.788</v>
      </c>
      <c r="D4" s="3"/>
      <c r="E4" s="3"/>
      <c r="F4" s="3"/>
      <c r="G4" s="3">
        <v>141.00800000000001</v>
      </c>
      <c r="H4" s="3"/>
      <c r="I4" s="3"/>
      <c r="J4" s="3"/>
      <c r="K4" s="3"/>
      <c r="L4" s="3"/>
      <c r="M4" s="3"/>
      <c r="N4" s="3">
        <v>514.24099999999999</v>
      </c>
      <c r="O4" s="3">
        <v>446.54199999999997</v>
      </c>
      <c r="P4" s="3">
        <v>507.23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">
      <c r="B5" s="2" t="s">
        <v>48</v>
      </c>
      <c r="C5" s="3">
        <v>4.0430000000000001</v>
      </c>
      <c r="D5" s="3"/>
      <c r="E5" s="3"/>
      <c r="F5" s="3"/>
      <c r="G5" s="3">
        <v>5.6890000000000001</v>
      </c>
      <c r="H5" s="3"/>
      <c r="I5" s="3"/>
      <c r="J5" s="3"/>
      <c r="K5" s="3"/>
      <c r="L5" s="3"/>
      <c r="M5" s="3"/>
      <c r="N5" s="3">
        <v>37.731999999999999</v>
      </c>
      <c r="O5" s="3">
        <v>3.3079999999999998</v>
      </c>
      <c r="P5" s="3">
        <v>-4.3769999999999998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">
      <c r="B6" s="2" t="s">
        <v>17</v>
      </c>
      <c r="C6" s="3">
        <v>408.09500000000003</v>
      </c>
      <c r="D6" s="3"/>
      <c r="E6" s="3"/>
      <c r="F6" s="3"/>
      <c r="G6" s="3">
        <v>589.98299999999995</v>
      </c>
      <c r="H6" s="3"/>
      <c r="I6" s="3"/>
      <c r="J6" s="3"/>
      <c r="K6" s="3"/>
      <c r="L6" s="3"/>
      <c r="M6" s="3"/>
      <c r="N6" s="3">
        <v>1628.8979999999999</v>
      </c>
      <c r="O6" s="3">
        <v>1301.3440000000001</v>
      </c>
      <c r="P6" s="3">
        <v>1822.4369999999999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">
      <c r="B7" s="2" t="s">
        <v>18</v>
      </c>
      <c r="C7" s="3">
        <v>105.992</v>
      </c>
      <c r="D7" s="3"/>
      <c r="E7" s="3"/>
      <c r="F7" s="3"/>
      <c r="G7" s="3">
        <v>109.053</v>
      </c>
      <c r="H7" s="3"/>
      <c r="I7" s="3"/>
      <c r="J7" s="3"/>
      <c r="K7" s="3"/>
      <c r="L7" s="3"/>
      <c r="M7" s="3"/>
      <c r="N7" s="3">
        <v>159.12</v>
      </c>
      <c r="O7" s="3">
        <v>462.56599999999997</v>
      </c>
      <c r="P7" s="3">
        <v>462.07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">
      <c r="B8" s="2" t="s">
        <v>19</v>
      </c>
      <c r="C8" s="3">
        <v>118.611</v>
      </c>
      <c r="D8" s="3"/>
      <c r="E8" s="3"/>
      <c r="F8" s="3"/>
      <c r="G8" s="3">
        <v>151.30699999999999</v>
      </c>
      <c r="H8" s="3"/>
      <c r="I8" s="3"/>
      <c r="J8" s="3"/>
      <c r="K8" s="3"/>
      <c r="L8" s="3"/>
      <c r="M8" s="3"/>
      <c r="N8" s="3">
        <v>529.84500000000003</v>
      </c>
      <c r="O8" s="3">
        <v>455.59800000000001</v>
      </c>
      <c r="P8" s="3">
        <v>516.78300000000002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">
      <c r="B9" s="2" t="s">
        <v>20</v>
      </c>
      <c r="C9" s="3">
        <v>10.141</v>
      </c>
      <c r="D9" s="3"/>
      <c r="E9" s="3"/>
      <c r="F9" s="3"/>
      <c r="G9" s="3">
        <v>-12.474</v>
      </c>
      <c r="H9" s="3"/>
      <c r="I9" s="3"/>
      <c r="J9" s="3"/>
      <c r="K9" s="3"/>
      <c r="L9" s="3"/>
      <c r="M9" s="3"/>
      <c r="N9" s="3">
        <v>46.948999999999998</v>
      </c>
      <c r="O9" s="3">
        <v>73.864999999999995</v>
      </c>
      <c r="P9" s="3">
        <v>75.659000000000006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15" x14ac:dyDescent="0.25">
      <c r="B10" s="1" t="s">
        <v>21</v>
      </c>
      <c r="C10" s="24">
        <f t="shared" ref="C10:F10" si="0">+SUM(C6:C9)</f>
        <v>642.83899999999994</v>
      </c>
      <c r="D10" s="24">
        <f t="shared" si="0"/>
        <v>0</v>
      </c>
      <c r="E10" s="24">
        <f t="shared" si="0"/>
        <v>0</v>
      </c>
      <c r="F10" s="24">
        <f t="shared" si="0"/>
        <v>0</v>
      </c>
      <c r="G10" s="24">
        <f>+SUM(G6:G9)</f>
        <v>837.86899999999991</v>
      </c>
      <c r="H10" s="3"/>
      <c r="I10" s="3"/>
      <c r="J10" s="3"/>
      <c r="K10" s="3"/>
      <c r="L10" s="24">
        <f t="shared" ref="L10:P10" si="1">+SUM(L6:L9)</f>
        <v>0</v>
      </c>
      <c r="M10" s="24">
        <f t="shared" si="1"/>
        <v>0</v>
      </c>
      <c r="N10" s="24">
        <f t="shared" si="1"/>
        <v>2364.8120000000004</v>
      </c>
      <c r="O10" s="24">
        <f t="shared" si="1"/>
        <v>2293.373</v>
      </c>
      <c r="P10" s="24">
        <f t="shared" si="1"/>
        <v>2876.9490000000001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">
      <c r="B11" s="2" t="s">
        <v>22</v>
      </c>
      <c r="C11" s="3">
        <v>139.79900000000001</v>
      </c>
      <c r="D11" s="3"/>
      <c r="E11" s="3"/>
      <c r="F11" s="3"/>
      <c r="G11" s="3">
        <v>221.875</v>
      </c>
      <c r="H11" s="3"/>
      <c r="I11" s="3"/>
      <c r="J11" s="3"/>
      <c r="K11" s="3"/>
      <c r="L11" s="3"/>
      <c r="M11" s="3"/>
      <c r="N11" s="3">
        <v>619.16800000000001</v>
      </c>
      <c r="O11" s="3">
        <v>508.358</v>
      </c>
      <c r="P11" s="3">
        <v>674.42600000000004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">
      <c r="B12" s="2" t="s">
        <v>23</v>
      </c>
      <c r="C12" s="3">
        <v>126.02800000000001</v>
      </c>
      <c r="D12" s="3"/>
      <c r="E12" s="3"/>
      <c r="F12" s="3"/>
      <c r="G12" s="3">
        <v>131.328</v>
      </c>
      <c r="H12" s="3"/>
      <c r="I12" s="3"/>
      <c r="J12" s="3"/>
      <c r="K12" s="3"/>
      <c r="L12" s="3"/>
      <c r="M12" s="3"/>
      <c r="N12" s="3">
        <v>231.06</v>
      </c>
      <c r="O12" s="3">
        <v>500.46699999999998</v>
      </c>
      <c r="P12" s="3">
        <v>529.17700000000002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">
      <c r="B13" s="2" t="s">
        <v>24</v>
      </c>
      <c r="C13" s="3">
        <f t="shared" ref="C13:F13" si="2">+C10-SUM(C11:C12)</f>
        <v>377.01199999999994</v>
      </c>
      <c r="D13" s="3">
        <f t="shared" si="2"/>
        <v>0</v>
      </c>
      <c r="E13" s="3">
        <f t="shared" si="2"/>
        <v>0</v>
      </c>
      <c r="F13" s="3">
        <f t="shared" si="2"/>
        <v>0</v>
      </c>
      <c r="G13" s="3">
        <f>+G10-SUM(G11:G12)</f>
        <v>484.66599999999994</v>
      </c>
      <c r="H13" s="3"/>
      <c r="I13" s="3"/>
      <c r="J13" s="3"/>
      <c r="K13" s="3"/>
      <c r="L13" s="3">
        <f t="shared" ref="L13:P13" si="3">+L10-SUM(L11:L12)</f>
        <v>0</v>
      </c>
      <c r="M13" s="3">
        <f t="shared" si="3"/>
        <v>0</v>
      </c>
      <c r="N13" s="3">
        <f t="shared" si="3"/>
        <v>1514.5840000000003</v>
      </c>
      <c r="O13" s="3">
        <f t="shared" si="3"/>
        <v>1284.548</v>
      </c>
      <c r="P13" s="3">
        <f t="shared" si="3"/>
        <v>1673.346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">
      <c r="B14" s="2" t="s">
        <v>25</v>
      </c>
      <c r="C14" s="3">
        <v>58.182000000000002</v>
      </c>
      <c r="D14" s="3"/>
      <c r="E14" s="3"/>
      <c r="F14" s="3"/>
      <c r="G14" s="3">
        <v>59.802999999999997</v>
      </c>
      <c r="H14" s="3"/>
      <c r="I14" s="3"/>
      <c r="J14" s="3"/>
      <c r="K14" s="3"/>
      <c r="L14" s="3"/>
      <c r="M14" s="3"/>
      <c r="N14" s="3">
        <v>219.505</v>
      </c>
      <c r="O14" s="3">
        <v>230.76</v>
      </c>
      <c r="P14" s="3">
        <v>236.446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">
      <c r="B15" s="2" t="s">
        <v>26</v>
      </c>
      <c r="C15" s="3">
        <v>100.82299999999999</v>
      </c>
      <c r="D15" s="3"/>
      <c r="E15" s="3"/>
      <c r="F15" s="3"/>
      <c r="G15" s="3">
        <v>119.35599999999999</v>
      </c>
      <c r="H15" s="3"/>
      <c r="I15" s="3"/>
      <c r="J15" s="3"/>
      <c r="K15" s="3"/>
      <c r="L15" s="3"/>
      <c r="M15" s="3"/>
      <c r="N15" s="3">
        <v>390.947</v>
      </c>
      <c r="O15" s="3">
        <v>394.03899999999999</v>
      </c>
      <c r="P15" s="3">
        <v>434.82299999999998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">
      <c r="B16" s="2" t="s">
        <v>30</v>
      </c>
      <c r="C16" s="3">
        <v>22.346</v>
      </c>
      <c r="D16" s="3"/>
      <c r="E16" s="3"/>
      <c r="F16" s="3"/>
      <c r="G16" s="3">
        <v>22.135999999999999</v>
      </c>
      <c r="H16" s="3"/>
      <c r="I16" s="3"/>
      <c r="J16" s="3"/>
      <c r="K16" s="3"/>
      <c r="L16" s="3"/>
      <c r="M16" s="3"/>
      <c r="N16" s="3">
        <v>86.069000000000003</v>
      </c>
      <c r="O16" s="3">
        <v>98.971999999999994</v>
      </c>
      <c r="P16" s="3">
        <v>97.001999999999995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2:38" x14ac:dyDescent="0.2">
      <c r="B17" s="2" t="s">
        <v>27</v>
      </c>
      <c r="C17" s="3">
        <f>16.076+14.687</f>
        <v>30.762999999999998</v>
      </c>
      <c r="D17" s="3"/>
      <c r="E17" s="3"/>
      <c r="F17" s="3"/>
      <c r="G17" s="3">
        <f>15.932+11.783</f>
        <v>27.715</v>
      </c>
      <c r="H17" s="3"/>
      <c r="I17" s="3"/>
      <c r="J17" s="3"/>
      <c r="K17" s="3"/>
      <c r="L17" s="3"/>
      <c r="M17" s="3"/>
      <c r="N17" s="3">
        <f>66.377+64.837</f>
        <v>131.214</v>
      </c>
      <c r="O17" s="3">
        <f>63.306+63.96</f>
        <v>127.26599999999999</v>
      </c>
      <c r="P17" s="3">
        <f>65.816+50.471</f>
        <v>116.28700000000001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2:38" x14ac:dyDescent="0.2">
      <c r="B18" s="2" t="s">
        <v>29</v>
      </c>
      <c r="C18" s="3">
        <f>0.135+0.017</f>
        <v>0.15200000000000002</v>
      </c>
      <c r="D18" s="3"/>
      <c r="E18" s="3"/>
      <c r="F18" s="3"/>
      <c r="G18" s="3">
        <f>0.338+0.01</f>
        <v>0.34800000000000003</v>
      </c>
      <c r="H18" s="3"/>
      <c r="I18" s="3"/>
      <c r="J18" s="3"/>
      <c r="K18" s="3"/>
      <c r="L18" s="3"/>
      <c r="M18" s="3"/>
      <c r="N18" s="3">
        <f>6.982+1.124</f>
        <v>8.1059999999999999</v>
      </c>
      <c r="O18" s="3">
        <f>0.445+0.314</f>
        <v>0.75900000000000001</v>
      </c>
      <c r="P18" s="3">
        <f>0.313+16.224</f>
        <v>16.536999999999999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2:38" x14ac:dyDescent="0.2">
      <c r="B19" s="2" t="s">
        <v>28</v>
      </c>
      <c r="C19" s="3">
        <f t="shared" ref="C19:F19" si="4">+C13-SUM(C14:C18)</f>
        <v>164.74599999999995</v>
      </c>
      <c r="D19" s="3">
        <f t="shared" si="4"/>
        <v>0</v>
      </c>
      <c r="E19" s="3">
        <f t="shared" si="4"/>
        <v>0</v>
      </c>
      <c r="F19" s="3">
        <f t="shared" si="4"/>
        <v>0</v>
      </c>
      <c r="G19" s="3">
        <f>+G13-SUM(G14:G18)</f>
        <v>255.30799999999994</v>
      </c>
      <c r="H19" s="3"/>
      <c r="I19" s="3"/>
      <c r="J19" s="3"/>
      <c r="K19" s="3"/>
      <c r="L19" s="3">
        <f t="shared" ref="L19:P19" si="5">+L13-SUM(L14:L18)</f>
        <v>0</v>
      </c>
      <c r="M19" s="3">
        <f t="shared" si="5"/>
        <v>0</v>
      </c>
      <c r="N19" s="3">
        <f t="shared" si="5"/>
        <v>678.74300000000039</v>
      </c>
      <c r="O19" s="3">
        <f t="shared" si="5"/>
        <v>432.75200000000007</v>
      </c>
      <c r="P19" s="3">
        <f t="shared" si="5"/>
        <v>772.25099999999998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2:38" x14ac:dyDescent="0.2">
      <c r="B20" s="2" t="s">
        <v>33</v>
      </c>
      <c r="C20" s="3">
        <v>1.694</v>
      </c>
      <c r="D20" s="3"/>
      <c r="E20" s="3"/>
      <c r="F20" s="3"/>
      <c r="G20" s="3">
        <v>1.681</v>
      </c>
      <c r="H20" s="3"/>
      <c r="I20" s="3"/>
      <c r="J20" s="3"/>
      <c r="K20" s="3"/>
      <c r="L20" s="3"/>
      <c r="M20" s="3"/>
      <c r="N20" s="3">
        <v>29.91</v>
      </c>
      <c r="O20" s="3">
        <v>8.3170000000000002</v>
      </c>
      <c r="P20" s="3">
        <v>29.478999999999999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2:38" x14ac:dyDescent="0.2">
      <c r="B21" s="2" t="s">
        <v>32</v>
      </c>
      <c r="C21" s="3">
        <v>23.231999999999999</v>
      </c>
      <c r="D21" s="3"/>
      <c r="E21" s="3"/>
      <c r="F21" s="3"/>
      <c r="G21" s="3">
        <v>29.890999999999998</v>
      </c>
      <c r="H21" s="3"/>
      <c r="I21" s="3"/>
      <c r="J21" s="3"/>
      <c r="K21" s="3"/>
      <c r="L21" s="3"/>
      <c r="M21" s="3"/>
      <c r="N21" s="3">
        <v>92.034999999999997</v>
      </c>
      <c r="O21" s="3">
        <v>99.293999999999997</v>
      </c>
      <c r="P21" s="3">
        <v>97.802000000000007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2:38" x14ac:dyDescent="0.2">
      <c r="B22" s="2" t="s">
        <v>31</v>
      </c>
      <c r="C22" s="3">
        <f t="shared" ref="C22:F22" si="6">+C19-C20-C21</f>
        <v>139.81999999999996</v>
      </c>
      <c r="D22" s="3">
        <f t="shared" si="6"/>
        <v>0</v>
      </c>
      <c r="E22" s="3">
        <f t="shared" si="6"/>
        <v>0</v>
      </c>
      <c r="F22" s="3">
        <f t="shared" si="6"/>
        <v>0</v>
      </c>
      <c r="G22" s="3">
        <f>+G19-G20-G21</f>
        <v>223.73599999999993</v>
      </c>
      <c r="H22" s="3"/>
      <c r="I22" s="3"/>
      <c r="J22" s="3"/>
      <c r="K22" s="3"/>
      <c r="L22" s="3">
        <f t="shared" ref="L22:P22" si="7">+L19-L20-L21</f>
        <v>0</v>
      </c>
      <c r="M22" s="3">
        <f t="shared" si="7"/>
        <v>0</v>
      </c>
      <c r="N22" s="3">
        <f t="shared" si="7"/>
        <v>556.79800000000046</v>
      </c>
      <c r="O22" s="3">
        <f t="shared" si="7"/>
        <v>325.14100000000008</v>
      </c>
      <c r="P22" s="3">
        <f t="shared" si="7"/>
        <v>644.96999999999991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2:38" x14ac:dyDescent="0.2">
      <c r="B23" s="2" t="s">
        <v>34</v>
      </c>
      <c r="C23" s="3">
        <v>28.512</v>
      </c>
      <c r="D23" s="3"/>
      <c r="E23" s="3"/>
      <c r="F23" s="3"/>
      <c r="G23" s="3">
        <v>34.100999999999999</v>
      </c>
      <c r="H23" s="3"/>
      <c r="I23" s="3"/>
      <c r="J23" s="3"/>
      <c r="K23" s="3"/>
      <c r="L23" s="3"/>
      <c r="M23" s="3"/>
      <c r="N23" s="3">
        <v>88.465999999999994</v>
      </c>
      <c r="O23" s="3">
        <v>61.21</v>
      </c>
      <c r="P23" s="3">
        <v>110.435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2:38" x14ac:dyDescent="0.2">
      <c r="B24" s="2" t="s">
        <v>35</v>
      </c>
      <c r="C24" s="3">
        <v>55.491</v>
      </c>
      <c r="D24" s="3"/>
      <c r="E24" s="3"/>
      <c r="F24" s="3"/>
      <c r="G24" s="3">
        <v>89.984999999999999</v>
      </c>
      <c r="H24" s="3"/>
      <c r="I24" s="3"/>
      <c r="J24" s="3"/>
      <c r="K24" s="3"/>
      <c r="L24" s="3"/>
      <c r="M24" s="3"/>
      <c r="N24" s="3">
        <v>203.30600000000001</v>
      </c>
      <c r="O24" s="3">
        <v>121.88500000000001</v>
      </c>
      <c r="P24" s="3">
        <v>258.12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2:38" x14ac:dyDescent="0.2">
      <c r="B25" s="2" t="s">
        <v>36</v>
      </c>
      <c r="C25" s="3">
        <f t="shared" ref="C25:F25" si="8">+C22-SUM(C23:C24)</f>
        <v>55.816999999999965</v>
      </c>
      <c r="D25" s="3">
        <f t="shared" si="8"/>
        <v>0</v>
      </c>
      <c r="E25" s="3">
        <f t="shared" si="8"/>
        <v>0</v>
      </c>
      <c r="F25" s="3">
        <f t="shared" si="8"/>
        <v>0</v>
      </c>
      <c r="G25" s="3">
        <f>+G22-SUM(G23:G24)</f>
        <v>99.649999999999935</v>
      </c>
      <c r="H25" s="3"/>
      <c r="I25" s="3"/>
      <c r="J25" s="3"/>
      <c r="K25" s="3"/>
      <c r="L25" s="3">
        <f t="shared" ref="L25:O25" si="9">+L22-L23-L24</f>
        <v>0</v>
      </c>
      <c r="M25" s="3">
        <f t="shared" si="9"/>
        <v>0</v>
      </c>
      <c r="N25" s="3">
        <f t="shared" si="9"/>
        <v>265.02600000000041</v>
      </c>
      <c r="O25" s="3">
        <f t="shared" si="9"/>
        <v>142.04600000000011</v>
      </c>
      <c r="P25" s="3">
        <f>+P22-P23-P24</f>
        <v>276.41499999999985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2:38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2:38" x14ac:dyDescent="0.2">
      <c r="B27" s="2" t="s">
        <v>37</v>
      </c>
      <c r="C27" s="25">
        <f t="shared" ref="C27:F27" si="10">+C25/C28</f>
        <v>0.62716349044432107</v>
      </c>
      <c r="D27" s="25" t="e">
        <f t="shared" si="10"/>
        <v>#DIV/0!</v>
      </c>
      <c r="E27" s="25" t="e">
        <f t="shared" si="10"/>
        <v>#DIV/0!</v>
      </c>
      <c r="F27" s="25" t="e">
        <f t="shared" si="10"/>
        <v>#DIV/0!</v>
      </c>
      <c r="G27" s="25">
        <f>+G25/G28</f>
        <v>1.1630347749731949</v>
      </c>
      <c r="H27" s="3"/>
      <c r="I27" s="3"/>
      <c r="J27" s="3"/>
      <c r="K27" s="3"/>
      <c r="L27" s="3"/>
      <c r="M27" s="25" t="e">
        <f t="shared" ref="M27:O27" si="11">+M25/M28</f>
        <v>#DIV/0!</v>
      </c>
      <c r="N27" s="25">
        <f t="shared" si="11"/>
        <v>2.5483326323221513</v>
      </c>
      <c r="O27" s="25">
        <f t="shared" si="11"/>
        <v>1.4955962898691488</v>
      </c>
      <c r="P27" s="25">
        <f>+P25/P28</f>
        <v>3.1596727113351388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2:38" x14ac:dyDescent="0.2">
      <c r="B28" s="2" t="s">
        <v>3</v>
      </c>
      <c r="C28" s="3">
        <v>88.999122</v>
      </c>
      <c r="D28" s="3"/>
      <c r="E28" s="3"/>
      <c r="F28" s="3"/>
      <c r="G28" s="3">
        <v>85.681015000000002</v>
      </c>
      <c r="H28" s="3"/>
      <c r="I28" s="3"/>
      <c r="J28" s="3"/>
      <c r="K28" s="3"/>
      <c r="L28" s="3"/>
      <c r="M28" s="3"/>
      <c r="N28" s="3">
        <v>103.99976700000001</v>
      </c>
      <c r="O28" s="3">
        <v>94.976164999999995</v>
      </c>
      <c r="P28" s="3">
        <v>87.482162000000002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2:38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2:38" x14ac:dyDescent="0.2">
      <c r="B30" s="2" t="s">
        <v>66</v>
      </c>
      <c r="C30" s="3"/>
      <c r="D30" s="3"/>
      <c r="E30" s="3"/>
      <c r="F30" s="3"/>
      <c r="G30" s="26">
        <f>+G3/C3-1</f>
        <v>0.32408936432706636</v>
      </c>
      <c r="H30" s="3"/>
      <c r="I30" s="3"/>
      <c r="J30" s="3"/>
      <c r="K30" s="3"/>
      <c r="L30" s="3"/>
      <c r="M30" s="26" t="e">
        <f t="shared" ref="M30:N30" si="12">+M3/L3-1</f>
        <v>#DIV/0!</v>
      </c>
      <c r="N30" s="26" t="e">
        <f t="shared" si="12"/>
        <v>#DIV/0!</v>
      </c>
      <c r="O30" s="26">
        <f t="shared" ref="O30" si="13">+O3/N3-1</f>
        <v>1.6925937714270312E-2</v>
      </c>
      <c r="P30" s="26">
        <f>+P3/O3-1</f>
        <v>0.28780384079829768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2:38" x14ac:dyDescent="0.2">
      <c r="B31" s="2" t="s">
        <v>67</v>
      </c>
      <c r="C31" s="3"/>
      <c r="D31" s="3"/>
      <c r="E31" s="3"/>
      <c r="F31" s="3"/>
      <c r="G31" s="26">
        <f>+G4/C4-1</f>
        <v>0.19713383366726678</v>
      </c>
      <c r="H31" s="3"/>
      <c r="I31" s="3"/>
      <c r="J31" s="3"/>
      <c r="K31" s="3"/>
      <c r="L31" s="3"/>
      <c r="M31" s="26" t="e">
        <f t="shared" ref="M31:N31" si="14">+M4/L4-1</f>
        <v>#DIV/0!</v>
      </c>
      <c r="N31" s="26" t="e">
        <f t="shared" si="14"/>
        <v>#DIV/0!</v>
      </c>
      <c r="O31" s="26">
        <f t="shared" ref="O31" si="15">+O4/N4-1</f>
        <v>-0.13164839054062205</v>
      </c>
      <c r="P31" s="26">
        <f>+P4/O4-1</f>
        <v>0.13590658885390416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2:38" x14ac:dyDescent="0.2">
      <c r="B32" s="2" t="s">
        <v>38</v>
      </c>
      <c r="C32" s="3"/>
      <c r="D32" s="3"/>
      <c r="E32" s="3"/>
      <c r="F32" s="3"/>
      <c r="G32" s="26">
        <f>+G6/C6-1</f>
        <v>0.4457001433489749</v>
      </c>
      <c r="H32" s="3"/>
      <c r="I32" s="3"/>
      <c r="J32" s="3"/>
      <c r="K32" s="3"/>
      <c r="L32" s="3"/>
      <c r="M32" s="26" t="e">
        <f t="shared" ref="M32:N32" si="16">+M6/L6-1</f>
        <v>#DIV/0!</v>
      </c>
      <c r="N32" s="26" t="e">
        <f t="shared" si="16"/>
        <v>#DIV/0!</v>
      </c>
      <c r="O32" s="26">
        <f t="shared" ref="O32:P33" si="17">+O6/N6-1</f>
        <v>-0.20108932542123559</v>
      </c>
      <c r="P32" s="26">
        <f t="shared" si="17"/>
        <v>0.40042678953451194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2:38" x14ac:dyDescent="0.2">
      <c r="B33" s="2" t="s">
        <v>39</v>
      </c>
      <c r="C33" s="3"/>
      <c r="D33" s="3"/>
      <c r="E33" s="3"/>
      <c r="F33" s="3"/>
      <c r="G33" s="26">
        <f t="shared" ref="G33:G34" si="18">+G7/C7-1</f>
        <v>2.8879538078345535E-2</v>
      </c>
      <c r="H33" s="3"/>
      <c r="I33" s="3"/>
      <c r="J33" s="3"/>
      <c r="K33" s="3"/>
      <c r="L33" s="3"/>
      <c r="M33" s="26" t="e">
        <f t="shared" ref="M33:N33" si="19">+M7/L7-1</f>
        <v>#DIV/0!</v>
      </c>
      <c r="N33" s="26" t="e">
        <f t="shared" si="19"/>
        <v>#DIV/0!</v>
      </c>
      <c r="O33" s="26">
        <f t="shared" si="17"/>
        <v>1.9070261437908496</v>
      </c>
      <c r="P33" s="26">
        <f t="shared" si="17"/>
        <v>-1.0722794152617787E-3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2:38" x14ac:dyDescent="0.2">
      <c r="B34" s="2" t="s">
        <v>40</v>
      </c>
      <c r="C34" s="3"/>
      <c r="D34" s="3"/>
      <c r="E34" s="3"/>
      <c r="F34" s="3"/>
      <c r="G34" s="26">
        <f t="shared" si="18"/>
        <v>0.27565740108421632</v>
      </c>
      <c r="H34" s="3"/>
      <c r="I34" s="3"/>
      <c r="J34" s="3"/>
      <c r="K34" s="3"/>
      <c r="L34" s="3"/>
      <c r="M34" s="26" t="e">
        <f t="shared" ref="M34:N34" si="20">+M8/L8-1</f>
        <v>#DIV/0!</v>
      </c>
      <c r="N34" s="26" t="e">
        <f t="shared" si="20"/>
        <v>#DIV/0!</v>
      </c>
      <c r="O34" s="26">
        <f t="shared" ref="O34" si="21">+O8/N8-1</f>
        <v>-0.14012966056110754</v>
      </c>
      <c r="P34" s="26">
        <f>+P8/O8-1</f>
        <v>0.13429602412653252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2:38" ht="15" x14ac:dyDescent="0.25">
      <c r="B35" s="1" t="s">
        <v>41</v>
      </c>
      <c r="C35" s="24"/>
      <c r="D35" s="24"/>
      <c r="E35" s="24"/>
      <c r="F35" s="24"/>
      <c r="G35" s="27">
        <f>+G10/C10-1</f>
        <v>0.30338856229942479</v>
      </c>
      <c r="H35" s="3"/>
      <c r="I35" s="3"/>
      <c r="J35" s="3"/>
      <c r="K35" s="3"/>
      <c r="L35" s="3"/>
      <c r="M35" s="27" t="e">
        <f t="shared" ref="M35:O35" si="22">+M10/L10-1</f>
        <v>#DIV/0!</v>
      </c>
      <c r="N35" s="27" t="e">
        <f t="shared" si="22"/>
        <v>#DIV/0!</v>
      </c>
      <c r="O35" s="27">
        <f t="shared" si="22"/>
        <v>-3.0209166732915849E-2</v>
      </c>
      <c r="P35" s="27">
        <f>+P10/O10-1</f>
        <v>0.25446187776693985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2:38" x14ac:dyDescent="0.2">
      <c r="B36" s="2" t="s">
        <v>42</v>
      </c>
      <c r="C36" s="26">
        <f t="shared" ref="C36:F36" si="23">+C13/C10</f>
        <v>0.58647966287048547</v>
      </c>
      <c r="D36" s="26" t="e">
        <f t="shared" si="23"/>
        <v>#DIV/0!</v>
      </c>
      <c r="E36" s="26" t="e">
        <f t="shared" si="23"/>
        <v>#DIV/0!</v>
      </c>
      <c r="F36" s="26" t="e">
        <f t="shared" si="23"/>
        <v>#DIV/0!</v>
      </c>
      <c r="G36" s="26">
        <f>+G13/G10</f>
        <v>0.57845080794253034</v>
      </c>
      <c r="H36" s="3"/>
      <c r="I36" s="3"/>
      <c r="J36" s="3"/>
      <c r="K36" s="3"/>
      <c r="L36" s="26" t="e">
        <f t="shared" ref="L36:P36" si="24">+L13/L10</f>
        <v>#DIV/0!</v>
      </c>
      <c r="M36" s="26" t="e">
        <f t="shared" si="24"/>
        <v>#DIV/0!</v>
      </c>
      <c r="N36" s="26">
        <f t="shared" si="24"/>
        <v>0.64046698003900526</v>
      </c>
      <c r="O36" s="26">
        <f t="shared" si="24"/>
        <v>0.56011298641782215</v>
      </c>
      <c r="P36" s="26">
        <f t="shared" si="24"/>
        <v>0.58163909057824803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2:38" x14ac:dyDescent="0.2">
      <c r="B37" s="2" t="s">
        <v>43</v>
      </c>
      <c r="C37" s="26">
        <f t="shared" ref="C37:F37" si="25">+C19/C10</f>
        <v>0.25627878831247008</v>
      </c>
      <c r="D37" s="26" t="e">
        <f t="shared" si="25"/>
        <v>#DIV/0!</v>
      </c>
      <c r="E37" s="26" t="e">
        <f t="shared" si="25"/>
        <v>#DIV/0!</v>
      </c>
      <c r="F37" s="26" t="e">
        <f t="shared" si="25"/>
        <v>#DIV/0!</v>
      </c>
      <c r="G37" s="26">
        <f>+G19/G10</f>
        <v>0.30471111832517966</v>
      </c>
      <c r="H37" s="3"/>
      <c r="I37" s="3"/>
      <c r="J37" s="3"/>
      <c r="K37" s="3"/>
      <c r="L37" s="26" t="e">
        <f t="shared" ref="L37:P37" si="26">+L19/L10</f>
        <v>#DIV/0!</v>
      </c>
      <c r="M37" s="26" t="e">
        <f t="shared" si="26"/>
        <v>#DIV/0!</v>
      </c>
      <c r="N37" s="26">
        <f t="shared" si="26"/>
        <v>0.2870177417908909</v>
      </c>
      <c r="O37" s="26">
        <f t="shared" si="26"/>
        <v>0.18869673620470812</v>
      </c>
      <c r="P37" s="26">
        <f t="shared" si="26"/>
        <v>0.26842707326407245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2:38" x14ac:dyDescent="0.2">
      <c r="B38" s="2" t="s">
        <v>44</v>
      </c>
      <c r="C38" s="26">
        <f t="shared" ref="C38:F38" si="27">+C23/C22</f>
        <v>0.20391932484623093</v>
      </c>
      <c r="D38" s="26" t="e">
        <f t="shared" si="27"/>
        <v>#DIV/0!</v>
      </c>
      <c r="E38" s="26" t="e">
        <f t="shared" si="27"/>
        <v>#DIV/0!</v>
      </c>
      <c r="F38" s="26" t="e">
        <f t="shared" si="27"/>
        <v>#DIV/0!</v>
      </c>
      <c r="G38" s="26">
        <f>+G23/G22</f>
        <v>0.15241624056924236</v>
      </c>
      <c r="H38" s="3"/>
      <c r="I38" s="3"/>
      <c r="J38" s="3"/>
      <c r="K38" s="3"/>
      <c r="L38" s="26" t="e">
        <f t="shared" ref="L38:P38" si="28">+L23/L22</f>
        <v>#DIV/0!</v>
      </c>
      <c r="M38" s="26" t="e">
        <f t="shared" si="28"/>
        <v>#DIV/0!</v>
      </c>
      <c r="N38" s="26">
        <f t="shared" si="28"/>
        <v>0.15888347300098046</v>
      </c>
      <c r="O38" s="26">
        <f t="shared" si="28"/>
        <v>0.18825678705546206</v>
      </c>
      <c r="P38" s="26">
        <f t="shared" si="28"/>
        <v>0.17122501821790165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2:38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2:38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2:38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2:3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2:38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2:38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2:3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2:38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2:3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2:3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3:3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3:3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3:3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3:3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3:3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3:3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3:3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3:3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3:3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3:3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3:3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3:3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3:3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3:3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3:3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3:3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3:3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3:3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3:3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3:3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3:3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3:3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3:3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3:3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3:3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3:3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3:3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3:3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3:3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3:3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3:3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3:3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3:3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3:3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3:3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3:3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3:3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3:3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3:3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3:3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3:3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3:3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3:3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3:3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3:3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3:3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3:3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3:3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3:3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3:3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3:3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3:3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3:3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3:3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3:3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3:3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3:3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3:3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3:3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3:3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3:3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3:3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3:3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3:3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3:3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3:3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3:3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3:3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3:3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3:3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3:3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3:3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3:3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3:3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3:3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3:3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3:3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3:3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3:3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3:3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3:3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3:3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3:3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3:3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3:3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3:3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3:3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3:3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3:3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3:3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3:3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3:3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3:3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3:3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3:3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3:3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3:3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3:3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3:3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3:3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3:3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3:3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3:3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3:3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3:3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3:3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3:3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3:3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3:3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3:3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3:3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3:3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3:3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3:3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3:3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3:3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3:3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3:3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3:3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3:3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3:3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3:3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3:3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3:3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3:3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3:3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3:3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3:3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3:3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3:3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3:3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3:3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3:3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3:3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3:3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3:3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3:3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3:3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3:3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3:3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3:3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3:3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3:3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3:3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3:3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3:3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3:3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3:3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3:3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3:3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3:3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3:3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3:3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3:3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3:3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3:3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3:3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3:3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3:38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3:38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3:38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3:38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3:38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3:38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3:38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3:38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3:38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3:38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3:38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3:38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3:38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3:38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3:38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3:38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3:38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3:38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3:38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3:38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3:38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3:38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3:38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3:38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3:38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3:38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3:38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3:38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3:38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3:38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3:38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3:38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3:38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3:38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3:38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3:38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3:38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3:38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3:38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3:38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3:38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3:38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3:38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3:38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3:38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3:38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3:38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3:38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3:38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3:38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3:38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3:38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3:38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3:38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3:38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3:38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3:38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3:38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3:38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3:38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3:38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3:38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3:38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3:38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3:38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3:38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3:38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3:38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3:38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3:38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3:38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3:38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3:38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3:38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3:38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3:38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3:38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3:38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3:38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3:38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3:38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3:38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3:38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3:38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3:38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3:38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3:38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3:38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3:38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3:38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3:38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3:38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3:38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3:38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3:38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3:38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3:38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3:38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3:38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3:38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3:38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3:38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3:38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3:38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3:38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3:38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3:38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3:38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3:38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3:38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3:38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3:38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3:38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3:38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3:38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3:38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3:38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3:38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3:38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3:38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3:38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3:38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3:38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3:38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3:38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3:38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3:38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3:38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3:38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3:38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3:38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3:38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3:38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3:38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3:38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3:38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3:38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3:38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3:38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3:38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3:38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3:38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3:38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3:38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3:38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3:38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</sheetData>
  <hyperlinks>
    <hyperlink ref="A1" location="Main!A1" display="Main" xr:uid="{7A5FD33B-47A5-40C1-B791-82EE8EF3F8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2025-06-13T11:14:14Z</dcterms:created>
  <dcterms:modified xsi:type="dcterms:W3CDTF">2025-09-02T17:42:50Z</dcterms:modified>
</cp:coreProperties>
</file>