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86D6EFBD-9411-4329-9244-3AF2E4B4E246}" xr6:coauthVersionLast="47" xr6:coauthVersionMax="47" xr10:uidLastSave="{00000000-0000-0000-0000-000000000000}"/>
  <bookViews>
    <workbookView xWindow="19095" yWindow="0" windowWidth="19410" windowHeight="20925" xr2:uid="{2536FD49-C228-45BB-BAA0-A0BFE1B4D82F}"/>
  </bookViews>
  <sheets>
    <sheet name="Main" sheetId="1" r:id="rId1"/>
    <sheet name="Model" sheetId="2" r:id="rId2"/>
    <sheet name="Rati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15" i="2" l="1"/>
  <c r="V111" i="2"/>
  <c r="V109" i="2"/>
  <c r="V102" i="2"/>
  <c r="V94" i="2"/>
  <c r="V93" i="2"/>
  <c r="V78" i="2"/>
  <c r="V75" i="2"/>
  <c r="V73" i="2"/>
  <c r="V72" i="2"/>
  <c r="V65" i="2"/>
  <c r="V56" i="2"/>
  <c r="V55" i="2"/>
  <c r="V48" i="2"/>
  <c r="V41" i="2"/>
  <c r="V40" i="2"/>
  <c r="V39" i="2"/>
  <c r="V38" i="2"/>
  <c r="V37" i="2"/>
  <c r="V36" i="2"/>
  <c r="V35" i="2"/>
  <c r="V34" i="2"/>
  <c r="H6" i="1"/>
  <c r="H5" i="1"/>
  <c r="V31" i="2"/>
  <c r="V29" i="2"/>
  <c r="V27" i="2"/>
  <c r="V25" i="2"/>
  <c r="V21" i="2"/>
  <c r="V18" i="2"/>
  <c r="K18" i="2"/>
  <c r="H4" i="1"/>
  <c r="Q101" i="2" l="1"/>
  <c r="R101" i="2"/>
  <c r="P38" i="2"/>
  <c r="P37" i="2"/>
  <c r="Q35" i="2"/>
  <c r="Q37" i="2"/>
  <c r="Q38" i="2"/>
  <c r="F15" i="2" l="1"/>
  <c r="F14" i="2"/>
  <c r="F13" i="2"/>
  <c r="F12" i="2"/>
  <c r="F11" i="2"/>
  <c r="F10" i="2"/>
  <c r="F9" i="2"/>
  <c r="F8" i="2"/>
  <c r="F7" i="2"/>
  <c r="F6" i="2"/>
  <c r="F5" i="2"/>
  <c r="F4" i="2"/>
  <c r="F3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F28" i="2"/>
  <c r="F26" i="2"/>
  <c r="F24" i="2"/>
  <c r="F23" i="2"/>
  <c r="F22" i="2"/>
  <c r="F20" i="2"/>
  <c r="F19" i="2"/>
  <c r="F17" i="2"/>
  <c r="F16" i="2"/>
  <c r="I34" i="2" s="1"/>
  <c r="J28" i="2"/>
  <c r="J26" i="2"/>
  <c r="J24" i="2"/>
  <c r="J23" i="2"/>
  <c r="J22" i="2"/>
  <c r="J20" i="2"/>
  <c r="J19" i="2"/>
  <c r="J17" i="2"/>
  <c r="J35" i="2" s="1"/>
  <c r="J16" i="2"/>
  <c r="J34" i="2" s="1"/>
  <c r="J32" i="2"/>
  <c r="F32" i="2"/>
  <c r="E18" i="2"/>
  <c r="E21" i="2" s="1"/>
  <c r="N35" i="2"/>
  <c r="L35" i="2"/>
  <c r="K35" i="2"/>
  <c r="N34" i="2"/>
  <c r="L34" i="2"/>
  <c r="K34" i="2"/>
  <c r="H35" i="2"/>
  <c r="G35" i="2"/>
  <c r="H34" i="2"/>
  <c r="G34" i="2"/>
  <c r="N38" i="2"/>
  <c r="M38" i="2"/>
  <c r="L38" i="2"/>
  <c r="K38" i="2"/>
  <c r="I38" i="2"/>
  <c r="H38" i="2"/>
  <c r="G38" i="2"/>
  <c r="E38" i="2"/>
  <c r="D38" i="2"/>
  <c r="C38" i="2"/>
  <c r="N37" i="2"/>
  <c r="M37" i="2"/>
  <c r="L37" i="2"/>
  <c r="K37" i="2"/>
  <c r="I37" i="2"/>
  <c r="H37" i="2"/>
  <c r="G37" i="2"/>
  <c r="E37" i="2"/>
  <c r="D37" i="2"/>
  <c r="C37" i="2"/>
  <c r="T38" i="2"/>
  <c r="S38" i="2"/>
  <c r="R38" i="2"/>
  <c r="T37" i="2"/>
  <c r="S37" i="2"/>
  <c r="R37" i="2"/>
  <c r="U38" i="2"/>
  <c r="U37" i="2"/>
  <c r="N18" i="2"/>
  <c r="N21" i="2" s="1"/>
  <c r="N25" i="2" s="1"/>
  <c r="N27" i="2" s="1"/>
  <c r="N29" i="2" s="1"/>
  <c r="N31" i="2" s="1"/>
  <c r="M18" i="2"/>
  <c r="M21" i="2" s="1"/>
  <c r="M25" i="2" s="1"/>
  <c r="M27" i="2" s="1"/>
  <c r="M29" i="2" s="1"/>
  <c r="M31" i="2" s="1"/>
  <c r="L18" i="2"/>
  <c r="L21" i="2" s="1"/>
  <c r="L25" i="2" s="1"/>
  <c r="L27" i="2" s="1"/>
  <c r="L29" i="2" s="1"/>
  <c r="L31" i="2" s="1"/>
  <c r="K21" i="2"/>
  <c r="K25" i="2" s="1"/>
  <c r="K27" i="2" s="1"/>
  <c r="K29" i="2" s="1"/>
  <c r="K31" i="2" s="1"/>
  <c r="I18" i="2"/>
  <c r="I21" i="2" s="1"/>
  <c r="I25" i="2" s="1"/>
  <c r="I27" i="2" s="1"/>
  <c r="I29" i="2" s="1"/>
  <c r="I31" i="2" s="1"/>
  <c r="H18" i="2"/>
  <c r="H21" i="2" s="1"/>
  <c r="H25" i="2" s="1"/>
  <c r="H27" i="2" s="1"/>
  <c r="H29" i="2" s="1"/>
  <c r="H31" i="2" s="1"/>
  <c r="G18" i="2"/>
  <c r="G21" i="2" s="1"/>
  <c r="G25" i="2" s="1"/>
  <c r="G27" i="2" s="1"/>
  <c r="G29" i="2" s="1"/>
  <c r="G31" i="2" s="1"/>
  <c r="D18" i="2"/>
  <c r="D21" i="2" s="1"/>
  <c r="D25" i="2" s="1"/>
  <c r="D27" i="2" s="1"/>
  <c r="D29" i="2" s="1"/>
  <c r="D31" i="2" s="1"/>
  <c r="C18" i="2"/>
  <c r="C21" i="2" s="1"/>
  <c r="C25" i="2" s="1"/>
  <c r="C27" i="2" s="1"/>
  <c r="C29" i="2" s="1"/>
  <c r="C31" i="2" s="1"/>
  <c r="T113" i="2"/>
  <c r="T109" i="2"/>
  <c r="S109" i="2"/>
  <c r="R109" i="2"/>
  <c r="Q109" i="2"/>
  <c r="P109" i="2"/>
  <c r="U109" i="2"/>
  <c r="T102" i="2"/>
  <c r="S102" i="2"/>
  <c r="R102" i="2"/>
  <c r="Q102" i="2"/>
  <c r="P102" i="2"/>
  <c r="U102" i="2"/>
  <c r="T93" i="2"/>
  <c r="S93" i="2"/>
  <c r="R93" i="2"/>
  <c r="Q93" i="2"/>
  <c r="P93" i="2"/>
  <c r="U93" i="2"/>
  <c r="T72" i="2"/>
  <c r="S72" i="2"/>
  <c r="R72" i="2"/>
  <c r="Q72" i="2"/>
  <c r="P72" i="2"/>
  <c r="U72" i="2"/>
  <c r="T65" i="2"/>
  <c r="S65" i="2"/>
  <c r="R65" i="2"/>
  <c r="Q65" i="2"/>
  <c r="P65" i="2"/>
  <c r="U65" i="2"/>
  <c r="S48" i="2"/>
  <c r="R48" i="2"/>
  <c r="Q48" i="2"/>
  <c r="P48" i="2"/>
  <c r="T55" i="2"/>
  <c r="S55" i="2"/>
  <c r="R55" i="2"/>
  <c r="Q55" i="2"/>
  <c r="P55" i="2"/>
  <c r="U55" i="2"/>
  <c r="T48" i="2"/>
  <c r="U48" i="2"/>
  <c r="T35" i="2"/>
  <c r="S35" i="2"/>
  <c r="R35" i="2"/>
  <c r="T34" i="2"/>
  <c r="S34" i="2"/>
  <c r="R34" i="2"/>
  <c r="Q34" i="2"/>
  <c r="U35" i="2"/>
  <c r="U34" i="2"/>
  <c r="T18" i="2"/>
  <c r="S18" i="2"/>
  <c r="S21" i="2" s="1"/>
  <c r="S25" i="2" s="1"/>
  <c r="S27" i="2" s="1"/>
  <c r="R18" i="2"/>
  <c r="R21" i="2" s="1"/>
  <c r="R25" i="2" s="1"/>
  <c r="Q18" i="2"/>
  <c r="P18" i="2"/>
  <c r="P21" i="2" s="1"/>
  <c r="P39" i="2" s="1"/>
  <c r="U18" i="2"/>
  <c r="H7" i="1"/>
  <c r="Q36" i="2" l="1"/>
  <c r="U21" i="2"/>
  <c r="C11" i="1"/>
  <c r="C10" i="1"/>
  <c r="C9" i="1"/>
  <c r="M34" i="2"/>
  <c r="F18" i="2"/>
  <c r="F21" i="2" s="1"/>
  <c r="F25" i="2" s="1"/>
  <c r="F27" i="2" s="1"/>
  <c r="F29" i="2" s="1"/>
  <c r="F31" i="2" s="1"/>
  <c r="J38" i="2"/>
  <c r="L40" i="2"/>
  <c r="J18" i="2"/>
  <c r="M36" i="2" s="1"/>
  <c r="M35" i="2"/>
  <c r="F37" i="2"/>
  <c r="N40" i="2"/>
  <c r="L36" i="2"/>
  <c r="I41" i="2"/>
  <c r="F38" i="2"/>
  <c r="I39" i="2"/>
  <c r="R115" i="2"/>
  <c r="M40" i="2"/>
  <c r="S73" i="2"/>
  <c r="S75" i="2" s="1"/>
  <c r="I35" i="2"/>
  <c r="K39" i="2"/>
  <c r="L39" i="2"/>
  <c r="N39" i="2"/>
  <c r="L41" i="2"/>
  <c r="N36" i="2"/>
  <c r="I40" i="2"/>
  <c r="M41" i="2"/>
  <c r="J37" i="2"/>
  <c r="M39" i="2"/>
  <c r="K41" i="2"/>
  <c r="Q73" i="2"/>
  <c r="Q75" i="2" s="1"/>
  <c r="K40" i="2"/>
  <c r="N41" i="2"/>
  <c r="C40" i="2"/>
  <c r="C39" i="2"/>
  <c r="C41" i="2"/>
  <c r="G41" i="2"/>
  <c r="G40" i="2"/>
  <c r="G39" i="2"/>
  <c r="G36" i="2"/>
  <c r="D40" i="2"/>
  <c r="D39" i="2"/>
  <c r="D41" i="2"/>
  <c r="E25" i="2"/>
  <c r="E39" i="2"/>
  <c r="H36" i="2"/>
  <c r="H41" i="2"/>
  <c r="H39" i="2"/>
  <c r="K36" i="2"/>
  <c r="H40" i="2"/>
  <c r="S115" i="2"/>
  <c r="P73" i="2"/>
  <c r="P75" i="2" s="1"/>
  <c r="P56" i="2"/>
  <c r="R73" i="2"/>
  <c r="R75" i="2" s="1"/>
  <c r="Q56" i="2"/>
  <c r="R56" i="2"/>
  <c r="T73" i="2"/>
  <c r="T75" i="2" s="1"/>
  <c r="T56" i="2"/>
  <c r="U73" i="2"/>
  <c r="U75" i="2" s="1"/>
  <c r="U56" i="2"/>
  <c r="R39" i="2"/>
  <c r="S39" i="2"/>
  <c r="R36" i="2"/>
  <c r="S36" i="2"/>
  <c r="T36" i="2"/>
  <c r="S56" i="2"/>
  <c r="Q21" i="2"/>
  <c r="Q39" i="2" s="1"/>
  <c r="S41" i="2"/>
  <c r="S29" i="2"/>
  <c r="R27" i="2"/>
  <c r="R40" i="2"/>
  <c r="T21" i="2"/>
  <c r="T39" i="2" s="1"/>
  <c r="S40" i="2"/>
  <c r="P25" i="2"/>
  <c r="P40" i="2" s="1"/>
  <c r="U25" i="2"/>
  <c r="U115" i="2" s="1"/>
  <c r="U39" i="2"/>
  <c r="U36" i="2"/>
  <c r="F39" i="2" l="1"/>
  <c r="I36" i="2"/>
  <c r="F40" i="2"/>
  <c r="J21" i="2"/>
  <c r="J25" i="2" s="1"/>
  <c r="J27" i="2" s="1"/>
  <c r="J41" i="2" s="1"/>
  <c r="F41" i="2"/>
  <c r="J36" i="2"/>
  <c r="J29" i="2"/>
  <c r="J31" i="2" s="1"/>
  <c r="J40" i="2"/>
  <c r="E27" i="2"/>
  <c r="E40" i="2"/>
  <c r="P27" i="2"/>
  <c r="P41" i="2" s="1"/>
  <c r="P115" i="2"/>
  <c r="S31" i="2"/>
  <c r="S78" i="2"/>
  <c r="S94" i="2" s="1"/>
  <c r="Q25" i="2"/>
  <c r="T25" i="2"/>
  <c r="R41" i="2"/>
  <c r="R29" i="2"/>
  <c r="U40" i="2"/>
  <c r="U27" i="2"/>
  <c r="Q115" i="2" l="1"/>
  <c r="Q40" i="2"/>
  <c r="J39" i="2"/>
  <c r="E29" i="2"/>
  <c r="E31" i="2" s="1"/>
  <c r="E41" i="2"/>
  <c r="T27" i="2"/>
  <c r="T29" i="2" s="1"/>
  <c r="T115" i="2"/>
  <c r="S111" i="2"/>
  <c r="R31" i="2"/>
  <c r="R78" i="2"/>
  <c r="R94" i="2" s="1"/>
  <c r="P29" i="2"/>
  <c r="Q27" i="2"/>
  <c r="Q41" i="2" s="1"/>
  <c r="T40" i="2"/>
  <c r="U41" i="2"/>
  <c r="U29" i="2"/>
  <c r="I8" i="3" l="1"/>
  <c r="I4" i="3"/>
  <c r="T41" i="2"/>
  <c r="T31" i="2"/>
  <c r="T78" i="2"/>
  <c r="T94" i="2" s="1"/>
  <c r="P31" i="2"/>
  <c r="P78" i="2"/>
  <c r="P94" i="2" s="1"/>
  <c r="R111" i="2"/>
  <c r="U31" i="2"/>
  <c r="U78" i="2"/>
  <c r="U94" i="2" s="1"/>
  <c r="Q29" i="2"/>
  <c r="I9" i="3" l="1"/>
  <c r="P111" i="2"/>
  <c r="Q31" i="2"/>
  <c r="Q78" i="2"/>
  <c r="Q94" i="2" s="1"/>
  <c r="T111" i="2"/>
  <c r="T112" i="2" s="1"/>
  <c r="S113" i="2" s="1"/>
  <c r="S112" i="2" s="1"/>
  <c r="R113" i="2" s="1"/>
  <c r="R112" i="2" s="1"/>
  <c r="Q113" i="2" s="1"/>
  <c r="U111" i="2"/>
  <c r="U113" i="2" s="1"/>
  <c r="Q111" i="2" l="1"/>
  <c r="Q112" i="2" s="1"/>
  <c r="P113" i="2" s="1"/>
  <c r="P112" i="2" s="1"/>
</calcChain>
</file>

<file path=xl/sharedStrings.xml><?xml version="1.0" encoding="utf-8"?>
<sst xmlns="http://schemas.openxmlformats.org/spreadsheetml/2006/main" count="245" uniqueCount="212">
  <si>
    <t>Microsoft</t>
  </si>
  <si>
    <t>number in millions</t>
  </si>
  <si>
    <t>Price</t>
  </si>
  <si>
    <t>Shares</t>
  </si>
  <si>
    <t>MC</t>
  </si>
  <si>
    <t>Cash</t>
  </si>
  <si>
    <t>Debt</t>
  </si>
  <si>
    <t>EV</t>
  </si>
  <si>
    <t>SEC</t>
  </si>
  <si>
    <t>MSFT</t>
  </si>
  <si>
    <t>Main</t>
  </si>
  <si>
    <t>FY18</t>
  </si>
  <si>
    <t>FY19</t>
  </si>
  <si>
    <t>FY20</t>
  </si>
  <si>
    <t>FY21</t>
  </si>
  <si>
    <t>FY22</t>
  </si>
  <si>
    <t>FY23</t>
  </si>
  <si>
    <t>FY24</t>
  </si>
  <si>
    <t xml:space="preserve">Product </t>
  </si>
  <si>
    <t>Services and Other</t>
  </si>
  <si>
    <t>Revenue</t>
  </si>
  <si>
    <t>COGS Products</t>
  </si>
  <si>
    <t>COGS Services</t>
  </si>
  <si>
    <t>Gross Profit</t>
  </si>
  <si>
    <t>Operating Profit</t>
  </si>
  <si>
    <t>R&amp;D</t>
  </si>
  <si>
    <t>S&amp;M</t>
  </si>
  <si>
    <t>G&amp;A</t>
  </si>
  <si>
    <t>Other Income</t>
  </si>
  <si>
    <t>Pretax Income</t>
  </si>
  <si>
    <t>Tax Expense</t>
  </si>
  <si>
    <t>Net Income</t>
  </si>
  <si>
    <t>EPS</t>
  </si>
  <si>
    <t>Revenue YoY</t>
  </si>
  <si>
    <t>Products YoY</t>
  </si>
  <si>
    <t>Services YoY</t>
  </si>
  <si>
    <t>Gross Margin</t>
  </si>
  <si>
    <t>Operating Margin</t>
  </si>
  <si>
    <t>Tax Rate</t>
  </si>
  <si>
    <t>x</t>
  </si>
  <si>
    <t>Cash &amp; Cash Equivalents</t>
  </si>
  <si>
    <t>Short-term Investments</t>
  </si>
  <si>
    <t>Accounts Receivable</t>
  </si>
  <si>
    <t>Inventories</t>
  </si>
  <si>
    <t>Other</t>
  </si>
  <si>
    <t>Current Assets</t>
  </si>
  <si>
    <t>PP&amp;E</t>
  </si>
  <si>
    <t>Operating Lease Assets</t>
  </si>
  <si>
    <t>Equity &amp; other Investments</t>
  </si>
  <si>
    <t>Goodwill</t>
  </si>
  <si>
    <t xml:space="preserve">Intagibles </t>
  </si>
  <si>
    <t>Non-Current Assets</t>
  </si>
  <si>
    <t>Assets</t>
  </si>
  <si>
    <t>Accounts Payable</t>
  </si>
  <si>
    <t>Short-term Debt</t>
  </si>
  <si>
    <t>Current Portion of Debt</t>
  </si>
  <si>
    <t>Accrued Compensations</t>
  </si>
  <si>
    <t>Short-term Tax Payables</t>
  </si>
  <si>
    <t xml:space="preserve">Accrued Revenue </t>
  </si>
  <si>
    <t>Current Liabilites</t>
  </si>
  <si>
    <t>Tax Payables</t>
  </si>
  <si>
    <t>Deffered Taxes</t>
  </si>
  <si>
    <t>Operating Lease Liabilties</t>
  </si>
  <si>
    <t>Non-Current Liabilties</t>
  </si>
  <si>
    <t xml:space="preserve">Liabilities </t>
  </si>
  <si>
    <t>Equity</t>
  </si>
  <si>
    <t>Equity &amp; Liabilties</t>
  </si>
  <si>
    <t>Cashflow Statment</t>
  </si>
  <si>
    <t>D&amp;A</t>
  </si>
  <si>
    <t>SBC</t>
  </si>
  <si>
    <t>Gain/Loss on Derivatives</t>
  </si>
  <si>
    <t>Deferred Income Taxes</t>
  </si>
  <si>
    <t>Changes in WC:</t>
  </si>
  <si>
    <t>CFFO</t>
  </si>
  <si>
    <t>Accounts Receivables</t>
  </si>
  <si>
    <t>Other Current Assets</t>
  </si>
  <si>
    <t>Other Assets</t>
  </si>
  <si>
    <t>Accounts Payables</t>
  </si>
  <si>
    <t>Deferred Revenue</t>
  </si>
  <si>
    <t>Income Tax Payables</t>
  </si>
  <si>
    <t>Other Current Liabilties</t>
  </si>
  <si>
    <t>Other Liabilties</t>
  </si>
  <si>
    <t>Net Change in WC</t>
  </si>
  <si>
    <t>Issuance Short Term Debt</t>
  </si>
  <si>
    <t>Issuance of Debt</t>
  </si>
  <si>
    <t>Repayment of Debt</t>
  </si>
  <si>
    <t>Stock Issued</t>
  </si>
  <si>
    <t>Stock Buyback</t>
  </si>
  <si>
    <t xml:space="preserve">Dividend Paid </t>
  </si>
  <si>
    <t>CFFF</t>
  </si>
  <si>
    <t>CFFI</t>
  </si>
  <si>
    <t>CapEx</t>
  </si>
  <si>
    <t>Investments</t>
  </si>
  <si>
    <t>Acquistions</t>
  </si>
  <si>
    <t>Maturities of Investments</t>
  </si>
  <si>
    <t>Sale of Investments</t>
  </si>
  <si>
    <t xml:space="preserve">Other </t>
  </si>
  <si>
    <t>Foreign Currency Effetcts</t>
  </si>
  <si>
    <t>Change in Cash</t>
  </si>
  <si>
    <t>Cash BoP</t>
  </si>
  <si>
    <t>Cash EoP</t>
  </si>
  <si>
    <t>Notes:</t>
  </si>
  <si>
    <t>CEO: Satya Nadella</t>
  </si>
  <si>
    <t>GM Products</t>
  </si>
  <si>
    <t>GM Services</t>
  </si>
  <si>
    <t>FQ123</t>
  </si>
  <si>
    <t>FQ223</t>
  </si>
  <si>
    <t>FQ323</t>
  </si>
  <si>
    <t>FQ423</t>
  </si>
  <si>
    <t>FQ124</t>
  </si>
  <si>
    <t>FQ224</t>
  </si>
  <si>
    <t>FQ324</t>
  </si>
  <si>
    <t>FQ424</t>
  </si>
  <si>
    <t>FQ125</t>
  </si>
  <si>
    <t>FQ225</t>
  </si>
  <si>
    <t>FQ325</t>
  </si>
  <si>
    <t>FQ425</t>
  </si>
  <si>
    <t>Prodctivity &amp; Business Process</t>
  </si>
  <si>
    <t>Intellegent Cloud</t>
  </si>
  <si>
    <t>Personal Computing</t>
  </si>
  <si>
    <t>Sever Products &amp; Cloud Services</t>
  </si>
  <si>
    <t>Office Products &amp; Cloud Services</t>
  </si>
  <si>
    <t>Gaming</t>
  </si>
  <si>
    <t>Windows</t>
  </si>
  <si>
    <t>LinkedIn</t>
  </si>
  <si>
    <t xml:space="preserve">Search &amp; news ads </t>
  </si>
  <si>
    <t>Enterprise &amp; Partner Services</t>
  </si>
  <si>
    <t>Dynamic Products &amp; Cloud</t>
  </si>
  <si>
    <t xml:space="preserve">Devices </t>
  </si>
  <si>
    <t>Bought LikedIn in 2016</t>
  </si>
  <si>
    <t>FY25</t>
  </si>
  <si>
    <t>Businessmodel</t>
  </si>
  <si>
    <t>Segment</t>
  </si>
  <si>
    <t>%of Rev</t>
  </si>
  <si>
    <t>Products</t>
  </si>
  <si>
    <t>Notes</t>
  </si>
  <si>
    <t>Efficency Ratios</t>
  </si>
  <si>
    <t>Return on Equity (ROE)</t>
  </si>
  <si>
    <t>Net Income/Book Value of Equity</t>
  </si>
  <si>
    <t>Return on Assets (ROA)</t>
  </si>
  <si>
    <t>EBIT/Total Assets</t>
  </si>
  <si>
    <t>Return on Capital Employed (ROCE)</t>
  </si>
  <si>
    <t>EBIT/(Long Term Assets + Working Capital (Exclusive of cash)-Accounts Payables)</t>
  </si>
  <si>
    <t>Return on Capital Invested (ROIC)</t>
  </si>
  <si>
    <t>(EBIT-Tax Expenses)/(Book Value of Equity + Book Value of Debt - Book Value of Cash)</t>
  </si>
  <si>
    <t>Retention Rate</t>
  </si>
  <si>
    <t>1 - Dividends/Net Income</t>
  </si>
  <si>
    <t>Expected Growth</t>
  </si>
  <si>
    <t>Retention rate * ROE</t>
  </si>
  <si>
    <t>Reinvestment Rate</t>
  </si>
  <si>
    <t>Net CapEx + Change in WC / EBIT * (1-t)</t>
  </si>
  <si>
    <t>Reinvestment rate * ROIC</t>
  </si>
  <si>
    <t>Financial Stabilty Ratios</t>
  </si>
  <si>
    <t>EK-Quote</t>
  </si>
  <si>
    <t>Book Value of Equity/Total of Balance Sheet</t>
  </si>
  <si>
    <t>Gearing</t>
  </si>
  <si>
    <t>(Debt - Cash (Net Debt))/Book Value of Equity</t>
  </si>
  <si>
    <t>Interest Coverage Ratio</t>
  </si>
  <si>
    <t>EBIT/Interest Expenses</t>
  </si>
  <si>
    <t>Net Debt / EBITDA</t>
  </si>
  <si>
    <t>Net Debt/EBITDA</t>
  </si>
  <si>
    <t>Goodwill-Anteil</t>
  </si>
  <si>
    <t>Goodwill/Balance Sheet Total</t>
  </si>
  <si>
    <t>WC Managment Ratios</t>
  </si>
  <si>
    <t>Debitorenlaufzeit</t>
  </si>
  <si>
    <t>Accounts Receivables/Revenue*360</t>
  </si>
  <si>
    <t>Kreditorenlaufzeit</t>
  </si>
  <si>
    <t>Accounts Payable/Revenue*360</t>
  </si>
  <si>
    <t>Liquidität 1.Grades</t>
  </si>
  <si>
    <t>Cash and Cash Equivalents/Short term liabilites</t>
  </si>
  <si>
    <t>Liquidität 2.Grades</t>
  </si>
  <si>
    <t>(Cash and Cash Equivalents + Accounts Receivables) /Short term liabilities</t>
  </si>
  <si>
    <t>Liquidität 3.Grades</t>
  </si>
  <si>
    <t>Short term assets/short term liabilites</t>
  </si>
  <si>
    <t>Vorratsintensität</t>
  </si>
  <si>
    <t>Inventory/Balance Sheet Total</t>
  </si>
  <si>
    <t>Umschlaghäufigkeit der Vorräte</t>
  </si>
  <si>
    <t>Cogs/Inventory</t>
  </si>
  <si>
    <t>Lagedauer</t>
  </si>
  <si>
    <t>360/Umschlaghäufigkeit der Vorräte</t>
  </si>
  <si>
    <t>Cash Conversion Cycle</t>
  </si>
  <si>
    <t>Cash Conversion Cycle = Debitorenlaufzeit + Lagedauer - Kreditorenlaufzeit</t>
  </si>
  <si>
    <t>Multiples</t>
  </si>
  <si>
    <t>Market Cap</t>
  </si>
  <si>
    <t>Net Debt</t>
  </si>
  <si>
    <t>Equitymultiples</t>
  </si>
  <si>
    <t>P/E Ratio</t>
  </si>
  <si>
    <t>Share Price/EPS</t>
  </si>
  <si>
    <t>PEG Ratio</t>
  </si>
  <si>
    <t>P/E Ratio / Growth</t>
  </si>
  <si>
    <t>P/B Ratio</t>
  </si>
  <si>
    <t>Market Cap/Book Vakue of Equity</t>
  </si>
  <si>
    <t>Entitymultiples</t>
  </si>
  <si>
    <t>EV/EBITDA</t>
  </si>
  <si>
    <t>EV/EBIT</t>
  </si>
  <si>
    <t>EV/FCF</t>
  </si>
  <si>
    <t>EV/Sales</t>
  </si>
  <si>
    <t>EV/Revenue</t>
  </si>
  <si>
    <t>Ratios</t>
  </si>
  <si>
    <t>Products: Microsoft 365, LinkedIn, Dynamics 365, Microsoft AI -&gt; Copilot, Office: Teams, Excel, Word etc</t>
  </si>
  <si>
    <t>Edge Browser</t>
  </si>
  <si>
    <t xml:space="preserve">Microsoft Cloud: Azure </t>
  </si>
  <si>
    <t>Microsoft 365, Office etc</t>
  </si>
  <si>
    <t>Cloud: Azur, AI etc</t>
  </si>
  <si>
    <t>Windows 11</t>
  </si>
  <si>
    <t>Windows, Surface</t>
  </si>
  <si>
    <t>Surface Product Family: Surface Laptop etc</t>
  </si>
  <si>
    <t>Xbox, Acquisition of Actvizison Blizzard: Game devolper</t>
  </si>
  <si>
    <t>Free Cash Flow</t>
  </si>
  <si>
    <t>Founded: 1975 Bill Gates</t>
  </si>
  <si>
    <t>Q425</t>
  </si>
  <si>
    <t xml:space="preserve">Steve Ballmer CEO from 2000 to 2014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</si>
</sst>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;\(#,##0.0\)"/>
    <numFmt numFmtId="165" formatCode="#,##0;\(#,##0\)"/>
    <numFmt numFmtId="166" formatCode="#,##0.00;\(#,##0.00\)"/>
    <numFmt numFmtId="167" formatCode="#,##0.0;[Red]#,##0.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0" fontId="3" fillId="0" borderId="0" xfId="2"/>
    <xf numFmtId="165" fontId="1" fillId="0" borderId="0" xfId="0" applyNumberFormat="1" applyFont="1"/>
    <xf numFmtId="166" fontId="0" fillId="0" borderId="0" xfId="0" applyNumberFormat="1"/>
    <xf numFmtId="9" fontId="0" fillId="0" borderId="0" xfId="1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7" fontId="0" fillId="0" borderId="0" xfId="0" applyNumberFormat="1"/>
    <xf numFmtId="2" fontId="0" fillId="0" borderId="0" xfId="0" applyNumberFormat="1" applyAlignment="1">
      <alignment horizontal="right"/>
    </xf>
    <xf numFmtId="9" fontId="0" fillId="0" borderId="0" xfId="0" applyNumberFormat="1"/>
    <xf numFmtId="2" fontId="0" fillId="0" borderId="0" xfId="0" applyNumberFormat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9" fontId="0" fillId="0" borderId="0" xfId="1" applyFont="1" applyBorder="1" applyAlignment="1">
      <alignment horizontal="center"/>
    </xf>
    <xf numFmtId="9" fontId="1" fillId="0" borderId="0" xfId="1" applyFont="1"/>
    <xf numFmtId="165" fontId="0" fillId="0" borderId="0" xfId="0" applyNumberFormat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c.gov/edgar/browse/?CIK=789019&amp;owner=exclud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91CD0-4B5B-46BB-BF54-99530B47ED35}">
  <dimension ref="A1:I23"/>
  <sheetViews>
    <sheetView tabSelected="1" topLeftCell="A3" zoomScale="200" zoomScaleNormal="200" workbookViewId="0">
      <selection activeCell="A3" sqref="A3"/>
    </sheetView>
  </sheetViews>
  <sheetFormatPr defaultRowHeight="15" x14ac:dyDescent="0.25"/>
  <cols>
    <col min="1" max="1" width="4.42578125" customWidth="1"/>
    <col min="2" max="2" width="25.85546875" customWidth="1"/>
    <col min="3" max="3" width="10.28515625" customWidth="1"/>
    <col min="4" max="4" width="20.85546875" bestFit="1" customWidth="1"/>
    <col min="8" max="8" width="9.5703125" bestFit="1" customWidth="1"/>
  </cols>
  <sheetData>
    <row r="1" spans="1:9" x14ac:dyDescent="0.25">
      <c r="A1" s="1" t="s">
        <v>0</v>
      </c>
    </row>
    <row r="2" spans="1:9" x14ac:dyDescent="0.25">
      <c r="A2" t="s">
        <v>1</v>
      </c>
      <c r="G2" t="s">
        <v>2</v>
      </c>
      <c r="H2" s="2">
        <v>559.02</v>
      </c>
    </row>
    <row r="3" spans="1:9" x14ac:dyDescent="0.25">
      <c r="G3" t="s">
        <v>3</v>
      </c>
      <c r="H3" s="3">
        <v>7433.1663790000002</v>
      </c>
      <c r="I3" s="4" t="s">
        <v>210</v>
      </c>
    </row>
    <row r="4" spans="1:9" x14ac:dyDescent="0.25">
      <c r="B4" s="5" t="s">
        <v>8</v>
      </c>
      <c r="G4" t="s">
        <v>4</v>
      </c>
      <c r="H4" s="3">
        <f>H3*H2</f>
        <v>4155288.66918858</v>
      </c>
    </row>
    <row r="5" spans="1:9" x14ac:dyDescent="0.25">
      <c r="B5" t="s">
        <v>9</v>
      </c>
      <c r="G5" t="s">
        <v>5</v>
      </c>
      <c r="H5" s="3">
        <f>30242+64323</f>
        <v>94565</v>
      </c>
      <c r="I5" s="4" t="s">
        <v>210</v>
      </c>
    </row>
    <row r="6" spans="1:9" x14ac:dyDescent="0.25">
      <c r="G6" t="s">
        <v>6</v>
      </c>
      <c r="H6" s="3">
        <f>0+40152</f>
        <v>40152</v>
      </c>
      <c r="I6" s="4" t="s">
        <v>210</v>
      </c>
    </row>
    <row r="7" spans="1:9" x14ac:dyDescent="0.25">
      <c r="A7" s="10" t="s">
        <v>39</v>
      </c>
      <c r="B7" s="14" t="s">
        <v>131</v>
      </c>
      <c r="G7" t="s">
        <v>7</v>
      </c>
      <c r="H7" s="3">
        <f>H4-H5+H6</f>
        <v>4100875.66918858</v>
      </c>
    </row>
    <row r="8" spans="1:9" x14ac:dyDescent="0.25">
      <c r="B8" s="27" t="s">
        <v>132</v>
      </c>
      <c r="C8" s="28" t="s">
        <v>133</v>
      </c>
      <c r="D8" s="28" t="s">
        <v>134</v>
      </c>
      <c r="E8" s="29" t="s">
        <v>135</v>
      </c>
      <c r="H8" s="3"/>
    </row>
    <row r="9" spans="1:9" x14ac:dyDescent="0.25">
      <c r="B9" s="15" t="s">
        <v>117</v>
      </c>
      <c r="C9" s="30">
        <f>Model!U13/Model!$U$18</f>
        <v>0.31709924037826059</v>
      </c>
      <c r="D9" s="16" t="s">
        <v>202</v>
      </c>
      <c r="E9" s="17"/>
    </row>
    <row r="10" spans="1:9" x14ac:dyDescent="0.25">
      <c r="B10" s="18" t="s">
        <v>118</v>
      </c>
      <c r="C10" s="30">
        <f>Model!U14/Model!$U$18</f>
        <v>0.42983493933633049</v>
      </c>
      <c r="D10" t="s">
        <v>203</v>
      </c>
      <c r="E10" s="19"/>
      <c r="G10" t="s">
        <v>102</v>
      </c>
    </row>
    <row r="11" spans="1:9" x14ac:dyDescent="0.25">
      <c r="B11" s="18" t="s">
        <v>119</v>
      </c>
      <c r="C11" s="30">
        <f>Model!U15/Model!$U$18</f>
        <v>0.25306582028540892</v>
      </c>
      <c r="D11" t="s">
        <v>205</v>
      </c>
      <c r="E11" s="19"/>
      <c r="G11" t="s">
        <v>209</v>
      </c>
    </row>
    <row r="12" spans="1:9" x14ac:dyDescent="0.25">
      <c r="B12" s="20"/>
      <c r="C12" s="21"/>
      <c r="D12" s="21"/>
      <c r="E12" s="22"/>
      <c r="G12" t="s">
        <v>211</v>
      </c>
    </row>
    <row r="15" spans="1:9" x14ac:dyDescent="0.25">
      <c r="A15" s="10" t="s">
        <v>39</v>
      </c>
      <c r="B15" s="9" t="s">
        <v>101</v>
      </c>
    </row>
    <row r="16" spans="1:9" x14ac:dyDescent="0.25">
      <c r="B16" t="s">
        <v>129</v>
      </c>
    </row>
    <row r="17" spans="2:2" x14ac:dyDescent="0.25">
      <c r="B17" t="s">
        <v>199</v>
      </c>
    </row>
    <row r="18" spans="2:2" x14ac:dyDescent="0.25">
      <c r="B18" t="s">
        <v>200</v>
      </c>
    </row>
    <row r="19" spans="2:2" x14ac:dyDescent="0.25">
      <c r="B19" t="s">
        <v>201</v>
      </c>
    </row>
    <row r="20" spans="2:2" x14ac:dyDescent="0.25">
      <c r="B20" t="s">
        <v>119</v>
      </c>
    </row>
    <row r="21" spans="2:2" x14ac:dyDescent="0.25">
      <c r="B21" t="s">
        <v>204</v>
      </c>
    </row>
    <row r="22" spans="2:2" x14ac:dyDescent="0.25">
      <c r="B22" t="s">
        <v>206</v>
      </c>
    </row>
    <row r="23" spans="2:2" x14ac:dyDescent="0.25">
      <c r="B23" t="s">
        <v>207</v>
      </c>
    </row>
  </sheetData>
  <hyperlinks>
    <hyperlink ref="B4" r:id="rId1" xr:uid="{DA6CDF4D-BB31-47EE-8095-D8F09F0AB7A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F6C03-6F29-43A9-8F69-00F6AF9954D6}">
  <dimension ref="A1:AF623"/>
  <sheetViews>
    <sheetView zoomScale="200" zoomScaleNormal="200" workbookViewId="0">
      <pane xSplit="2" ySplit="2" topLeftCell="S105" activePane="bottomRight" state="frozen"/>
      <selection pane="topRight" activeCell="C1" sqref="C1"/>
      <selection pane="bottomLeft" activeCell="A3" sqref="A3"/>
      <selection pane="bottomRight" activeCell="U21" sqref="U21"/>
    </sheetView>
  </sheetViews>
  <sheetFormatPr defaultRowHeight="15" x14ac:dyDescent="0.25"/>
  <cols>
    <col min="1" max="1" width="4.7109375" bestFit="1" customWidth="1"/>
    <col min="2" max="2" width="27.140625" bestFit="1" customWidth="1"/>
  </cols>
  <sheetData>
    <row r="1" spans="1:32" x14ac:dyDescent="0.25">
      <c r="A1" s="5" t="s">
        <v>10</v>
      </c>
    </row>
    <row r="2" spans="1:32" x14ac:dyDescent="0.25">
      <c r="C2" s="4" t="s">
        <v>105</v>
      </c>
      <c r="D2" s="4" t="s">
        <v>106</v>
      </c>
      <c r="E2" s="4" t="s">
        <v>107</v>
      </c>
      <c r="F2" s="4" t="s">
        <v>108</v>
      </c>
      <c r="G2" s="4" t="s">
        <v>109</v>
      </c>
      <c r="H2" s="4" t="s">
        <v>110</v>
      </c>
      <c r="I2" s="4" t="s">
        <v>111</v>
      </c>
      <c r="J2" s="4" t="s">
        <v>112</v>
      </c>
      <c r="K2" s="4" t="s">
        <v>113</v>
      </c>
      <c r="L2" s="4" t="s">
        <v>114</v>
      </c>
      <c r="M2" s="4" t="s">
        <v>115</v>
      </c>
      <c r="N2" s="4" t="s">
        <v>116</v>
      </c>
      <c r="O2" s="4"/>
      <c r="P2" s="4" t="s">
        <v>12</v>
      </c>
      <c r="Q2" s="4" t="s">
        <v>13</v>
      </c>
      <c r="R2" s="4" t="s">
        <v>14</v>
      </c>
      <c r="S2" s="4" t="s">
        <v>15</v>
      </c>
      <c r="T2" s="4" t="s">
        <v>16</v>
      </c>
      <c r="U2" s="4" t="s">
        <v>17</v>
      </c>
      <c r="V2" s="4" t="s">
        <v>130</v>
      </c>
    </row>
    <row r="3" spans="1:32" x14ac:dyDescent="0.25">
      <c r="A3" s="10"/>
      <c r="B3" t="s">
        <v>120</v>
      </c>
      <c r="C3" s="3">
        <v>18388</v>
      </c>
      <c r="D3" s="3">
        <v>19594</v>
      </c>
      <c r="E3" s="3">
        <v>20025</v>
      </c>
      <c r="F3" s="3">
        <f t="shared" ref="F3:F17" si="0">T3-SUM(C3:E3)</f>
        <v>21963</v>
      </c>
      <c r="G3" s="3">
        <v>22308</v>
      </c>
      <c r="H3" s="3">
        <v>23953</v>
      </c>
      <c r="I3" s="3">
        <v>24832</v>
      </c>
      <c r="J3" s="3">
        <f t="shared" ref="J3:J17" si="1">+U3-SUM(G3:I3)</f>
        <v>26633</v>
      </c>
      <c r="K3" s="3">
        <v>22155</v>
      </c>
      <c r="L3" s="3">
        <v>23641</v>
      </c>
      <c r="M3" s="3">
        <v>24761</v>
      </c>
      <c r="N3" s="3"/>
      <c r="O3" s="3"/>
      <c r="P3" s="3">
        <v>32622</v>
      </c>
      <c r="Q3" s="3">
        <v>41379</v>
      </c>
      <c r="R3" s="3">
        <v>52589</v>
      </c>
      <c r="S3" s="3">
        <v>67350</v>
      </c>
      <c r="T3" s="3">
        <v>79970</v>
      </c>
      <c r="U3" s="3">
        <v>97726</v>
      </c>
      <c r="V3" s="3">
        <v>98435</v>
      </c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x14ac:dyDescent="0.25">
      <c r="A4" s="10"/>
      <c r="B4" t="s">
        <v>121</v>
      </c>
      <c r="C4" s="3">
        <v>11577</v>
      </c>
      <c r="D4" s="3">
        <v>11867</v>
      </c>
      <c r="E4" s="3">
        <v>12468</v>
      </c>
      <c r="F4" s="3">
        <f t="shared" si="0"/>
        <v>12936</v>
      </c>
      <c r="G4" s="3">
        <v>13140</v>
      </c>
      <c r="H4" s="3">
        <v>13477</v>
      </c>
      <c r="I4" s="3">
        <v>13911</v>
      </c>
      <c r="J4" s="3">
        <f t="shared" si="1"/>
        <v>14347</v>
      </c>
      <c r="K4" s="3">
        <v>20449</v>
      </c>
      <c r="L4" s="3">
        <v>21117</v>
      </c>
      <c r="M4" s="3">
        <v>21883</v>
      </c>
      <c r="N4" s="3"/>
      <c r="O4" s="3"/>
      <c r="P4" s="3">
        <v>31769</v>
      </c>
      <c r="Q4" s="3">
        <v>35316</v>
      </c>
      <c r="R4" s="3">
        <v>39872</v>
      </c>
      <c r="S4" s="3">
        <v>44970</v>
      </c>
      <c r="T4" s="3">
        <v>48848</v>
      </c>
      <c r="U4" s="3">
        <v>54875</v>
      </c>
      <c r="V4" s="3">
        <v>87767</v>
      </c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x14ac:dyDescent="0.25">
      <c r="A5" s="10"/>
      <c r="B5" t="s">
        <v>122</v>
      </c>
      <c r="C5" s="3">
        <v>5313</v>
      </c>
      <c r="D5" s="3">
        <v>4758</v>
      </c>
      <c r="E5" s="3">
        <v>5328</v>
      </c>
      <c r="F5" s="3">
        <f t="shared" si="0"/>
        <v>6108</v>
      </c>
      <c r="G5" s="3">
        <v>5567</v>
      </c>
      <c r="H5" s="3">
        <v>7111</v>
      </c>
      <c r="I5" s="3">
        <v>5929</v>
      </c>
      <c r="J5" s="3">
        <f t="shared" si="1"/>
        <v>4637</v>
      </c>
      <c r="K5" s="3">
        <v>5621</v>
      </c>
      <c r="L5" s="3">
        <v>6581</v>
      </c>
      <c r="M5" s="3">
        <v>5721</v>
      </c>
      <c r="N5" s="3"/>
      <c r="O5" s="3"/>
      <c r="P5" s="3">
        <v>11386</v>
      </c>
      <c r="Q5" s="3">
        <v>11575</v>
      </c>
      <c r="R5" s="3">
        <v>15370</v>
      </c>
      <c r="S5" s="3">
        <v>24732</v>
      </c>
      <c r="T5" s="3">
        <v>21507</v>
      </c>
      <c r="U5" s="3">
        <v>23244</v>
      </c>
      <c r="V5" s="3">
        <v>23455</v>
      </c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x14ac:dyDescent="0.25">
      <c r="A6" s="10"/>
      <c r="B6" t="s">
        <v>123</v>
      </c>
      <c r="C6" s="3">
        <v>3610</v>
      </c>
      <c r="D6" s="3">
        <v>4808</v>
      </c>
      <c r="E6" s="3">
        <v>3607</v>
      </c>
      <c r="F6" s="3">
        <f t="shared" si="0"/>
        <v>3441</v>
      </c>
      <c r="G6" s="3">
        <v>3919</v>
      </c>
      <c r="H6" s="3">
        <v>5262</v>
      </c>
      <c r="I6" s="3">
        <v>5451</v>
      </c>
      <c r="J6" s="3">
        <f t="shared" si="1"/>
        <v>6871</v>
      </c>
      <c r="K6" s="3">
        <v>4329</v>
      </c>
      <c r="L6" s="3">
        <v>4587</v>
      </c>
      <c r="M6" s="3">
        <v>4311</v>
      </c>
      <c r="N6" s="3"/>
      <c r="O6" s="3"/>
      <c r="P6" s="3">
        <v>20395</v>
      </c>
      <c r="Q6" s="3">
        <v>22294</v>
      </c>
      <c r="R6" s="3">
        <v>23227</v>
      </c>
      <c r="S6" s="3">
        <v>16230</v>
      </c>
      <c r="T6" s="3">
        <v>15466</v>
      </c>
      <c r="U6" s="3">
        <v>21503</v>
      </c>
      <c r="V6" s="3">
        <v>17812</v>
      </c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x14ac:dyDescent="0.25">
      <c r="A7" s="10"/>
      <c r="B7" t="s">
        <v>124</v>
      </c>
      <c r="C7" s="3">
        <v>3628</v>
      </c>
      <c r="D7" s="3">
        <v>3833</v>
      </c>
      <c r="E7" s="3">
        <v>3659</v>
      </c>
      <c r="F7" s="3">
        <f t="shared" si="0"/>
        <v>3869</v>
      </c>
      <c r="G7" s="3">
        <v>3913</v>
      </c>
      <c r="H7" s="3">
        <v>4195</v>
      </c>
      <c r="I7" s="3">
        <v>4013</v>
      </c>
      <c r="J7" s="3">
        <f t="shared" si="1"/>
        <v>4251</v>
      </c>
      <c r="K7" s="3">
        <v>4292</v>
      </c>
      <c r="L7" s="3">
        <v>4512</v>
      </c>
      <c r="M7" s="3">
        <v>4144</v>
      </c>
      <c r="N7" s="3"/>
      <c r="O7" s="3"/>
      <c r="P7" s="3">
        <v>6754</v>
      </c>
      <c r="Q7" s="3">
        <v>8077</v>
      </c>
      <c r="R7" s="3">
        <v>10289</v>
      </c>
      <c r="S7" s="3">
        <v>13631</v>
      </c>
      <c r="T7" s="3">
        <v>14989</v>
      </c>
      <c r="U7" s="3">
        <v>16372</v>
      </c>
      <c r="V7" s="3">
        <v>17314</v>
      </c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 x14ac:dyDescent="0.25">
      <c r="A8" s="10"/>
      <c r="B8" t="s">
        <v>125</v>
      </c>
      <c r="C8" s="3">
        <v>2913</v>
      </c>
      <c r="D8" s="3">
        <v>3209</v>
      </c>
      <c r="E8" s="3">
        <v>3036</v>
      </c>
      <c r="F8" s="3">
        <f t="shared" si="0"/>
        <v>3000</v>
      </c>
      <c r="G8" s="3">
        <v>3053</v>
      </c>
      <c r="H8" s="3">
        <v>3220</v>
      </c>
      <c r="I8" s="3">
        <v>3134</v>
      </c>
      <c r="J8" s="3">
        <f t="shared" si="1"/>
        <v>3169</v>
      </c>
      <c r="K8" s="3">
        <v>3225</v>
      </c>
      <c r="L8" s="3">
        <v>3558</v>
      </c>
      <c r="M8" s="3">
        <v>3504</v>
      </c>
      <c r="N8" s="3"/>
      <c r="O8" s="3"/>
      <c r="P8" s="3">
        <v>7628</v>
      </c>
      <c r="Q8" s="3">
        <v>7740</v>
      </c>
      <c r="R8" s="3">
        <v>8528</v>
      </c>
      <c r="S8" s="3">
        <v>11526</v>
      </c>
      <c r="T8" s="3">
        <v>12158</v>
      </c>
      <c r="U8" s="3">
        <v>12576</v>
      </c>
      <c r="V8" s="3">
        <v>13878</v>
      </c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2" x14ac:dyDescent="0.25">
      <c r="A9" s="10"/>
      <c r="B9" t="s">
        <v>126</v>
      </c>
      <c r="C9" s="3">
        <v>1929</v>
      </c>
      <c r="D9" s="3">
        <v>1907</v>
      </c>
      <c r="E9" s="3">
        <v>2047</v>
      </c>
      <c r="F9" s="3">
        <f t="shared" si="0"/>
        <v>2017</v>
      </c>
      <c r="G9" s="3">
        <v>1944</v>
      </c>
      <c r="H9" s="3">
        <v>1917</v>
      </c>
      <c r="I9" s="3">
        <v>1861</v>
      </c>
      <c r="J9" s="3">
        <f t="shared" si="1"/>
        <v>1872</v>
      </c>
      <c r="K9" s="3">
        <v>1928</v>
      </c>
      <c r="L9" s="3">
        <v>1892</v>
      </c>
      <c r="M9" s="3">
        <v>1946</v>
      </c>
      <c r="N9" s="3"/>
      <c r="O9" s="3"/>
      <c r="P9" s="3">
        <v>6124</v>
      </c>
      <c r="Q9" s="3">
        <v>6409</v>
      </c>
      <c r="R9" s="3">
        <v>6943</v>
      </c>
      <c r="S9" s="3">
        <v>7605</v>
      </c>
      <c r="T9" s="3">
        <v>7900</v>
      </c>
      <c r="U9" s="3">
        <v>7594</v>
      </c>
      <c r="V9" s="3">
        <v>7827</v>
      </c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1:32" x14ac:dyDescent="0.25">
      <c r="A10" s="10"/>
      <c r="B10" t="s">
        <v>127</v>
      </c>
      <c r="C10" s="3">
        <v>1260</v>
      </c>
      <c r="D10" s="3">
        <v>1302</v>
      </c>
      <c r="E10" s="3">
        <v>1389</v>
      </c>
      <c r="F10" s="3">
        <f t="shared" si="0"/>
        <v>1486</v>
      </c>
      <c r="G10" s="3">
        <v>1540</v>
      </c>
      <c r="H10" s="3">
        <v>1576</v>
      </c>
      <c r="I10" s="3">
        <v>1646</v>
      </c>
      <c r="J10" s="3">
        <f t="shared" si="1"/>
        <v>1719</v>
      </c>
      <c r="K10" s="3">
        <v>1849</v>
      </c>
      <c r="L10" s="3">
        <v>1913</v>
      </c>
      <c r="M10" s="3">
        <v>1929</v>
      </c>
      <c r="N10" s="3"/>
      <c r="O10" s="3"/>
      <c r="P10" s="3">
        <v>0</v>
      </c>
      <c r="Q10" s="3">
        <v>0</v>
      </c>
      <c r="R10" s="3">
        <v>0</v>
      </c>
      <c r="S10" s="3">
        <v>4687</v>
      </c>
      <c r="T10" s="3">
        <v>5437</v>
      </c>
      <c r="U10" s="3">
        <v>6481</v>
      </c>
      <c r="V10" s="3">
        <v>7760</v>
      </c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spans="1:32" x14ac:dyDescent="0.25">
      <c r="A11" s="10"/>
      <c r="B11" t="s">
        <v>128</v>
      </c>
      <c r="C11" s="3">
        <v>1448</v>
      </c>
      <c r="D11" s="3">
        <v>1430</v>
      </c>
      <c r="E11" s="3">
        <v>1282</v>
      </c>
      <c r="F11" s="3">
        <f t="shared" si="0"/>
        <v>1361</v>
      </c>
      <c r="G11" s="3">
        <v>1125</v>
      </c>
      <c r="H11" s="3">
        <v>1298</v>
      </c>
      <c r="I11" s="3">
        <v>1067</v>
      </c>
      <c r="J11" s="3">
        <f t="shared" si="1"/>
        <v>1216</v>
      </c>
      <c r="K11" s="3">
        <v>1727</v>
      </c>
      <c r="L11" s="3">
        <v>1821</v>
      </c>
      <c r="M11" s="3">
        <v>1821</v>
      </c>
      <c r="N11" s="3"/>
      <c r="O11" s="3"/>
      <c r="P11" s="3">
        <v>6095</v>
      </c>
      <c r="Q11" s="3">
        <v>6457</v>
      </c>
      <c r="R11" s="3">
        <v>6791</v>
      </c>
      <c r="S11" s="3">
        <v>7306</v>
      </c>
      <c r="T11" s="3">
        <v>5521</v>
      </c>
      <c r="U11" s="3">
        <v>4706</v>
      </c>
      <c r="V11" s="3">
        <v>7404</v>
      </c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spans="1:32" x14ac:dyDescent="0.25">
      <c r="A12" s="10"/>
      <c r="B12" t="s">
        <v>44</v>
      </c>
      <c r="C12" s="3">
        <v>56</v>
      </c>
      <c r="D12" s="3">
        <v>39</v>
      </c>
      <c r="E12" s="3">
        <v>16</v>
      </c>
      <c r="F12" s="3">
        <f t="shared" si="0"/>
        <v>8</v>
      </c>
      <c r="G12" s="3">
        <v>8</v>
      </c>
      <c r="H12" s="3">
        <v>11</v>
      </c>
      <c r="I12" s="3">
        <v>14</v>
      </c>
      <c r="J12" s="3">
        <f t="shared" si="1"/>
        <v>12</v>
      </c>
      <c r="K12" s="3">
        <v>10</v>
      </c>
      <c r="L12" s="3">
        <v>10</v>
      </c>
      <c r="M12" s="3">
        <v>46</v>
      </c>
      <c r="N12" s="3"/>
      <c r="O12" s="3"/>
      <c r="P12" s="3">
        <v>3070</v>
      </c>
      <c r="Q12" s="3">
        <v>3768</v>
      </c>
      <c r="R12" s="3">
        <v>4479</v>
      </c>
      <c r="S12" s="3">
        <v>233</v>
      </c>
      <c r="T12" s="3">
        <v>119</v>
      </c>
      <c r="U12" s="3">
        <v>45</v>
      </c>
      <c r="V12" s="3">
        <v>72</v>
      </c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2" x14ac:dyDescent="0.25">
      <c r="A13" s="10"/>
      <c r="B13" t="s">
        <v>117</v>
      </c>
      <c r="C13" s="3">
        <v>16465</v>
      </c>
      <c r="D13" s="3">
        <v>17002</v>
      </c>
      <c r="E13" s="3">
        <v>17516</v>
      </c>
      <c r="F13" s="3">
        <f t="shared" si="0"/>
        <v>18291</v>
      </c>
      <c r="G13" s="3">
        <v>18592</v>
      </c>
      <c r="H13" s="3">
        <v>19249</v>
      </c>
      <c r="I13" s="3">
        <v>19570</v>
      </c>
      <c r="J13" s="3">
        <f t="shared" si="1"/>
        <v>20317</v>
      </c>
      <c r="K13" s="3">
        <v>28317</v>
      </c>
      <c r="L13" s="3">
        <v>29437</v>
      </c>
      <c r="M13" s="3">
        <v>29944</v>
      </c>
      <c r="N13" s="3"/>
      <c r="O13" s="3"/>
      <c r="P13" s="3">
        <v>41160</v>
      </c>
      <c r="Q13" s="3">
        <v>46398</v>
      </c>
      <c r="R13" s="3">
        <v>53915</v>
      </c>
      <c r="S13" s="3">
        <v>63364</v>
      </c>
      <c r="T13" s="3">
        <v>69274</v>
      </c>
      <c r="U13" s="3">
        <v>77728</v>
      </c>
      <c r="V13" s="3">
        <v>120710</v>
      </c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 spans="1:32" x14ac:dyDescent="0.25">
      <c r="A14" s="10"/>
      <c r="B14" t="s">
        <v>118</v>
      </c>
      <c r="C14" s="3">
        <v>20325</v>
      </c>
      <c r="D14" s="3">
        <v>21508</v>
      </c>
      <c r="E14" s="3">
        <v>22081</v>
      </c>
      <c r="F14" s="3">
        <f t="shared" si="0"/>
        <v>23993</v>
      </c>
      <c r="G14" s="3">
        <v>24259</v>
      </c>
      <c r="H14" s="3">
        <v>25880</v>
      </c>
      <c r="I14" s="3">
        <v>26708</v>
      </c>
      <c r="J14" s="3">
        <f t="shared" si="1"/>
        <v>28515</v>
      </c>
      <c r="K14" s="3">
        <v>24092</v>
      </c>
      <c r="L14" s="3">
        <v>25544</v>
      </c>
      <c r="M14" s="3">
        <v>26751</v>
      </c>
      <c r="N14" s="3"/>
      <c r="O14" s="3"/>
      <c r="P14" s="3">
        <v>38985</v>
      </c>
      <c r="Q14" s="3">
        <v>48366</v>
      </c>
      <c r="R14" s="3">
        <v>60080</v>
      </c>
      <c r="S14" s="3">
        <v>74965</v>
      </c>
      <c r="T14" s="3">
        <v>87907</v>
      </c>
      <c r="U14" s="3">
        <v>105362</v>
      </c>
      <c r="V14" s="3">
        <v>106265</v>
      </c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spans="1:32" x14ac:dyDescent="0.25">
      <c r="A15" s="10"/>
      <c r="B15" t="s">
        <v>119</v>
      </c>
      <c r="C15" s="3">
        <v>13332</v>
      </c>
      <c r="D15" s="3">
        <v>14237</v>
      </c>
      <c r="E15" s="3">
        <v>13260</v>
      </c>
      <c r="F15" s="3">
        <f t="shared" si="0"/>
        <v>13905</v>
      </c>
      <c r="G15" s="3">
        <v>13666</v>
      </c>
      <c r="H15" s="3">
        <v>16891</v>
      </c>
      <c r="I15" s="3">
        <v>15580</v>
      </c>
      <c r="J15" s="3">
        <f t="shared" si="1"/>
        <v>15895</v>
      </c>
      <c r="K15" s="3">
        <v>13176</v>
      </c>
      <c r="L15" s="3">
        <v>14651</v>
      </c>
      <c r="M15" s="3">
        <v>13371</v>
      </c>
      <c r="N15" s="3"/>
      <c r="O15" s="3"/>
      <c r="P15" s="3">
        <v>45698</v>
      </c>
      <c r="Q15" s="3">
        <v>48251</v>
      </c>
      <c r="R15" s="3">
        <v>54093</v>
      </c>
      <c r="S15" s="3">
        <v>59941</v>
      </c>
      <c r="T15" s="3">
        <v>54734</v>
      </c>
      <c r="U15" s="3">
        <v>62032</v>
      </c>
      <c r="V15" s="3">
        <v>54469</v>
      </c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1:32" x14ac:dyDescent="0.25">
      <c r="B16" t="s">
        <v>18</v>
      </c>
      <c r="C16" s="3">
        <v>15741</v>
      </c>
      <c r="D16" s="3">
        <v>16517</v>
      </c>
      <c r="E16" s="3">
        <v>15588</v>
      </c>
      <c r="F16" s="3">
        <f t="shared" si="0"/>
        <v>16853</v>
      </c>
      <c r="G16" s="3">
        <v>15535</v>
      </c>
      <c r="H16" s="3">
        <v>18941</v>
      </c>
      <c r="I16" s="3">
        <v>17080</v>
      </c>
      <c r="J16" s="3">
        <f t="shared" si="1"/>
        <v>13217</v>
      </c>
      <c r="K16" s="3">
        <v>15272</v>
      </c>
      <c r="L16" s="3">
        <v>16219</v>
      </c>
      <c r="M16" s="3">
        <v>15319</v>
      </c>
      <c r="N16" s="3"/>
      <c r="O16" s="3"/>
      <c r="P16" s="3">
        <v>66069</v>
      </c>
      <c r="Q16" s="3">
        <v>68041</v>
      </c>
      <c r="R16" s="3">
        <v>71074</v>
      </c>
      <c r="S16" s="3">
        <v>72732</v>
      </c>
      <c r="T16" s="3">
        <v>64699</v>
      </c>
      <c r="U16" s="3">
        <v>64773</v>
      </c>
      <c r="V16" s="3">
        <v>63946</v>
      </c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2:22" x14ac:dyDescent="0.25">
      <c r="B17" t="s">
        <v>19</v>
      </c>
      <c r="C17" s="3">
        <v>34381</v>
      </c>
      <c r="D17" s="3">
        <v>36230</v>
      </c>
      <c r="E17" s="3">
        <v>37269</v>
      </c>
      <c r="F17" s="3">
        <f t="shared" si="0"/>
        <v>39336</v>
      </c>
      <c r="G17" s="3">
        <v>40982</v>
      </c>
      <c r="H17" s="3">
        <v>43079</v>
      </c>
      <c r="I17" s="3">
        <v>44778</v>
      </c>
      <c r="J17" s="3">
        <f t="shared" si="1"/>
        <v>51510</v>
      </c>
      <c r="K17" s="3">
        <v>50313</v>
      </c>
      <c r="L17" s="3">
        <v>53413</v>
      </c>
      <c r="M17" s="3">
        <v>54747</v>
      </c>
      <c r="N17" s="3"/>
      <c r="O17" s="3"/>
      <c r="P17" s="3">
        <v>59774</v>
      </c>
      <c r="Q17" s="3">
        <v>74974</v>
      </c>
      <c r="R17" s="3">
        <v>97014</v>
      </c>
      <c r="S17" s="3">
        <v>125538</v>
      </c>
      <c r="T17" s="3">
        <v>147216</v>
      </c>
      <c r="U17" s="3">
        <v>180349</v>
      </c>
      <c r="V17" s="3">
        <v>217778</v>
      </c>
    </row>
    <row r="18" spans="2:22" x14ac:dyDescent="0.25">
      <c r="B18" s="1" t="s">
        <v>20</v>
      </c>
      <c r="C18" s="6">
        <f t="shared" ref="C18:N18" si="2">+C16+C17</f>
        <v>50122</v>
      </c>
      <c r="D18" s="6">
        <f t="shared" si="2"/>
        <v>52747</v>
      </c>
      <c r="E18" s="6">
        <f t="shared" ref="E18" si="3">+E16+E17</f>
        <v>52857</v>
      </c>
      <c r="F18" s="6">
        <f t="shared" si="2"/>
        <v>56189</v>
      </c>
      <c r="G18" s="6">
        <f t="shared" si="2"/>
        <v>56517</v>
      </c>
      <c r="H18" s="6">
        <f t="shared" si="2"/>
        <v>62020</v>
      </c>
      <c r="I18" s="6">
        <f t="shared" si="2"/>
        <v>61858</v>
      </c>
      <c r="J18" s="6">
        <f t="shared" si="2"/>
        <v>64727</v>
      </c>
      <c r="K18" s="6">
        <f>+K16+K17</f>
        <v>65585</v>
      </c>
      <c r="L18" s="6">
        <f t="shared" si="2"/>
        <v>69632</v>
      </c>
      <c r="M18" s="6">
        <f t="shared" si="2"/>
        <v>70066</v>
      </c>
      <c r="N18" s="6">
        <f t="shared" si="2"/>
        <v>0</v>
      </c>
      <c r="O18" s="3"/>
      <c r="P18" s="6">
        <f t="shared" ref="P18:T18" si="4">+P16+P17</f>
        <v>125843</v>
      </c>
      <c r="Q18" s="6">
        <f t="shared" si="4"/>
        <v>143015</v>
      </c>
      <c r="R18" s="6">
        <f t="shared" si="4"/>
        <v>168088</v>
      </c>
      <c r="S18" s="6">
        <f t="shared" si="4"/>
        <v>198270</v>
      </c>
      <c r="T18" s="6">
        <f t="shared" si="4"/>
        <v>211915</v>
      </c>
      <c r="U18" s="6">
        <f>+U16+U17</f>
        <v>245122</v>
      </c>
      <c r="V18" s="6">
        <f>+V16+V17</f>
        <v>281724</v>
      </c>
    </row>
    <row r="19" spans="2:22" x14ac:dyDescent="0.25">
      <c r="B19" t="s">
        <v>21</v>
      </c>
      <c r="C19" s="3">
        <v>4302</v>
      </c>
      <c r="D19" s="3">
        <v>5690</v>
      </c>
      <c r="E19" s="3">
        <v>3941</v>
      </c>
      <c r="F19" s="3">
        <f>T19-SUM(C19:E19)</f>
        <v>3871</v>
      </c>
      <c r="G19" s="3">
        <v>3531</v>
      </c>
      <c r="H19" s="3">
        <v>5964</v>
      </c>
      <c r="I19" s="3">
        <v>4339</v>
      </c>
      <c r="J19" s="3">
        <f>+U19-SUM(G19:I19)</f>
        <v>1438</v>
      </c>
      <c r="K19" s="3">
        <v>3294</v>
      </c>
      <c r="L19" s="3">
        <v>3856</v>
      </c>
      <c r="M19" s="3">
        <v>3037</v>
      </c>
      <c r="N19" s="3"/>
      <c r="O19" s="3"/>
      <c r="P19" s="3">
        <v>16273</v>
      </c>
      <c r="Q19" s="3">
        <v>16017</v>
      </c>
      <c r="R19" s="3">
        <v>18219</v>
      </c>
      <c r="S19" s="3">
        <v>19064</v>
      </c>
      <c r="T19" s="3">
        <v>17804</v>
      </c>
      <c r="U19" s="3">
        <v>15272</v>
      </c>
      <c r="V19" s="3">
        <v>13501</v>
      </c>
    </row>
    <row r="20" spans="2:22" x14ac:dyDescent="0.25">
      <c r="B20" t="s">
        <v>22</v>
      </c>
      <c r="C20" s="3">
        <v>11150</v>
      </c>
      <c r="D20" s="3">
        <v>11798</v>
      </c>
      <c r="E20" s="3">
        <v>12187</v>
      </c>
      <c r="F20" s="3">
        <f>T20-SUM(C20:E20)</f>
        <v>12924</v>
      </c>
      <c r="G20" s="3">
        <v>12771</v>
      </c>
      <c r="H20" s="3">
        <v>13659</v>
      </c>
      <c r="I20" s="3">
        <v>14166</v>
      </c>
      <c r="J20" s="3">
        <f>+U20-SUM(G20:I20)</f>
        <v>18246</v>
      </c>
      <c r="K20" s="3">
        <v>16805</v>
      </c>
      <c r="L20" s="3">
        <v>17943</v>
      </c>
      <c r="M20" s="3">
        <v>18882</v>
      </c>
      <c r="N20" s="3"/>
      <c r="O20" s="3"/>
      <c r="P20" s="3">
        <v>26637</v>
      </c>
      <c r="Q20" s="3">
        <v>30061</v>
      </c>
      <c r="R20" s="3">
        <v>34013</v>
      </c>
      <c r="S20" s="3">
        <v>43586</v>
      </c>
      <c r="T20" s="3">
        <v>48059</v>
      </c>
      <c r="U20" s="3">
        <v>58842</v>
      </c>
      <c r="V20" s="3">
        <v>74330</v>
      </c>
    </row>
    <row r="21" spans="2:22" x14ac:dyDescent="0.25">
      <c r="B21" t="s">
        <v>23</v>
      </c>
      <c r="C21" s="3">
        <f t="shared" ref="C21:N21" si="5">+C18-SUM(C19:C20)</f>
        <v>34670</v>
      </c>
      <c r="D21" s="3">
        <f t="shared" si="5"/>
        <v>35259</v>
      </c>
      <c r="E21" s="3">
        <f t="shared" ref="E21" si="6">+E18-SUM(E19:E20)</f>
        <v>36729</v>
      </c>
      <c r="F21" s="3">
        <f t="shared" si="5"/>
        <v>39394</v>
      </c>
      <c r="G21" s="3">
        <f t="shared" si="5"/>
        <v>40215</v>
      </c>
      <c r="H21" s="3">
        <f t="shared" si="5"/>
        <v>42397</v>
      </c>
      <c r="I21" s="3">
        <f t="shared" si="5"/>
        <v>43353</v>
      </c>
      <c r="J21" s="3">
        <f t="shared" si="5"/>
        <v>45043</v>
      </c>
      <c r="K21" s="3">
        <f t="shared" si="5"/>
        <v>45486</v>
      </c>
      <c r="L21" s="3">
        <f t="shared" si="5"/>
        <v>47833</v>
      </c>
      <c r="M21" s="3">
        <f t="shared" si="5"/>
        <v>48147</v>
      </c>
      <c r="N21" s="3">
        <f t="shared" si="5"/>
        <v>0</v>
      </c>
      <c r="O21" s="3"/>
      <c r="P21" s="3">
        <f t="shared" ref="P21:T21" si="7">+P18-SUM(P19:P20)</f>
        <v>82933</v>
      </c>
      <c r="Q21" s="3">
        <f t="shared" si="7"/>
        <v>96937</v>
      </c>
      <c r="R21" s="3">
        <f t="shared" si="7"/>
        <v>115856</v>
      </c>
      <c r="S21" s="3">
        <f t="shared" si="7"/>
        <v>135620</v>
      </c>
      <c r="T21" s="3">
        <f t="shared" si="7"/>
        <v>146052</v>
      </c>
      <c r="U21" s="3">
        <f>+U18-SUM(U19:U20)</f>
        <v>171008</v>
      </c>
      <c r="V21" s="3">
        <f>+V18-SUM(V19:V20)</f>
        <v>193893</v>
      </c>
    </row>
    <row r="22" spans="2:22" x14ac:dyDescent="0.25">
      <c r="B22" t="s">
        <v>25</v>
      </c>
      <c r="C22" s="3">
        <v>6628</v>
      </c>
      <c r="D22" s="3">
        <v>6844</v>
      </c>
      <c r="E22" s="3">
        <v>6984</v>
      </c>
      <c r="F22" s="3">
        <f>T22-SUM(C22:E22)</f>
        <v>6739</v>
      </c>
      <c r="G22" s="3">
        <v>6659</v>
      </c>
      <c r="H22" s="3">
        <v>7142</v>
      </c>
      <c r="I22" s="3">
        <v>7653</v>
      </c>
      <c r="J22" s="3">
        <f>+U22-SUM(G22:I22)</f>
        <v>8056</v>
      </c>
      <c r="K22" s="3">
        <v>7544</v>
      </c>
      <c r="L22" s="3">
        <v>7917</v>
      </c>
      <c r="M22" s="3">
        <v>8198</v>
      </c>
      <c r="N22" s="3"/>
      <c r="O22" s="3"/>
      <c r="P22" s="3">
        <v>16876</v>
      </c>
      <c r="Q22" s="3">
        <v>19269</v>
      </c>
      <c r="R22" s="3">
        <v>20716</v>
      </c>
      <c r="S22" s="3">
        <v>24512</v>
      </c>
      <c r="T22" s="3">
        <v>27195</v>
      </c>
      <c r="U22" s="3">
        <v>29510</v>
      </c>
      <c r="V22" s="3">
        <v>32488</v>
      </c>
    </row>
    <row r="23" spans="2:22" x14ac:dyDescent="0.25">
      <c r="B23" t="s">
        <v>26</v>
      </c>
      <c r="C23" s="3">
        <v>5126</v>
      </c>
      <c r="D23" s="3">
        <v>5679</v>
      </c>
      <c r="E23" s="3">
        <v>5750</v>
      </c>
      <c r="F23" s="3">
        <f>T23-SUM(C23:E23)</f>
        <v>6204</v>
      </c>
      <c r="G23" s="3">
        <v>5187</v>
      </c>
      <c r="H23" s="3">
        <v>6246</v>
      </c>
      <c r="I23" s="3">
        <v>6207</v>
      </c>
      <c r="J23" s="3">
        <f>+U23-SUM(G23:I23)</f>
        <v>6816</v>
      </c>
      <c r="K23" s="3">
        <v>5717</v>
      </c>
      <c r="L23" s="3">
        <v>6440</v>
      </c>
      <c r="M23" s="3">
        <v>6212</v>
      </c>
      <c r="N23" s="3"/>
      <c r="O23" s="3"/>
      <c r="P23" s="3">
        <v>18213</v>
      </c>
      <c r="Q23" s="3">
        <v>19598</v>
      </c>
      <c r="R23" s="3">
        <v>20117</v>
      </c>
      <c r="S23" s="3">
        <v>21825</v>
      </c>
      <c r="T23" s="3">
        <v>22759</v>
      </c>
      <c r="U23" s="3">
        <v>24456</v>
      </c>
      <c r="V23" s="3">
        <v>25654</v>
      </c>
    </row>
    <row r="24" spans="2:22" x14ac:dyDescent="0.25">
      <c r="B24" t="s">
        <v>27</v>
      </c>
      <c r="C24" s="3">
        <v>1398</v>
      </c>
      <c r="D24" s="3">
        <v>2337</v>
      </c>
      <c r="E24" s="3">
        <v>1643</v>
      </c>
      <c r="F24" s="3">
        <f>T24-SUM(C24:E24)</f>
        <v>2197</v>
      </c>
      <c r="G24" s="3">
        <v>1474</v>
      </c>
      <c r="H24" s="3">
        <v>1977</v>
      </c>
      <c r="I24" s="3">
        <v>1912</v>
      </c>
      <c r="J24" s="3">
        <f>+U24-SUM(G24:I24)</f>
        <v>2246</v>
      </c>
      <c r="K24" s="3">
        <v>1673</v>
      </c>
      <c r="L24" s="3">
        <v>1823</v>
      </c>
      <c r="M24" s="3">
        <v>1737</v>
      </c>
      <c r="N24" s="3"/>
      <c r="O24" s="3"/>
      <c r="P24" s="3">
        <v>4885</v>
      </c>
      <c r="Q24" s="3">
        <v>5111</v>
      </c>
      <c r="R24" s="3">
        <v>5107</v>
      </c>
      <c r="S24" s="3">
        <v>5900</v>
      </c>
      <c r="T24" s="3">
        <v>7575</v>
      </c>
      <c r="U24" s="3">
        <v>7609</v>
      </c>
      <c r="V24" s="3">
        <v>7223</v>
      </c>
    </row>
    <row r="25" spans="2:22" x14ac:dyDescent="0.25">
      <c r="B25" t="s">
        <v>24</v>
      </c>
      <c r="C25" s="3">
        <f t="shared" ref="C25:N25" si="8">+C21-SUM(C22:C24)</f>
        <v>21518</v>
      </c>
      <c r="D25" s="3">
        <f t="shared" si="8"/>
        <v>20399</v>
      </c>
      <c r="E25" s="3">
        <f t="shared" ref="E25" si="9">+E21-SUM(E22:E24)</f>
        <v>22352</v>
      </c>
      <c r="F25" s="3">
        <f t="shared" si="8"/>
        <v>24254</v>
      </c>
      <c r="G25" s="3">
        <f t="shared" si="8"/>
        <v>26895</v>
      </c>
      <c r="H25" s="3">
        <f t="shared" si="8"/>
        <v>27032</v>
      </c>
      <c r="I25" s="3">
        <f t="shared" si="8"/>
        <v>27581</v>
      </c>
      <c r="J25" s="3">
        <f t="shared" si="8"/>
        <v>27925</v>
      </c>
      <c r="K25" s="3">
        <f t="shared" si="8"/>
        <v>30552</v>
      </c>
      <c r="L25" s="3">
        <f t="shared" si="8"/>
        <v>31653</v>
      </c>
      <c r="M25" s="3">
        <f t="shared" si="8"/>
        <v>32000</v>
      </c>
      <c r="N25" s="3">
        <f t="shared" si="8"/>
        <v>0</v>
      </c>
      <c r="O25" s="3"/>
      <c r="P25" s="3">
        <f t="shared" ref="P25:T25" si="10">+P21-SUM(P22:P24)</f>
        <v>42959</v>
      </c>
      <c r="Q25" s="3">
        <f t="shared" si="10"/>
        <v>52959</v>
      </c>
      <c r="R25" s="3">
        <f t="shared" si="10"/>
        <v>69916</v>
      </c>
      <c r="S25" s="3">
        <f t="shared" si="10"/>
        <v>83383</v>
      </c>
      <c r="T25" s="3">
        <f t="shared" si="10"/>
        <v>88523</v>
      </c>
      <c r="U25" s="3">
        <f>+U21-SUM(U22:U24)</f>
        <v>109433</v>
      </c>
      <c r="V25" s="3">
        <f>+V21-SUM(V22:V24)</f>
        <v>128528</v>
      </c>
    </row>
    <row r="26" spans="2:22" x14ac:dyDescent="0.25">
      <c r="B26" t="s">
        <v>28</v>
      </c>
      <c r="C26" s="3">
        <v>54</v>
      </c>
      <c r="D26" s="3">
        <v>-60</v>
      </c>
      <c r="E26" s="3">
        <v>321</v>
      </c>
      <c r="F26" s="3">
        <f>T26-SUM(C26:E26)</f>
        <v>473</v>
      </c>
      <c r="G26" s="3">
        <v>389</v>
      </c>
      <c r="H26" s="3">
        <v>-506</v>
      </c>
      <c r="I26" s="3">
        <v>-854</v>
      </c>
      <c r="J26" s="3">
        <f>+U26-SUM(G26:I26)</f>
        <v>-675</v>
      </c>
      <c r="K26" s="3">
        <v>-283</v>
      </c>
      <c r="L26" s="3">
        <v>-2288</v>
      </c>
      <c r="M26" s="3">
        <v>-623</v>
      </c>
      <c r="N26" s="3"/>
      <c r="O26" s="3"/>
      <c r="P26" s="3">
        <v>729</v>
      </c>
      <c r="Q26" s="3">
        <v>77</v>
      </c>
      <c r="R26" s="3">
        <v>1186</v>
      </c>
      <c r="S26" s="3">
        <v>333</v>
      </c>
      <c r="T26" s="3">
        <v>788</v>
      </c>
      <c r="U26" s="3">
        <v>-1646</v>
      </c>
      <c r="V26" s="3">
        <v>-4901</v>
      </c>
    </row>
    <row r="27" spans="2:22" x14ac:dyDescent="0.25">
      <c r="B27" t="s">
        <v>29</v>
      </c>
      <c r="C27" s="3">
        <f t="shared" ref="C27:N27" si="11">C25+C26</f>
        <v>21572</v>
      </c>
      <c r="D27" s="3">
        <f t="shared" si="11"/>
        <v>20339</v>
      </c>
      <c r="E27" s="3">
        <f t="shared" ref="E27" si="12">E25+E26</f>
        <v>22673</v>
      </c>
      <c r="F27" s="3">
        <f t="shared" si="11"/>
        <v>24727</v>
      </c>
      <c r="G27" s="3">
        <f t="shared" si="11"/>
        <v>27284</v>
      </c>
      <c r="H27" s="3">
        <f t="shared" si="11"/>
        <v>26526</v>
      </c>
      <c r="I27" s="3">
        <f t="shared" si="11"/>
        <v>26727</v>
      </c>
      <c r="J27" s="3">
        <f t="shared" si="11"/>
        <v>27250</v>
      </c>
      <c r="K27" s="3">
        <f t="shared" si="11"/>
        <v>30269</v>
      </c>
      <c r="L27" s="3">
        <f t="shared" si="11"/>
        <v>29365</v>
      </c>
      <c r="M27" s="3">
        <f t="shared" si="11"/>
        <v>31377</v>
      </c>
      <c r="N27" s="3">
        <f t="shared" si="11"/>
        <v>0</v>
      </c>
      <c r="O27" s="3"/>
      <c r="P27" s="3">
        <f t="shared" ref="P27:T27" si="13">P25+P26</f>
        <v>43688</v>
      </c>
      <c r="Q27" s="3">
        <f t="shared" si="13"/>
        <v>53036</v>
      </c>
      <c r="R27" s="3">
        <f t="shared" si="13"/>
        <v>71102</v>
      </c>
      <c r="S27" s="3">
        <f t="shared" si="13"/>
        <v>83716</v>
      </c>
      <c r="T27" s="3">
        <f t="shared" si="13"/>
        <v>89311</v>
      </c>
      <c r="U27" s="3">
        <f>U25+U26</f>
        <v>107787</v>
      </c>
      <c r="V27" s="3">
        <f>V25+V26</f>
        <v>123627</v>
      </c>
    </row>
    <row r="28" spans="2:22" x14ac:dyDescent="0.25">
      <c r="B28" t="s">
        <v>30</v>
      </c>
      <c r="C28" s="3">
        <v>4016</v>
      </c>
      <c r="D28" s="3">
        <v>3914</v>
      </c>
      <c r="E28" s="3">
        <v>4374</v>
      </c>
      <c r="F28" s="3">
        <f>T28-SUM(C28:E28)</f>
        <v>4646</v>
      </c>
      <c r="G28" s="3">
        <v>4994</v>
      </c>
      <c r="H28" s="3">
        <v>4656</v>
      </c>
      <c r="I28" s="3">
        <v>4788</v>
      </c>
      <c r="J28" s="3">
        <f>+U28-SUM(G28:I28)</f>
        <v>5213</v>
      </c>
      <c r="K28" s="3">
        <v>5602</v>
      </c>
      <c r="L28" s="3">
        <v>5257</v>
      </c>
      <c r="M28" s="3">
        <v>5553</v>
      </c>
      <c r="N28" s="3"/>
      <c r="O28" s="3"/>
      <c r="P28" s="3">
        <v>4448</v>
      </c>
      <c r="Q28" s="3">
        <v>8755</v>
      </c>
      <c r="R28" s="3">
        <v>9831</v>
      </c>
      <c r="S28" s="3">
        <v>10978</v>
      </c>
      <c r="T28" s="3">
        <v>16950</v>
      </c>
      <c r="U28" s="3">
        <v>19651</v>
      </c>
      <c r="V28" s="3">
        <v>21795</v>
      </c>
    </row>
    <row r="29" spans="2:22" x14ac:dyDescent="0.25">
      <c r="B29" t="s">
        <v>31</v>
      </c>
      <c r="C29" s="3">
        <f t="shared" ref="C29:N29" si="14">+C27-C28</f>
        <v>17556</v>
      </c>
      <c r="D29" s="3">
        <f t="shared" si="14"/>
        <v>16425</v>
      </c>
      <c r="E29" s="3">
        <f t="shared" ref="E29" si="15">+E27-E28</f>
        <v>18299</v>
      </c>
      <c r="F29" s="3">
        <f t="shared" si="14"/>
        <v>20081</v>
      </c>
      <c r="G29" s="3">
        <f t="shared" si="14"/>
        <v>22290</v>
      </c>
      <c r="H29" s="3">
        <f t="shared" si="14"/>
        <v>21870</v>
      </c>
      <c r="I29" s="3">
        <f t="shared" si="14"/>
        <v>21939</v>
      </c>
      <c r="J29" s="3">
        <f t="shared" si="14"/>
        <v>22037</v>
      </c>
      <c r="K29" s="3">
        <f t="shared" si="14"/>
        <v>24667</v>
      </c>
      <c r="L29" s="3">
        <f t="shared" si="14"/>
        <v>24108</v>
      </c>
      <c r="M29" s="3">
        <f t="shared" si="14"/>
        <v>25824</v>
      </c>
      <c r="N29" s="3">
        <f t="shared" si="14"/>
        <v>0</v>
      </c>
      <c r="O29" s="3"/>
      <c r="P29" s="3">
        <f t="shared" ref="P29:T29" si="16">+P27-P28</f>
        <v>39240</v>
      </c>
      <c r="Q29" s="3">
        <f t="shared" si="16"/>
        <v>44281</v>
      </c>
      <c r="R29" s="3">
        <f t="shared" si="16"/>
        <v>61271</v>
      </c>
      <c r="S29" s="3">
        <f t="shared" si="16"/>
        <v>72738</v>
      </c>
      <c r="T29" s="3">
        <f t="shared" si="16"/>
        <v>72361</v>
      </c>
      <c r="U29" s="3">
        <f>+U27-U28</f>
        <v>88136</v>
      </c>
      <c r="V29" s="3">
        <f>+V27-V28</f>
        <v>101832</v>
      </c>
    </row>
    <row r="30" spans="2:22" x14ac:dyDescent="0.25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2:22" x14ac:dyDescent="0.25">
      <c r="B31" t="s">
        <v>32</v>
      </c>
      <c r="C31" s="7">
        <f t="shared" ref="C31:N31" si="17">C29/C32</f>
        <v>2.3542979750569932</v>
      </c>
      <c r="D31" s="7">
        <f t="shared" si="17"/>
        <v>2.2044020936787008</v>
      </c>
      <c r="E31" s="7">
        <f t="shared" si="17"/>
        <v>2.4592124714420103</v>
      </c>
      <c r="F31" s="7">
        <f t="shared" si="17"/>
        <v>2.6968842331453131</v>
      </c>
      <c r="G31" s="7">
        <f t="shared" si="17"/>
        <v>3.0004038228563736</v>
      </c>
      <c r="H31" s="7">
        <f t="shared" si="17"/>
        <v>2.9426803013993541</v>
      </c>
      <c r="I31" s="7">
        <f t="shared" si="17"/>
        <v>2.952361727896649</v>
      </c>
      <c r="J31" s="7">
        <f t="shared" si="17"/>
        <v>2.9655497241286501</v>
      </c>
      <c r="K31" s="7">
        <f t="shared" si="17"/>
        <v>3.3185793084891699</v>
      </c>
      <c r="L31" s="7">
        <f t="shared" si="17"/>
        <v>3.2425016812373908</v>
      </c>
      <c r="M31" s="7">
        <f t="shared" si="17"/>
        <v>3.4737691686844228</v>
      </c>
      <c r="N31" s="7" t="e">
        <f t="shared" si="17"/>
        <v>#DIV/0!</v>
      </c>
      <c r="O31" s="3"/>
      <c r="P31" s="7">
        <f t="shared" ref="P31:T31" si="18">P29/P32</f>
        <v>5.114036230939659</v>
      </c>
      <c r="Q31" s="7">
        <f t="shared" si="18"/>
        <v>5.8187910643889618</v>
      </c>
      <c r="R31" s="7">
        <f t="shared" si="18"/>
        <v>8.1185901682787858</v>
      </c>
      <c r="S31" s="7">
        <f t="shared" si="18"/>
        <v>9.7035752401280675</v>
      </c>
      <c r="T31" s="7">
        <f t="shared" si="18"/>
        <v>9.7181036798280953</v>
      </c>
      <c r="U31" s="7">
        <f>U29/U32</f>
        <v>11.860584039833132</v>
      </c>
      <c r="V31" s="7">
        <f>V29/V32</f>
        <v>13.699986546481904</v>
      </c>
    </row>
    <row r="32" spans="2:22" x14ac:dyDescent="0.25">
      <c r="B32" t="s">
        <v>3</v>
      </c>
      <c r="C32" s="3">
        <v>7457</v>
      </c>
      <c r="D32" s="3">
        <v>7451</v>
      </c>
      <c r="E32" s="3">
        <v>7441</v>
      </c>
      <c r="F32" s="3">
        <f>T32</f>
        <v>7446</v>
      </c>
      <c r="G32" s="3">
        <v>7429</v>
      </c>
      <c r="H32" s="3">
        <v>7432</v>
      </c>
      <c r="I32" s="3">
        <v>7431</v>
      </c>
      <c r="J32" s="3">
        <f>U32</f>
        <v>7431</v>
      </c>
      <c r="K32" s="3">
        <v>7433</v>
      </c>
      <c r="L32" s="3">
        <v>7435</v>
      </c>
      <c r="M32" s="3">
        <v>7434</v>
      </c>
      <c r="N32" s="3"/>
      <c r="O32" s="3"/>
      <c r="P32" s="3">
        <v>7673</v>
      </c>
      <c r="Q32" s="3">
        <v>7610</v>
      </c>
      <c r="R32" s="3">
        <v>7547</v>
      </c>
      <c r="S32" s="3">
        <v>7496</v>
      </c>
      <c r="T32" s="3">
        <v>7446</v>
      </c>
      <c r="U32" s="3">
        <v>7431</v>
      </c>
      <c r="V32" s="3">
        <v>7433</v>
      </c>
    </row>
    <row r="33" spans="2:22" x14ac:dyDescent="0.25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2:22" x14ac:dyDescent="0.25">
      <c r="B34" t="s">
        <v>34</v>
      </c>
      <c r="C34" s="3"/>
      <c r="D34" s="3"/>
      <c r="E34" s="3"/>
      <c r="F34" s="3"/>
      <c r="G34" s="8">
        <f t="shared" ref="G34:H36" si="19">G16/D16-1</f>
        <v>-5.9453895985953853E-2</v>
      </c>
      <c r="H34" s="8">
        <f t="shared" si="19"/>
        <v>0.21510136002052871</v>
      </c>
      <c r="I34" s="8">
        <f>I16/F16-1</f>
        <v>1.3469411974129208E-2</v>
      </c>
      <c r="J34" s="8">
        <f t="shared" ref="J34:N36" si="20">J16/G16-1</f>
        <v>-0.1492114579980689</v>
      </c>
      <c r="K34" s="8">
        <f t="shared" si="20"/>
        <v>-0.19370677366559319</v>
      </c>
      <c r="L34" s="8">
        <f t="shared" si="20"/>
        <v>-5.040983606557381E-2</v>
      </c>
      <c r="M34" s="8">
        <f t="shared" si="20"/>
        <v>0.1590376030869336</v>
      </c>
      <c r="N34" s="8">
        <f t="shared" si="20"/>
        <v>-1</v>
      </c>
      <c r="O34" s="3"/>
      <c r="P34" s="8"/>
      <c r="Q34" s="8">
        <f t="shared" ref="Q34:T36" si="21">Q16/P16-1</f>
        <v>2.984758358685613E-2</v>
      </c>
      <c r="R34" s="8">
        <f t="shared" si="21"/>
        <v>4.457606443173967E-2</v>
      </c>
      <c r="S34" s="8">
        <f t="shared" si="21"/>
        <v>2.3327799195205001E-2</v>
      </c>
      <c r="T34" s="8">
        <f t="shared" si="21"/>
        <v>-0.11044657097288679</v>
      </c>
      <c r="U34" s="8">
        <f>U16/T16-1</f>
        <v>1.1437580178983442E-3</v>
      </c>
      <c r="V34" s="8">
        <f>V16/U16-1</f>
        <v>-1.2767665539653916E-2</v>
      </c>
    </row>
    <row r="35" spans="2:22" x14ac:dyDescent="0.25">
      <c r="B35" t="s">
        <v>35</v>
      </c>
      <c r="C35" s="3"/>
      <c r="D35" s="3"/>
      <c r="E35" s="3"/>
      <c r="F35" s="3"/>
      <c r="G35" s="8">
        <f t="shared" si="19"/>
        <v>0.13116202042506209</v>
      </c>
      <c r="H35" s="8">
        <f t="shared" si="19"/>
        <v>0.15589363814430213</v>
      </c>
      <c r="I35" s="8">
        <f t="shared" ref="I35:I36" si="22">I17/F17-1</f>
        <v>0.13834655277608299</v>
      </c>
      <c r="J35" s="8">
        <f t="shared" si="20"/>
        <v>0.25689327021619257</v>
      </c>
      <c r="K35" s="8">
        <f t="shared" si="20"/>
        <v>0.16792404651918558</v>
      </c>
      <c r="L35" s="8">
        <f t="shared" si="20"/>
        <v>0.19284023404350359</v>
      </c>
      <c r="M35" s="8">
        <f t="shared" si="20"/>
        <v>6.2842166569598179E-2</v>
      </c>
      <c r="N35" s="8">
        <f t="shared" si="20"/>
        <v>-1</v>
      </c>
      <c r="O35" s="3"/>
      <c r="P35" s="8"/>
      <c r="Q35" s="8">
        <f t="shared" si="21"/>
        <v>0.25429116338207258</v>
      </c>
      <c r="R35" s="8">
        <f t="shared" si="21"/>
        <v>0.29396857577293467</v>
      </c>
      <c r="S35" s="8">
        <f t="shared" si="21"/>
        <v>0.29401941987754343</v>
      </c>
      <c r="T35" s="8">
        <f t="shared" si="21"/>
        <v>0.17268078191463943</v>
      </c>
      <c r="U35" s="8">
        <f t="shared" ref="U35:V36" si="23">U17/T17-1</f>
        <v>0.2250638517552439</v>
      </c>
      <c r="V35" s="8">
        <f t="shared" si="23"/>
        <v>0.20753649867756407</v>
      </c>
    </row>
    <row r="36" spans="2:22" x14ac:dyDescent="0.25">
      <c r="B36" s="1" t="s">
        <v>33</v>
      </c>
      <c r="C36" s="6"/>
      <c r="D36" s="6"/>
      <c r="E36" s="6"/>
      <c r="F36" s="6"/>
      <c r="G36" s="31">
        <f t="shared" si="19"/>
        <v>7.1473259142700085E-2</v>
      </c>
      <c r="H36" s="31">
        <f t="shared" si="19"/>
        <v>0.17335452257979078</v>
      </c>
      <c r="I36" s="31">
        <f t="shared" si="22"/>
        <v>0.10089163359376396</v>
      </c>
      <c r="J36" s="31">
        <f t="shared" si="20"/>
        <v>0.14526602615142337</v>
      </c>
      <c r="K36" s="31">
        <f t="shared" si="20"/>
        <v>5.7481457594324326E-2</v>
      </c>
      <c r="L36" s="31">
        <f t="shared" si="20"/>
        <v>0.1256749329108604</v>
      </c>
      <c r="M36" s="31">
        <f t="shared" si="20"/>
        <v>8.2484898110525728E-2</v>
      </c>
      <c r="N36" s="31">
        <f t="shared" si="20"/>
        <v>-1</v>
      </c>
      <c r="O36" s="6"/>
      <c r="P36" s="31"/>
      <c r="Q36" s="31">
        <f t="shared" si="21"/>
        <v>0.13645574247276371</v>
      </c>
      <c r="R36" s="31">
        <f t="shared" si="21"/>
        <v>0.17531727441177503</v>
      </c>
      <c r="S36" s="31">
        <f t="shared" si="21"/>
        <v>0.17956070629670173</v>
      </c>
      <c r="T36" s="31">
        <f t="shared" si="21"/>
        <v>6.8820295556564215E-2</v>
      </c>
      <c r="U36" s="31">
        <f t="shared" si="23"/>
        <v>0.1566996201307127</v>
      </c>
      <c r="V36" s="31">
        <f t="shared" si="23"/>
        <v>0.14932156232406713</v>
      </c>
    </row>
    <row r="37" spans="2:22" x14ac:dyDescent="0.25">
      <c r="B37" t="s">
        <v>103</v>
      </c>
      <c r="C37" s="8">
        <f t="shared" ref="C37:N37" si="24">(C16-C19)/C16</f>
        <v>0.72670097198399086</v>
      </c>
      <c r="D37" s="8">
        <f t="shared" si="24"/>
        <v>0.65550644790216139</v>
      </c>
      <c r="E37" s="8">
        <f t="shared" si="24"/>
        <v>0.74717731588401337</v>
      </c>
      <c r="F37" s="8">
        <f t="shared" si="24"/>
        <v>0.77030795704028954</v>
      </c>
      <c r="G37" s="8">
        <f t="shared" si="24"/>
        <v>0.77270679111683294</v>
      </c>
      <c r="H37" s="8">
        <f t="shared" si="24"/>
        <v>0.68512750118789922</v>
      </c>
      <c r="I37" s="8">
        <f t="shared" si="24"/>
        <v>0.74596018735363001</v>
      </c>
      <c r="J37" s="8">
        <f t="shared" si="24"/>
        <v>0.89120072633729286</v>
      </c>
      <c r="K37" s="8">
        <f t="shared" si="24"/>
        <v>0.78431115767417492</v>
      </c>
      <c r="L37" s="8">
        <f t="shared" si="24"/>
        <v>0.76225414637153954</v>
      </c>
      <c r="M37" s="8">
        <f t="shared" si="24"/>
        <v>0.80174946145309745</v>
      </c>
      <c r="N37" s="8" t="e">
        <f t="shared" si="24"/>
        <v>#DIV/0!</v>
      </c>
      <c r="O37" s="3"/>
      <c r="P37" s="8">
        <f t="shared" ref="P37" si="25">(P16-P19)/P16</f>
        <v>0.75369689264254036</v>
      </c>
      <c r="Q37" s="8">
        <f t="shared" ref="Q37:T37" si="26">(Q16-Q19)/Q16</f>
        <v>0.76459781602269217</v>
      </c>
      <c r="R37" s="8">
        <f t="shared" si="26"/>
        <v>0.74366153586402906</v>
      </c>
      <c r="S37" s="8">
        <f t="shared" si="26"/>
        <v>0.73788703734257277</v>
      </c>
      <c r="T37" s="8">
        <f t="shared" si="26"/>
        <v>0.72481800336944935</v>
      </c>
      <c r="U37" s="8">
        <f>(U16-U19)/U16</f>
        <v>0.76422274713229277</v>
      </c>
      <c r="V37" s="8">
        <f>(V16-V19)/V16</f>
        <v>0.78886873299346327</v>
      </c>
    </row>
    <row r="38" spans="2:22" x14ac:dyDescent="0.25">
      <c r="B38" t="s">
        <v>104</v>
      </c>
      <c r="C38" s="8">
        <f t="shared" ref="C38:N38" si="27">(C17-C20)/C17</f>
        <v>0.67569296995433525</v>
      </c>
      <c r="D38" s="8">
        <f t="shared" si="27"/>
        <v>0.67435826662986476</v>
      </c>
      <c r="E38" s="8">
        <f t="shared" si="27"/>
        <v>0.67299900721779493</v>
      </c>
      <c r="F38" s="8">
        <f t="shared" si="27"/>
        <v>0.67144600366076879</v>
      </c>
      <c r="G38" s="8">
        <f t="shared" si="27"/>
        <v>0.68837538431506518</v>
      </c>
      <c r="H38" s="8">
        <f t="shared" si="27"/>
        <v>0.68293135866663568</v>
      </c>
      <c r="I38" s="8">
        <f t="shared" si="27"/>
        <v>0.68363928714993971</v>
      </c>
      <c r="J38" s="8">
        <f t="shared" si="27"/>
        <v>0.64577751892836344</v>
      </c>
      <c r="K38" s="8">
        <f t="shared" si="27"/>
        <v>0.66599089698487468</v>
      </c>
      <c r="L38" s="8">
        <f t="shared" si="27"/>
        <v>0.66407054462396797</v>
      </c>
      <c r="M38" s="8">
        <f t="shared" si="27"/>
        <v>0.65510438928160453</v>
      </c>
      <c r="N38" s="8" t="e">
        <f t="shared" si="27"/>
        <v>#DIV/0!</v>
      </c>
      <c r="O38" s="3"/>
      <c r="P38" s="8">
        <f t="shared" ref="P38" si="28">(P17-P20)/P17</f>
        <v>0.55437146585471941</v>
      </c>
      <c r="Q38" s="8">
        <f t="shared" ref="Q38:T38" si="29">(Q17-Q20)/Q17</f>
        <v>0.59904766985888447</v>
      </c>
      <c r="R38" s="8">
        <f t="shared" si="29"/>
        <v>0.64940111736450412</v>
      </c>
      <c r="S38" s="8">
        <f t="shared" si="29"/>
        <v>0.65280632159186858</v>
      </c>
      <c r="T38" s="8">
        <f t="shared" si="29"/>
        <v>0.67354771220519505</v>
      </c>
      <c r="U38" s="8">
        <f>(U17-U20)/U17</f>
        <v>0.67373259624394921</v>
      </c>
      <c r="V38" s="8">
        <f>(V17-V20)/V17</f>
        <v>0.65868912378660838</v>
      </c>
    </row>
    <row r="39" spans="2:22" x14ac:dyDescent="0.25">
      <c r="B39" t="s">
        <v>36</v>
      </c>
      <c r="C39" s="8">
        <f t="shared" ref="C39:N39" si="30">C21/C18</f>
        <v>0.69171222217788597</v>
      </c>
      <c r="D39" s="8">
        <f t="shared" si="30"/>
        <v>0.66845507801391546</v>
      </c>
      <c r="E39" s="8">
        <f t="shared" si="30"/>
        <v>0.69487485101311086</v>
      </c>
      <c r="F39" s="8">
        <f t="shared" si="30"/>
        <v>0.70109807969531401</v>
      </c>
      <c r="G39" s="8">
        <f t="shared" si="30"/>
        <v>0.71155581506449384</v>
      </c>
      <c r="H39" s="8">
        <f t="shared" si="30"/>
        <v>0.68360206385037081</v>
      </c>
      <c r="I39" s="8">
        <f t="shared" si="30"/>
        <v>0.70084710142584628</v>
      </c>
      <c r="J39" s="8">
        <f t="shared" si="30"/>
        <v>0.69589197707293715</v>
      </c>
      <c r="K39" s="8">
        <f t="shared" si="30"/>
        <v>0.69354273080734929</v>
      </c>
      <c r="L39" s="8">
        <f t="shared" si="30"/>
        <v>0.68693991268382348</v>
      </c>
      <c r="M39" s="8">
        <f t="shared" si="30"/>
        <v>0.6871663859789342</v>
      </c>
      <c r="N39" s="8" t="e">
        <f t="shared" si="30"/>
        <v>#DIV/0!</v>
      </c>
      <c r="O39" s="3"/>
      <c r="P39" s="8">
        <f t="shared" ref="P39" si="31">P21/P18</f>
        <v>0.65901957200638894</v>
      </c>
      <c r="Q39" s="8">
        <f t="shared" ref="Q39:T39" si="32">Q21/Q18</f>
        <v>0.67781001992797962</v>
      </c>
      <c r="R39" s="8">
        <f t="shared" si="32"/>
        <v>0.68925800771024703</v>
      </c>
      <c r="S39" s="8">
        <f t="shared" si="32"/>
        <v>0.68401674484289099</v>
      </c>
      <c r="T39" s="8">
        <f t="shared" si="32"/>
        <v>0.68920085883491022</v>
      </c>
      <c r="U39" s="8">
        <f>U21/U18</f>
        <v>0.69764443827971379</v>
      </c>
      <c r="V39" s="8">
        <f>V21/V18</f>
        <v>0.68823742386165188</v>
      </c>
    </row>
    <row r="40" spans="2:22" x14ac:dyDescent="0.25">
      <c r="B40" t="s">
        <v>37</v>
      </c>
      <c r="C40" s="8">
        <f t="shared" ref="C40:N40" si="33">C25/C18</f>
        <v>0.42931247755476637</v>
      </c>
      <c r="D40" s="8">
        <f t="shared" si="33"/>
        <v>0.3867328947617874</v>
      </c>
      <c r="E40" s="8">
        <f t="shared" si="33"/>
        <v>0.42287681858599618</v>
      </c>
      <c r="F40" s="8">
        <f t="shared" si="33"/>
        <v>0.4316503230169606</v>
      </c>
      <c r="G40" s="8">
        <f t="shared" si="33"/>
        <v>0.47587451563246458</v>
      </c>
      <c r="H40" s="8">
        <f t="shared" si="33"/>
        <v>0.43585940019348596</v>
      </c>
      <c r="I40" s="8">
        <f t="shared" si="33"/>
        <v>0.44587603866921011</v>
      </c>
      <c r="J40" s="8">
        <f t="shared" si="33"/>
        <v>0.43142737960974553</v>
      </c>
      <c r="K40" s="8">
        <f t="shared" si="33"/>
        <v>0.46583822520393381</v>
      </c>
      <c r="L40" s="8">
        <f t="shared" si="33"/>
        <v>0.45457548253676472</v>
      </c>
      <c r="M40" s="8">
        <f t="shared" si="33"/>
        <v>0.45671224274255701</v>
      </c>
      <c r="N40" s="8" t="e">
        <f t="shared" si="33"/>
        <v>#DIV/0!</v>
      </c>
      <c r="O40" s="3"/>
      <c r="P40" s="8">
        <f t="shared" ref="P40" si="34">P25/P18</f>
        <v>0.3413698020549415</v>
      </c>
      <c r="Q40" s="8">
        <f t="shared" ref="Q40:T40" si="35">Q25/Q18</f>
        <v>0.37030381428521486</v>
      </c>
      <c r="R40" s="8">
        <f t="shared" si="35"/>
        <v>0.41594878872971303</v>
      </c>
      <c r="S40" s="8">
        <f t="shared" si="35"/>
        <v>0.4205527815604983</v>
      </c>
      <c r="T40" s="8">
        <f t="shared" si="35"/>
        <v>0.41772880636104098</v>
      </c>
      <c r="U40" s="8">
        <f>U25/U18</f>
        <v>0.44644299573273716</v>
      </c>
      <c r="V40" s="8">
        <f>V25/V18</f>
        <v>0.45621956240859851</v>
      </c>
    </row>
    <row r="41" spans="2:22" x14ac:dyDescent="0.25">
      <c r="B41" t="s">
        <v>38</v>
      </c>
      <c r="C41" s="8">
        <f t="shared" ref="C41:N41" si="36">C28/C27</f>
        <v>0.18616725384758021</v>
      </c>
      <c r="D41" s="8">
        <f t="shared" si="36"/>
        <v>0.19243817296818919</v>
      </c>
      <c r="E41" s="8">
        <f t="shared" si="36"/>
        <v>0.19291668504388479</v>
      </c>
      <c r="F41" s="8">
        <f t="shared" si="36"/>
        <v>0.18789177821814212</v>
      </c>
      <c r="G41" s="8">
        <f t="shared" si="36"/>
        <v>0.18303767775985927</v>
      </c>
      <c r="H41" s="8">
        <f t="shared" si="36"/>
        <v>0.17552589911784663</v>
      </c>
      <c r="I41" s="8">
        <f t="shared" si="36"/>
        <v>0.17914468514984846</v>
      </c>
      <c r="J41" s="8">
        <f t="shared" si="36"/>
        <v>0.19130275229357799</v>
      </c>
      <c r="K41" s="8">
        <f t="shared" si="36"/>
        <v>0.18507383791998414</v>
      </c>
      <c r="L41" s="8">
        <f t="shared" si="36"/>
        <v>0.17902264600715137</v>
      </c>
      <c r="M41" s="8">
        <f t="shared" si="36"/>
        <v>0.17697676642126398</v>
      </c>
      <c r="N41" s="8" t="e">
        <f t="shared" si="36"/>
        <v>#DIV/0!</v>
      </c>
      <c r="O41" s="3"/>
      <c r="P41" s="8">
        <f t="shared" ref="P41" si="37">P28/P27</f>
        <v>0.10181285478850027</v>
      </c>
      <c r="Q41" s="8">
        <f t="shared" ref="Q41:T41" si="38">Q28/Q27</f>
        <v>0.16507655177615205</v>
      </c>
      <c r="R41" s="8">
        <f t="shared" si="38"/>
        <v>0.13826615285083402</v>
      </c>
      <c r="S41" s="8">
        <f t="shared" si="38"/>
        <v>0.13113383343685794</v>
      </c>
      <c r="T41" s="8">
        <f t="shared" si="38"/>
        <v>0.18978625253328257</v>
      </c>
      <c r="U41" s="8">
        <f>U28/U27</f>
        <v>0.18231326597827197</v>
      </c>
      <c r="V41" s="8">
        <f>V28/V27</f>
        <v>0.17629644009803683</v>
      </c>
    </row>
    <row r="42" spans="2:22" x14ac:dyDescent="0.2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2:22" x14ac:dyDescent="0.25">
      <c r="B43" t="s">
        <v>40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>
        <v>11356</v>
      </c>
      <c r="Q43" s="3">
        <v>13576</v>
      </c>
      <c r="R43" s="3">
        <v>14224</v>
      </c>
      <c r="S43" s="3">
        <v>13931</v>
      </c>
      <c r="T43" s="3">
        <v>34704</v>
      </c>
      <c r="U43" s="3">
        <v>18315</v>
      </c>
      <c r="V43" s="3">
        <v>30242</v>
      </c>
    </row>
    <row r="44" spans="2:22" x14ac:dyDescent="0.25">
      <c r="B44" t="s">
        <v>41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>
        <v>122463</v>
      </c>
      <c r="Q44" s="3">
        <v>122951</v>
      </c>
      <c r="R44" s="3">
        <v>116110</v>
      </c>
      <c r="S44" s="3">
        <v>90826</v>
      </c>
      <c r="T44" s="3">
        <v>76558</v>
      </c>
      <c r="U44" s="3">
        <v>57228</v>
      </c>
      <c r="V44" s="3">
        <v>64323</v>
      </c>
    </row>
    <row r="45" spans="2:22" x14ac:dyDescent="0.25">
      <c r="B45" t="s">
        <v>42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>
        <v>29524</v>
      </c>
      <c r="Q45" s="3">
        <v>32011</v>
      </c>
      <c r="R45" s="3">
        <v>38043</v>
      </c>
      <c r="S45" s="3">
        <v>44261</v>
      </c>
      <c r="T45" s="3">
        <v>48688</v>
      </c>
      <c r="U45" s="3">
        <v>56924</v>
      </c>
      <c r="V45" s="3">
        <v>69905</v>
      </c>
    </row>
    <row r="46" spans="2:22" x14ac:dyDescent="0.25">
      <c r="B46" t="s">
        <v>43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>
        <v>2063</v>
      </c>
      <c r="Q46" s="3">
        <v>1895</v>
      </c>
      <c r="R46" s="3">
        <v>2636</v>
      </c>
      <c r="S46" s="3">
        <v>3742</v>
      </c>
      <c r="T46" s="3">
        <v>2500</v>
      </c>
      <c r="U46" s="3">
        <v>1246</v>
      </c>
      <c r="V46" s="3">
        <v>938</v>
      </c>
    </row>
    <row r="47" spans="2:22" x14ac:dyDescent="0.25">
      <c r="B47" t="s">
        <v>44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>
        <v>10146</v>
      </c>
      <c r="Q47" s="3">
        <v>11482</v>
      </c>
      <c r="R47" s="3">
        <v>13393</v>
      </c>
      <c r="S47" s="3">
        <v>16924</v>
      </c>
      <c r="T47" s="3">
        <v>21807</v>
      </c>
      <c r="U47" s="3">
        <v>26021</v>
      </c>
      <c r="V47" s="3">
        <v>25723</v>
      </c>
    </row>
    <row r="48" spans="2:22" x14ac:dyDescent="0.25">
      <c r="B48" t="s">
        <v>45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>
        <f t="shared" ref="P48:S48" si="39">+SUM(P43:P47)</f>
        <v>175552</v>
      </c>
      <c r="Q48" s="3">
        <f t="shared" si="39"/>
        <v>181915</v>
      </c>
      <c r="R48" s="3">
        <f t="shared" si="39"/>
        <v>184406</v>
      </c>
      <c r="S48" s="3">
        <f t="shared" si="39"/>
        <v>169684</v>
      </c>
      <c r="T48" s="3">
        <f>+SUM(T43:T47)</f>
        <v>184257</v>
      </c>
      <c r="U48" s="3">
        <f>+SUM(U43:U47)</f>
        <v>159734</v>
      </c>
      <c r="V48" s="3">
        <f>+SUM(V43:V47)</f>
        <v>191131</v>
      </c>
    </row>
    <row r="49" spans="2:22" x14ac:dyDescent="0.25">
      <c r="B49" t="s">
        <v>46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>
        <v>36477</v>
      </c>
      <c r="Q49" s="3">
        <v>44151</v>
      </c>
      <c r="R49" s="3">
        <v>59715</v>
      </c>
      <c r="S49" s="3">
        <v>74398</v>
      </c>
      <c r="T49" s="3">
        <v>95641</v>
      </c>
      <c r="U49" s="3">
        <v>135591</v>
      </c>
      <c r="V49" s="3">
        <v>204966</v>
      </c>
    </row>
    <row r="50" spans="2:22" x14ac:dyDescent="0.25">
      <c r="B50" t="s">
        <v>47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>
        <v>7379</v>
      </c>
      <c r="Q50" s="3">
        <v>8753</v>
      </c>
      <c r="R50" s="3">
        <v>11088</v>
      </c>
      <c r="S50" s="3">
        <v>13148</v>
      </c>
      <c r="T50" s="3">
        <v>14346</v>
      </c>
      <c r="U50" s="3">
        <v>18961</v>
      </c>
      <c r="V50" s="3">
        <v>24823</v>
      </c>
    </row>
    <row r="51" spans="2:22" x14ac:dyDescent="0.25">
      <c r="B51" t="s">
        <v>48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>
        <v>2649</v>
      </c>
      <c r="Q51" s="3">
        <v>2965</v>
      </c>
      <c r="R51" s="3">
        <v>5984</v>
      </c>
      <c r="S51" s="3">
        <v>6891</v>
      </c>
      <c r="T51" s="3">
        <v>9879</v>
      </c>
      <c r="U51" s="3">
        <v>14600</v>
      </c>
      <c r="V51" s="3">
        <v>15405</v>
      </c>
    </row>
    <row r="52" spans="2:22" x14ac:dyDescent="0.25">
      <c r="B52" t="s">
        <v>49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>
        <v>42026</v>
      </c>
      <c r="Q52" s="3">
        <v>43351</v>
      </c>
      <c r="R52" s="3">
        <v>49711</v>
      </c>
      <c r="S52" s="3">
        <v>67524</v>
      </c>
      <c r="T52" s="3">
        <v>67886</v>
      </c>
      <c r="U52" s="3">
        <v>119220</v>
      </c>
      <c r="V52" s="3">
        <v>119509</v>
      </c>
    </row>
    <row r="53" spans="2:22" x14ac:dyDescent="0.25">
      <c r="B53" t="s">
        <v>50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>
        <v>7750</v>
      </c>
      <c r="Q53" s="3">
        <v>7038</v>
      </c>
      <c r="R53" s="3">
        <v>7800</v>
      </c>
      <c r="S53" s="3">
        <v>11298</v>
      </c>
      <c r="T53" s="3">
        <v>9366</v>
      </c>
      <c r="U53" s="3">
        <v>27597</v>
      </c>
      <c r="V53" s="3">
        <v>22604</v>
      </c>
    </row>
    <row r="54" spans="2:22" x14ac:dyDescent="0.25">
      <c r="B54" t="s">
        <v>44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>
        <v>14723</v>
      </c>
      <c r="Q54" s="3">
        <v>13138</v>
      </c>
      <c r="R54" s="3">
        <v>15075</v>
      </c>
      <c r="S54" s="3">
        <v>21897</v>
      </c>
      <c r="T54" s="3">
        <v>30601</v>
      </c>
      <c r="U54" s="3">
        <v>36460</v>
      </c>
      <c r="V54" s="3">
        <v>40565</v>
      </c>
    </row>
    <row r="55" spans="2:22" x14ac:dyDescent="0.25">
      <c r="B55" t="s">
        <v>51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>
        <f t="shared" ref="P55:T55" si="40">+SUM(P49:P54)</f>
        <v>111004</v>
      </c>
      <c r="Q55" s="3">
        <f t="shared" si="40"/>
        <v>119396</v>
      </c>
      <c r="R55" s="3">
        <f t="shared" si="40"/>
        <v>149373</v>
      </c>
      <c r="S55" s="3">
        <f t="shared" si="40"/>
        <v>195156</v>
      </c>
      <c r="T55" s="3">
        <f t="shared" si="40"/>
        <v>227719</v>
      </c>
      <c r="U55" s="3">
        <f>+SUM(U49:U54)</f>
        <v>352429</v>
      </c>
      <c r="V55" s="3">
        <f>+SUM(V49:V54)</f>
        <v>427872</v>
      </c>
    </row>
    <row r="56" spans="2:22" x14ac:dyDescent="0.25">
      <c r="B56" s="1" t="s">
        <v>52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>
        <f t="shared" ref="P56:V56" si="41">+P48+P55</f>
        <v>286556</v>
      </c>
      <c r="Q56" s="6">
        <f t="shared" si="41"/>
        <v>301311</v>
      </c>
      <c r="R56" s="6">
        <f t="shared" si="41"/>
        <v>333779</v>
      </c>
      <c r="S56" s="6">
        <f t="shared" si="41"/>
        <v>364840</v>
      </c>
      <c r="T56" s="6">
        <f t="shared" si="41"/>
        <v>411976</v>
      </c>
      <c r="U56" s="6">
        <f t="shared" si="41"/>
        <v>512163</v>
      </c>
      <c r="V56" s="6">
        <f t="shared" si="41"/>
        <v>619003</v>
      </c>
    </row>
    <row r="57" spans="2:22" x14ac:dyDescent="0.25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2:22" x14ac:dyDescent="0.25">
      <c r="B58" t="s">
        <v>53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>
        <v>9382</v>
      </c>
      <c r="Q58" s="3">
        <v>12530</v>
      </c>
      <c r="R58" s="3">
        <v>15163</v>
      </c>
      <c r="S58" s="3">
        <v>19000</v>
      </c>
      <c r="T58" s="3">
        <v>18095</v>
      </c>
      <c r="U58" s="3">
        <v>21996</v>
      </c>
      <c r="V58" s="3">
        <v>27724</v>
      </c>
    </row>
    <row r="59" spans="2:22" x14ac:dyDescent="0.25">
      <c r="B59" t="s">
        <v>54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6693</v>
      </c>
      <c r="V59" s="3">
        <v>0</v>
      </c>
    </row>
    <row r="60" spans="2:22" x14ac:dyDescent="0.25">
      <c r="B60" t="s">
        <v>55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>
        <v>5516</v>
      </c>
      <c r="Q60" s="3">
        <v>3749</v>
      </c>
      <c r="R60" s="3">
        <v>8072</v>
      </c>
      <c r="S60" s="3">
        <v>2749</v>
      </c>
      <c r="T60" s="3">
        <v>5247</v>
      </c>
      <c r="U60" s="3">
        <v>2249</v>
      </c>
      <c r="V60" s="3">
        <v>2999</v>
      </c>
    </row>
    <row r="61" spans="2:22" x14ac:dyDescent="0.25">
      <c r="B61" t="s">
        <v>56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>
        <v>6830</v>
      </c>
      <c r="Q61" s="3">
        <v>7874</v>
      </c>
      <c r="R61" s="3">
        <v>10057</v>
      </c>
      <c r="S61" s="3">
        <v>10661</v>
      </c>
      <c r="T61" s="3">
        <v>11009</v>
      </c>
      <c r="U61" s="3">
        <v>12564</v>
      </c>
      <c r="V61" s="3">
        <v>13709</v>
      </c>
    </row>
    <row r="62" spans="2:22" x14ac:dyDescent="0.25">
      <c r="B62" t="s">
        <v>57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>
        <v>5665</v>
      </c>
      <c r="Q62" s="3">
        <v>2130</v>
      </c>
      <c r="R62" s="3">
        <v>2174</v>
      </c>
      <c r="S62" s="3">
        <v>4067</v>
      </c>
      <c r="T62" s="3">
        <v>4152</v>
      </c>
      <c r="U62" s="3">
        <v>5017</v>
      </c>
      <c r="V62" s="3">
        <v>7211</v>
      </c>
    </row>
    <row r="63" spans="2:22" x14ac:dyDescent="0.25">
      <c r="B63" t="s">
        <v>58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>
        <v>32676</v>
      </c>
      <c r="Q63" s="3">
        <v>36000</v>
      </c>
      <c r="R63" s="3">
        <v>41525</v>
      </c>
      <c r="S63" s="3">
        <v>45538</v>
      </c>
      <c r="T63" s="3">
        <v>50901</v>
      </c>
      <c r="U63" s="3">
        <v>57582</v>
      </c>
      <c r="V63" s="3">
        <v>64555</v>
      </c>
    </row>
    <row r="64" spans="2:22" x14ac:dyDescent="0.25">
      <c r="B64" t="s">
        <v>44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>
        <v>9351</v>
      </c>
      <c r="Q64" s="3">
        <v>10027</v>
      </c>
      <c r="R64" s="3">
        <v>11666</v>
      </c>
      <c r="S64" s="3">
        <v>13067</v>
      </c>
      <c r="T64" s="3">
        <v>14745</v>
      </c>
      <c r="U64" s="3">
        <v>19185</v>
      </c>
      <c r="V64" s="3">
        <v>25020</v>
      </c>
    </row>
    <row r="65" spans="1:22" x14ac:dyDescent="0.25">
      <c r="B65" t="s">
        <v>59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>
        <f t="shared" ref="P65:T65" si="42">+SUM(P58:P64)</f>
        <v>69420</v>
      </c>
      <c r="Q65" s="3">
        <f t="shared" si="42"/>
        <v>72310</v>
      </c>
      <c r="R65" s="3">
        <f t="shared" si="42"/>
        <v>88657</v>
      </c>
      <c r="S65" s="3">
        <f t="shared" si="42"/>
        <v>95082</v>
      </c>
      <c r="T65" s="3">
        <f t="shared" si="42"/>
        <v>104149</v>
      </c>
      <c r="U65" s="3">
        <f>+SUM(U58:U64)</f>
        <v>125286</v>
      </c>
      <c r="V65" s="3">
        <f>+SUM(V58:V64)</f>
        <v>141218</v>
      </c>
    </row>
    <row r="66" spans="1:22" x14ac:dyDescent="0.25">
      <c r="B66" t="s">
        <v>6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>
        <v>66662</v>
      </c>
      <c r="Q66" s="3">
        <v>59578</v>
      </c>
      <c r="R66" s="3">
        <v>50047</v>
      </c>
      <c r="S66" s="3">
        <v>47032</v>
      </c>
      <c r="T66" s="3">
        <v>41990</v>
      </c>
      <c r="U66" s="3">
        <v>42688</v>
      </c>
      <c r="V66" s="3">
        <v>40152</v>
      </c>
    </row>
    <row r="67" spans="1:22" x14ac:dyDescent="0.25">
      <c r="B67" t="s">
        <v>60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>
        <v>29612</v>
      </c>
      <c r="Q67" s="3">
        <v>29432</v>
      </c>
      <c r="R67" s="3">
        <v>27190</v>
      </c>
      <c r="S67" s="3">
        <v>26069</v>
      </c>
      <c r="T67" s="3">
        <v>25560</v>
      </c>
      <c r="U67" s="3">
        <v>27931</v>
      </c>
      <c r="V67" s="3">
        <v>25986</v>
      </c>
    </row>
    <row r="68" spans="1:22" x14ac:dyDescent="0.25">
      <c r="B68" t="s">
        <v>58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>
        <v>4530</v>
      </c>
      <c r="Q68" s="3">
        <v>3180</v>
      </c>
      <c r="R68" s="3">
        <v>2616</v>
      </c>
      <c r="S68" s="3">
        <v>2870</v>
      </c>
      <c r="T68" s="3">
        <v>2912</v>
      </c>
      <c r="U68" s="3">
        <v>2602</v>
      </c>
      <c r="V68" s="3">
        <v>2710</v>
      </c>
    </row>
    <row r="69" spans="1:22" x14ac:dyDescent="0.25">
      <c r="B69" t="s">
        <v>61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>
        <v>233</v>
      </c>
      <c r="Q69" s="3">
        <v>204</v>
      </c>
      <c r="R69" s="3">
        <v>198</v>
      </c>
      <c r="S69" s="3">
        <v>230</v>
      </c>
      <c r="T69" s="3">
        <v>433</v>
      </c>
      <c r="U69" s="3">
        <v>2618</v>
      </c>
      <c r="V69" s="3">
        <v>2835</v>
      </c>
    </row>
    <row r="70" spans="1:22" x14ac:dyDescent="0.25">
      <c r="B70" t="s">
        <v>62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>
        <v>6188</v>
      </c>
      <c r="Q70" s="3">
        <v>7671</v>
      </c>
      <c r="R70" s="3">
        <v>9629</v>
      </c>
      <c r="S70" s="3">
        <v>11489</v>
      </c>
      <c r="T70" s="3">
        <v>12728</v>
      </c>
      <c r="U70" s="3">
        <v>15497</v>
      </c>
      <c r="V70" s="3">
        <v>17437</v>
      </c>
    </row>
    <row r="71" spans="1:22" x14ac:dyDescent="0.25">
      <c r="B71" t="s">
        <v>44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>
        <v>7581</v>
      </c>
      <c r="Q71" s="3">
        <v>10632</v>
      </c>
      <c r="R71" s="3">
        <v>13427</v>
      </c>
      <c r="S71" s="3">
        <v>15526</v>
      </c>
      <c r="T71" s="3">
        <v>17981</v>
      </c>
      <c r="U71" s="3">
        <v>27064</v>
      </c>
      <c r="V71" s="3">
        <v>45186</v>
      </c>
    </row>
    <row r="72" spans="1:22" x14ac:dyDescent="0.25">
      <c r="B72" t="s">
        <v>63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>
        <f t="shared" ref="P72:T72" si="43">+SUM(P66:P71)</f>
        <v>114806</v>
      </c>
      <c r="Q72" s="3">
        <f t="shared" si="43"/>
        <v>110697</v>
      </c>
      <c r="R72" s="3">
        <f t="shared" si="43"/>
        <v>103107</v>
      </c>
      <c r="S72" s="3">
        <f t="shared" si="43"/>
        <v>103216</v>
      </c>
      <c r="T72" s="3">
        <f t="shared" si="43"/>
        <v>101604</v>
      </c>
      <c r="U72" s="3">
        <f>+SUM(U66:U71)</f>
        <v>118400</v>
      </c>
      <c r="V72" s="3">
        <f>+SUM(V66:V71)</f>
        <v>134306</v>
      </c>
    </row>
    <row r="73" spans="1:22" x14ac:dyDescent="0.25">
      <c r="B73" s="1" t="s">
        <v>64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6">
        <f t="shared" ref="P73:T73" si="44">+P72+P65</f>
        <v>184226</v>
      </c>
      <c r="Q73" s="6">
        <f t="shared" si="44"/>
        <v>183007</v>
      </c>
      <c r="R73" s="6">
        <f t="shared" si="44"/>
        <v>191764</v>
      </c>
      <c r="S73" s="6">
        <f t="shared" si="44"/>
        <v>198298</v>
      </c>
      <c r="T73" s="6">
        <f t="shared" si="44"/>
        <v>205753</v>
      </c>
      <c r="U73" s="6">
        <f>+U72+U65</f>
        <v>243686</v>
      </c>
      <c r="V73" s="6">
        <f>+V72+V65</f>
        <v>275524</v>
      </c>
    </row>
    <row r="74" spans="1:22" x14ac:dyDescent="0.25">
      <c r="B74" t="s">
        <v>65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>
        <v>102330</v>
      </c>
      <c r="Q74" s="3">
        <v>118304</v>
      </c>
      <c r="R74" s="3">
        <v>141988</v>
      </c>
      <c r="S74" s="3">
        <v>166542</v>
      </c>
      <c r="T74" s="3">
        <v>206223</v>
      </c>
      <c r="U74" s="3">
        <v>268477</v>
      </c>
      <c r="V74" s="3">
        <v>343479</v>
      </c>
    </row>
    <row r="75" spans="1:22" x14ac:dyDescent="0.25">
      <c r="B75" t="s">
        <v>66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6">
        <f t="shared" ref="P75:S75" si="45">+P73+P74</f>
        <v>286556</v>
      </c>
      <c r="Q75" s="6">
        <f t="shared" si="45"/>
        <v>301311</v>
      </c>
      <c r="R75" s="6">
        <f t="shared" si="45"/>
        <v>333752</v>
      </c>
      <c r="S75" s="6">
        <f t="shared" si="45"/>
        <v>364840</v>
      </c>
      <c r="T75" s="6">
        <f>+T73+T74</f>
        <v>411976</v>
      </c>
      <c r="U75" s="6">
        <f>+U73+U74</f>
        <v>512163</v>
      </c>
      <c r="V75" s="6">
        <f>+V73+V74</f>
        <v>619003</v>
      </c>
    </row>
    <row r="76" spans="1:22" x14ac:dyDescent="0.25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:22" x14ac:dyDescent="0.25">
      <c r="A77" s="10" t="s">
        <v>39</v>
      </c>
      <c r="B77" s="9" t="s">
        <v>67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:22" x14ac:dyDescent="0.25">
      <c r="B78" t="s">
        <v>31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>
        <f t="shared" ref="P78:V78" si="46">P29</f>
        <v>39240</v>
      </c>
      <c r="Q78" s="3">
        <f t="shared" si="46"/>
        <v>44281</v>
      </c>
      <c r="R78" s="3">
        <f t="shared" si="46"/>
        <v>61271</v>
      </c>
      <c r="S78" s="3">
        <f t="shared" si="46"/>
        <v>72738</v>
      </c>
      <c r="T78" s="3">
        <f t="shared" si="46"/>
        <v>72361</v>
      </c>
      <c r="U78" s="3">
        <f t="shared" si="46"/>
        <v>88136</v>
      </c>
      <c r="V78" s="3">
        <f t="shared" si="46"/>
        <v>101832</v>
      </c>
    </row>
    <row r="79" spans="1:22" x14ac:dyDescent="0.25">
      <c r="B79" t="s">
        <v>68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>
        <v>11682</v>
      </c>
      <c r="Q79" s="3">
        <v>12796</v>
      </c>
      <c r="R79" s="3">
        <v>11686</v>
      </c>
      <c r="S79" s="3">
        <v>14460</v>
      </c>
      <c r="T79" s="3">
        <v>13861</v>
      </c>
      <c r="U79" s="3">
        <v>22287</v>
      </c>
      <c r="V79" s="3">
        <v>34153</v>
      </c>
    </row>
    <row r="80" spans="1:22" x14ac:dyDescent="0.25">
      <c r="B80" t="s">
        <v>69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>
        <v>4652</v>
      </c>
      <c r="Q80" s="3">
        <v>5289</v>
      </c>
      <c r="R80" s="3">
        <v>6118</v>
      </c>
      <c r="S80" s="3">
        <v>7502</v>
      </c>
      <c r="T80" s="3">
        <v>9611</v>
      </c>
      <c r="U80" s="3">
        <v>10734</v>
      </c>
      <c r="V80" s="3">
        <v>11974</v>
      </c>
    </row>
    <row r="81" spans="2:22" x14ac:dyDescent="0.25">
      <c r="B81" t="s">
        <v>70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>
        <v>-792</v>
      </c>
      <c r="Q81" s="3">
        <v>-219</v>
      </c>
      <c r="R81" s="3">
        <v>-1249</v>
      </c>
      <c r="S81" s="3">
        <v>-409</v>
      </c>
      <c r="T81" s="3">
        <v>196</v>
      </c>
      <c r="U81" s="3">
        <v>305</v>
      </c>
      <c r="V81" s="3">
        <v>609</v>
      </c>
    </row>
    <row r="82" spans="2:22" x14ac:dyDescent="0.25">
      <c r="B82" t="s">
        <v>71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>
        <v>-6463</v>
      </c>
      <c r="Q82" s="3">
        <v>11</v>
      </c>
      <c r="R82" s="3">
        <v>-150</v>
      </c>
      <c r="S82" s="3">
        <v>-5702</v>
      </c>
      <c r="T82" s="3">
        <v>-6059</v>
      </c>
      <c r="U82" s="3">
        <v>-4738</v>
      </c>
      <c r="V82" s="3">
        <v>-7056</v>
      </c>
    </row>
    <row r="83" spans="2:22" x14ac:dyDescent="0.25">
      <c r="B83" s="9" t="s">
        <v>72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2:22" x14ac:dyDescent="0.25">
      <c r="B84" s="11" t="s">
        <v>74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>
        <v>-2812</v>
      </c>
      <c r="Q84" s="3">
        <v>-2577</v>
      </c>
      <c r="R84" s="3">
        <v>-6481</v>
      </c>
      <c r="S84" s="3">
        <v>-6834</v>
      </c>
      <c r="T84" s="3">
        <v>-4087</v>
      </c>
      <c r="U84" s="3">
        <v>-7191</v>
      </c>
      <c r="V84" s="3">
        <v>-10581</v>
      </c>
    </row>
    <row r="85" spans="2:22" x14ac:dyDescent="0.25">
      <c r="B85" s="11" t="s">
        <v>43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>
        <v>597</v>
      </c>
      <c r="Q85" s="3">
        <v>168</v>
      </c>
      <c r="R85" s="3">
        <v>-737</v>
      </c>
      <c r="S85" s="3">
        <v>-1123</v>
      </c>
      <c r="T85" s="3">
        <v>1242</v>
      </c>
      <c r="U85" s="3">
        <v>1284</v>
      </c>
      <c r="V85" s="3">
        <v>309</v>
      </c>
    </row>
    <row r="86" spans="2:22" x14ac:dyDescent="0.25">
      <c r="B86" s="11" t="s">
        <v>75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>
        <v>-1718</v>
      </c>
      <c r="Q86" s="3">
        <v>-2330</v>
      </c>
      <c r="R86" s="3">
        <v>-932</v>
      </c>
      <c r="S86" s="3">
        <v>-709</v>
      </c>
      <c r="T86" s="3">
        <v>-1991</v>
      </c>
      <c r="U86" s="3">
        <v>-1648</v>
      </c>
      <c r="V86" s="3">
        <v>-3044</v>
      </c>
    </row>
    <row r="87" spans="2:22" x14ac:dyDescent="0.25">
      <c r="B87" s="11" t="s">
        <v>76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>
        <v>-1834</v>
      </c>
      <c r="Q87" s="3">
        <v>-1037</v>
      </c>
      <c r="R87" s="3">
        <v>-3459</v>
      </c>
      <c r="S87" s="3">
        <v>-2805</v>
      </c>
      <c r="T87" s="3">
        <v>-2833</v>
      </c>
      <c r="U87" s="3">
        <v>-6817</v>
      </c>
      <c r="V87" s="3">
        <v>-2950</v>
      </c>
    </row>
    <row r="88" spans="2:22" x14ac:dyDescent="0.25">
      <c r="B88" s="11" t="s">
        <v>77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>
        <v>232</v>
      </c>
      <c r="Q88" s="3">
        <v>3018</v>
      </c>
      <c r="R88" s="3">
        <v>2798</v>
      </c>
      <c r="S88" s="3">
        <v>2943</v>
      </c>
      <c r="T88" s="3">
        <v>-2721</v>
      </c>
      <c r="U88" s="3">
        <v>3545</v>
      </c>
      <c r="V88" s="3">
        <v>569</v>
      </c>
    </row>
    <row r="89" spans="2:22" x14ac:dyDescent="0.25">
      <c r="B89" s="11" t="s">
        <v>78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>
        <v>4462</v>
      </c>
      <c r="Q89" s="3">
        <v>2212</v>
      </c>
      <c r="R89" s="3">
        <v>4633</v>
      </c>
      <c r="S89" s="3">
        <v>5109</v>
      </c>
      <c r="T89" s="3">
        <v>5535</v>
      </c>
      <c r="U89" s="3">
        <v>5348</v>
      </c>
      <c r="V89" s="3">
        <v>5438</v>
      </c>
    </row>
    <row r="90" spans="2:22" x14ac:dyDescent="0.25">
      <c r="B90" s="11" t="s">
        <v>79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>
        <v>2929</v>
      </c>
      <c r="Q90" s="3">
        <v>-3631</v>
      </c>
      <c r="R90" s="3">
        <v>-2309</v>
      </c>
      <c r="S90" s="3">
        <v>696</v>
      </c>
      <c r="T90" s="3">
        <v>-358</v>
      </c>
      <c r="U90" s="3">
        <v>1687</v>
      </c>
      <c r="V90" s="3">
        <v>-38</v>
      </c>
    </row>
    <row r="91" spans="2:22" x14ac:dyDescent="0.25">
      <c r="B91" s="11" t="s">
        <v>80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>
        <v>1419</v>
      </c>
      <c r="Q91" s="3">
        <v>1346</v>
      </c>
      <c r="R91" s="3">
        <v>4149</v>
      </c>
      <c r="S91" s="3">
        <v>2344</v>
      </c>
      <c r="T91" s="3">
        <v>2272</v>
      </c>
      <c r="U91" s="3">
        <v>4867</v>
      </c>
      <c r="V91" s="3">
        <v>5922</v>
      </c>
    </row>
    <row r="92" spans="2:22" x14ac:dyDescent="0.25">
      <c r="B92" s="11" t="s">
        <v>81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>
        <v>591</v>
      </c>
      <c r="Q92" s="3">
        <v>1348</v>
      </c>
      <c r="R92" s="3">
        <v>1402</v>
      </c>
      <c r="S92" s="3">
        <v>825</v>
      </c>
      <c r="T92" s="3">
        <v>553</v>
      </c>
      <c r="U92" s="3">
        <v>749</v>
      </c>
      <c r="V92" s="3">
        <v>-975</v>
      </c>
    </row>
    <row r="93" spans="2:22" x14ac:dyDescent="0.25">
      <c r="B93" s="12" t="s">
        <v>82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>
        <f t="shared" ref="P93:T93" si="47">+SUM(P84:P92)</f>
        <v>3866</v>
      </c>
      <c r="Q93" s="3">
        <f t="shared" si="47"/>
        <v>-1483</v>
      </c>
      <c r="R93" s="3">
        <f t="shared" si="47"/>
        <v>-936</v>
      </c>
      <c r="S93" s="3">
        <f t="shared" si="47"/>
        <v>446</v>
      </c>
      <c r="T93" s="3">
        <f t="shared" si="47"/>
        <v>-2388</v>
      </c>
      <c r="U93" s="3">
        <f>+SUM(U84:U92)</f>
        <v>1824</v>
      </c>
      <c r="V93" s="3">
        <f>+SUM(V84:V92)</f>
        <v>-5350</v>
      </c>
    </row>
    <row r="94" spans="2:22" x14ac:dyDescent="0.25">
      <c r="B94" s="1" t="s">
        <v>73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6">
        <f t="shared" ref="P94:T94" si="48">+P78+SUM(P79:P82,P93)</f>
        <v>52185</v>
      </c>
      <c r="Q94" s="6">
        <f t="shared" si="48"/>
        <v>60675</v>
      </c>
      <c r="R94" s="6">
        <f t="shared" si="48"/>
        <v>76740</v>
      </c>
      <c r="S94" s="6">
        <f t="shared" si="48"/>
        <v>89035</v>
      </c>
      <c r="T94" s="6">
        <f t="shared" si="48"/>
        <v>87582</v>
      </c>
      <c r="U94" s="6">
        <f>+U78+SUM(U79:U82,U93)</f>
        <v>118548</v>
      </c>
      <c r="V94" s="6">
        <f>+V78+SUM(V79:V82,V93)</f>
        <v>136162</v>
      </c>
    </row>
    <row r="95" spans="2:22" x14ac:dyDescent="0.25">
      <c r="B95" s="12" t="s">
        <v>83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5250</v>
      </c>
      <c r="V95" s="3">
        <v>-5746</v>
      </c>
    </row>
    <row r="96" spans="2:22" x14ac:dyDescent="0.25">
      <c r="B96" s="12" t="s">
        <v>84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24395</v>
      </c>
      <c r="V96" s="3">
        <v>0</v>
      </c>
    </row>
    <row r="97" spans="2:22" x14ac:dyDescent="0.25">
      <c r="B97" s="12" t="s">
        <v>85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>
        <v>-4000</v>
      </c>
      <c r="Q97" s="3">
        <v>-5518</v>
      </c>
      <c r="R97" s="3">
        <v>-3750</v>
      </c>
      <c r="S97" s="3">
        <v>-9023</v>
      </c>
      <c r="T97" s="3">
        <v>-2750</v>
      </c>
      <c r="U97" s="3">
        <v>-29070</v>
      </c>
      <c r="V97" s="3">
        <v>-3216</v>
      </c>
    </row>
    <row r="98" spans="2:22" x14ac:dyDescent="0.25">
      <c r="B98" s="12" t="s">
        <v>86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>
        <v>1142</v>
      </c>
      <c r="Q98" s="3">
        <v>1343</v>
      </c>
      <c r="R98" s="3">
        <v>1693</v>
      </c>
      <c r="S98" s="3">
        <v>1841</v>
      </c>
      <c r="T98" s="3">
        <v>1866</v>
      </c>
      <c r="U98" s="3">
        <v>2002</v>
      </c>
      <c r="V98" s="3">
        <v>2056</v>
      </c>
    </row>
    <row r="99" spans="2:22" x14ac:dyDescent="0.25">
      <c r="B99" s="12" t="s">
        <v>87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>
        <v>-19543</v>
      </c>
      <c r="Q99" s="3">
        <v>-22968</v>
      </c>
      <c r="R99" s="3">
        <v>-27385</v>
      </c>
      <c r="S99" s="3">
        <v>-32696</v>
      </c>
      <c r="T99" s="3">
        <v>-22245</v>
      </c>
      <c r="U99" s="3">
        <v>-17254</v>
      </c>
      <c r="V99" s="3">
        <v>-18420</v>
      </c>
    </row>
    <row r="100" spans="2:22" x14ac:dyDescent="0.25">
      <c r="B100" s="12" t="s">
        <v>88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>
        <v>-13811</v>
      </c>
      <c r="Q100" s="3">
        <v>-15137</v>
      </c>
      <c r="R100" s="3">
        <v>-16521</v>
      </c>
      <c r="S100" s="3">
        <v>-18135</v>
      </c>
      <c r="T100" s="3">
        <v>-19800</v>
      </c>
      <c r="U100" s="3">
        <v>-21771</v>
      </c>
      <c r="V100" s="3">
        <v>-24082</v>
      </c>
    </row>
    <row r="101" spans="2:22" x14ac:dyDescent="0.25">
      <c r="B101" s="12" t="s">
        <v>44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>
        <v>-675</v>
      </c>
      <c r="Q101" s="3">
        <f>-334-3417</f>
        <v>-3751</v>
      </c>
      <c r="R101" s="3">
        <f>-769-1754</f>
        <v>-2523</v>
      </c>
      <c r="S101" s="3">
        <v>-863</v>
      </c>
      <c r="T101" s="3">
        <v>-1006</v>
      </c>
      <c r="U101" s="3">
        <v>-1309</v>
      </c>
      <c r="V101" s="3">
        <v>-2291</v>
      </c>
    </row>
    <row r="102" spans="2:22" x14ac:dyDescent="0.25">
      <c r="B102" s="13" t="s">
        <v>89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6">
        <f t="shared" ref="P102:T102" si="49">+SUM(P95:P101)</f>
        <v>-36887</v>
      </c>
      <c r="Q102" s="6">
        <f t="shared" si="49"/>
        <v>-46031</v>
      </c>
      <c r="R102" s="6">
        <f t="shared" si="49"/>
        <v>-48486</v>
      </c>
      <c r="S102" s="6">
        <f t="shared" si="49"/>
        <v>-58876</v>
      </c>
      <c r="T102" s="6">
        <f t="shared" si="49"/>
        <v>-43935</v>
      </c>
      <c r="U102" s="6">
        <f>+SUM(U95:U101)</f>
        <v>-37757</v>
      </c>
      <c r="V102" s="6">
        <f>+SUM(V95:V101)</f>
        <v>-51699</v>
      </c>
    </row>
    <row r="103" spans="2:22" x14ac:dyDescent="0.25">
      <c r="B103" s="12" t="s">
        <v>91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>
        <v>-13925</v>
      </c>
      <c r="Q103" s="3">
        <v>-15441</v>
      </c>
      <c r="R103" s="3">
        <v>-20622</v>
      </c>
      <c r="S103" s="3">
        <v>-23886</v>
      </c>
      <c r="T103" s="3">
        <v>-28017</v>
      </c>
      <c r="U103" s="3">
        <v>-44477</v>
      </c>
      <c r="V103" s="3">
        <v>-64551</v>
      </c>
    </row>
    <row r="104" spans="2:22" x14ac:dyDescent="0.25">
      <c r="B104" s="12" t="s">
        <v>93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>
        <v>-2388</v>
      </c>
      <c r="Q104" s="3">
        <v>-2521</v>
      </c>
      <c r="R104" s="3">
        <v>-8909</v>
      </c>
      <c r="S104" s="3">
        <v>-22038</v>
      </c>
      <c r="T104" s="3">
        <v>-1670</v>
      </c>
      <c r="U104" s="3">
        <v>-69132</v>
      </c>
      <c r="V104" s="3">
        <v>-5978</v>
      </c>
    </row>
    <row r="105" spans="2:22" x14ac:dyDescent="0.25">
      <c r="B105" s="12" t="s">
        <v>92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>
        <v>-57697</v>
      </c>
      <c r="Q105" s="3">
        <v>-77190</v>
      </c>
      <c r="R105" s="3">
        <v>-62924</v>
      </c>
      <c r="S105" s="3">
        <v>-26456</v>
      </c>
      <c r="T105" s="3">
        <v>-37651</v>
      </c>
      <c r="U105" s="3">
        <v>-17732</v>
      </c>
      <c r="V105" s="3">
        <v>-29775</v>
      </c>
    </row>
    <row r="106" spans="2:22" x14ac:dyDescent="0.25">
      <c r="B106" s="12" t="s">
        <v>94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>
        <v>20043</v>
      </c>
      <c r="Q106" s="3">
        <v>66449</v>
      </c>
      <c r="R106" s="3">
        <v>51792</v>
      </c>
      <c r="S106" s="3">
        <v>16451</v>
      </c>
      <c r="T106" s="3">
        <v>33510</v>
      </c>
      <c r="U106" s="3">
        <v>24775</v>
      </c>
      <c r="V106" s="3">
        <v>16079</v>
      </c>
    </row>
    <row r="107" spans="2:22" x14ac:dyDescent="0.25">
      <c r="B107" s="12" t="s">
        <v>95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>
        <v>38194</v>
      </c>
      <c r="Q107" s="3">
        <v>17721</v>
      </c>
      <c r="R107" s="3">
        <v>14008</v>
      </c>
      <c r="S107" s="3">
        <v>28443</v>
      </c>
      <c r="T107" s="3">
        <v>14354</v>
      </c>
      <c r="U107" s="3">
        <v>10894</v>
      </c>
      <c r="V107" s="3">
        <v>9309</v>
      </c>
    </row>
    <row r="108" spans="2:22" x14ac:dyDescent="0.25">
      <c r="B108" s="12" t="s">
        <v>96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>
        <v>0</v>
      </c>
      <c r="Q108" s="3">
        <v>-1241</v>
      </c>
      <c r="R108" s="3">
        <v>-922</v>
      </c>
      <c r="S108" s="3">
        <v>-2825</v>
      </c>
      <c r="T108" s="3">
        <v>3116</v>
      </c>
      <c r="U108" s="3">
        <v>-1298</v>
      </c>
      <c r="V108" s="3">
        <v>2317</v>
      </c>
    </row>
    <row r="109" spans="2:22" x14ac:dyDescent="0.25">
      <c r="B109" s="1" t="s">
        <v>90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6">
        <f t="shared" ref="P109:T109" si="50">+SUM(P103:P108)</f>
        <v>-15773</v>
      </c>
      <c r="Q109" s="6">
        <f t="shared" si="50"/>
        <v>-12223</v>
      </c>
      <c r="R109" s="6">
        <f t="shared" si="50"/>
        <v>-27577</v>
      </c>
      <c r="S109" s="6">
        <f t="shared" si="50"/>
        <v>-30311</v>
      </c>
      <c r="T109" s="6">
        <f t="shared" si="50"/>
        <v>-16358</v>
      </c>
      <c r="U109" s="6">
        <f>+SUM(U103:U108)</f>
        <v>-96970</v>
      </c>
      <c r="V109" s="6">
        <f>+SUM(V103:V108)</f>
        <v>-72599</v>
      </c>
    </row>
    <row r="110" spans="2:22" x14ac:dyDescent="0.25">
      <c r="B110" s="12" t="s">
        <v>97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>
        <v>-141</v>
      </c>
      <c r="T110" s="3">
        <v>-194</v>
      </c>
      <c r="U110" s="3">
        <v>-210</v>
      </c>
      <c r="V110" s="3">
        <v>63</v>
      </c>
    </row>
    <row r="111" spans="2:22" x14ac:dyDescent="0.25">
      <c r="B111" s="13" t="s">
        <v>98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6">
        <f t="shared" ref="P111:T111" si="51">+P110+P109+P102+P94</f>
        <v>-475</v>
      </c>
      <c r="Q111" s="6">
        <f t="shared" si="51"/>
        <v>2421</v>
      </c>
      <c r="R111" s="6">
        <f t="shared" si="51"/>
        <v>677</v>
      </c>
      <c r="S111" s="6">
        <f t="shared" si="51"/>
        <v>-293</v>
      </c>
      <c r="T111" s="6">
        <f t="shared" si="51"/>
        <v>27095</v>
      </c>
      <c r="U111" s="6">
        <f>+U110+U109+U102+U94</f>
        <v>-16389</v>
      </c>
      <c r="V111" s="6">
        <f>+V110+V109+V102+V94</f>
        <v>11927</v>
      </c>
    </row>
    <row r="112" spans="2:22" x14ac:dyDescent="0.25">
      <c r="B112" s="12" t="s">
        <v>99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>
        <f>P113-P111</f>
        <v>5279</v>
      </c>
      <c r="Q112" s="3">
        <f>Q113-Q111</f>
        <v>4804</v>
      </c>
      <c r="R112" s="3">
        <f>R113-R111</f>
        <v>7225</v>
      </c>
      <c r="S112" s="3">
        <f>S113-S111</f>
        <v>7902</v>
      </c>
      <c r="T112" s="3">
        <f>T113-T111</f>
        <v>7609</v>
      </c>
      <c r="U112" s="3">
        <v>34704</v>
      </c>
      <c r="V112" s="3">
        <v>11927</v>
      </c>
    </row>
    <row r="113" spans="2:22" x14ac:dyDescent="0.25">
      <c r="B113" s="12" t="s">
        <v>100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>
        <f>Q112</f>
        <v>4804</v>
      </c>
      <c r="Q113" s="3">
        <f>R112</f>
        <v>7225</v>
      </c>
      <c r="R113" s="3">
        <f>S112</f>
        <v>7902</v>
      </c>
      <c r="S113" s="3">
        <f>T112</f>
        <v>7609</v>
      </c>
      <c r="T113" s="3">
        <f>U112</f>
        <v>34704</v>
      </c>
      <c r="U113" s="3">
        <f>+U112+U111</f>
        <v>18315</v>
      </c>
      <c r="V113" s="32">
        <v>18315</v>
      </c>
    </row>
    <row r="114" spans="2:2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2:22" x14ac:dyDescent="0.25">
      <c r="B115" s="13" t="s">
        <v>208</v>
      </c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>
        <f t="shared" ref="P115:V115" si="52">P25+P79+P93+P103</f>
        <v>44582</v>
      </c>
      <c r="Q115" s="6">
        <f t="shared" si="52"/>
        <v>48831</v>
      </c>
      <c r="R115" s="6">
        <f t="shared" si="52"/>
        <v>60044</v>
      </c>
      <c r="S115" s="6">
        <f t="shared" si="52"/>
        <v>74403</v>
      </c>
      <c r="T115" s="6">
        <f t="shared" si="52"/>
        <v>71979</v>
      </c>
      <c r="U115" s="6">
        <f t="shared" si="52"/>
        <v>89067</v>
      </c>
      <c r="V115" s="6">
        <f t="shared" si="52"/>
        <v>92780</v>
      </c>
    </row>
    <row r="116" spans="2:2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2:2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2:2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2:2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2:2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2:2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2:2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2:2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2:2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2:2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spans="2:2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2:2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2:2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3:21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3:21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3:21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3:21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3:21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3:21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3:21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3:21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3:21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3:21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3:21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3:21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3:21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3:21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3:21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3:21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3:21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3:21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3:21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3:21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3:21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3:21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3:21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3:21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3:21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3:21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3:21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3:21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spans="3:21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spans="3:21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r="159" spans="3:21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 spans="3:21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</row>
    <row r="161" spans="3:21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</row>
    <row r="162" spans="3:21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</row>
    <row r="163" spans="3:21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</row>
    <row r="164" spans="3:21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</row>
    <row r="165" spans="3:21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</row>
    <row r="166" spans="3:21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</row>
    <row r="167" spans="3:21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</row>
    <row r="168" spans="3:21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</row>
    <row r="169" spans="3:21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</row>
    <row r="170" spans="3:21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</row>
    <row r="171" spans="3:21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 spans="3:21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</row>
    <row r="173" spans="3:21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</row>
    <row r="174" spans="3:21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 spans="3:21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</row>
    <row r="176" spans="3:21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</row>
    <row r="177" spans="3:21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</row>
    <row r="178" spans="3:21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r="179" spans="3:21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</row>
    <row r="180" spans="3:21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</row>
    <row r="181" spans="3:21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</row>
    <row r="182" spans="3:21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 spans="3:21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</row>
    <row r="184" spans="3:21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 spans="3:21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</row>
    <row r="186" spans="3:21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</row>
    <row r="187" spans="3:21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</row>
    <row r="188" spans="3:21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</row>
    <row r="189" spans="3:21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</row>
    <row r="190" spans="3:21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</row>
    <row r="191" spans="3:21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</row>
    <row r="192" spans="3:21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</row>
    <row r="193" spans="3:21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</row>
    <row r="194" spans="3:21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</row>
    <row r="195" spans="3:21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</row>
    <row r="196" spans="3:21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</row>
    <row r="197" spans="3:21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</row>
    <row r="198" spans="3:21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</row>
    <row r="199" spans="3:21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</row>
    <row r="200" spans="3:21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r="201" spans="3:21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</row>
    <row r="202" spans="3:21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</row>
    <row r="203" spans="3:21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</row>
    <row r="204" spans="3:21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</row>
    <row r="205" spans="3:21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</row>
    <row r="206" spans="3:21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</row>
    <row r="207" spans="3:21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</row>
    <row r="208" spans="3:21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</row>
    <row r="209" spans="3:21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</row>
    <row r="210" spans="3:21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</row>
    <row r="211" spans="3:21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</row>
    <row r="212" spans="3:21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</row>
    <row r="213" spans="3:21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</row>
    <row r="214" spans="3:21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</row>
    <row r="215" spans="3:21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</row>
    <row r="216" spans="3:21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</row>
    <row r="217" spans="3:21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</row>
    <row r="218" spans="3:21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</row>
    <row r="219" spans="3:21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</row>
    <row r="220" spans="3:21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</row>
    <row r="221" spans="3:21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</row>
    <row r="222" spans="3:21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</row>
    <row r="223" spans="3:21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</row>
    <row r="224" spans="3:21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</row>
    <row r="225" spans="3:21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</row>
    <row r="226" spans="3:21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</row>
    <row r="227" spans="3:21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</row>
    <row r="228" spans="3:21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</row>
    <row r="229" spans="3:21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</row>
    <row r="230" spans="3:21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</row>
    <row r="231" spans="3:21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</row>
    <row r="232" spans="3:21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</row>
    <row r="233" spans="3:21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</row>
    <row r="234" spans="3:21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</row>
    <row r="235" spans="3:21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</row>
    <row r="236" spans="3:21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</row>
    <row r="237" spans="3:21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</row>
    <row r="238" spans="3:21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</row>
    <row r="239" spans="3:21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</row>
    <row r="240" spans="3:21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</row>
    <row r="241" spans="3:21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</row>
    <row r="242" spans="3:21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</row>
    <row r="243" spans="3:21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</row>
    <row r="244" spans="3:21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</row>
    <row r="245" spans="3:21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</row>
    <row r="246" spans="3:21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</row>
    <row r="247" spans="3:21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</row>
    <row r="248" spans="3:21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</row>
    <row r="249" spans="3:21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</row>
    <row r="250" spans="3:21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</row>
    <row r="251" spans="3:21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</row>
    <row r="252" spans="3:21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</row>
    <row r="253" spans="3:21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3:21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</row>
    <row r="255" spans="3:21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</row>
    <row r="256" spans="3:21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</row>
    <row r="257" spans="3:21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</row>
    <row r="258" spans="3:21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</row>
    <row r="259" spans="3:21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</row>
    <row r="260" spans="3:21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</row>
    <row r="261" spans="3:21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</row>
    <row r="262" spans="3:21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</row>
    <row r="263" spans="3:21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</row>
    <row r="264" spans="3:21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</row>
    <row r="265" spans="3:21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</row>
    <row r="266" spans="3:21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</row>
    <row r="267" spans="3:21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</row>
    <row r="268" spans="3:21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</row>
    <row r="269" spans="3:21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</row>
    <row r="270" spans="3:21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3:21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</row>
    <row r="272" spans="3:21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</row>
    <row r="273" spans="3:21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</row>
    <row r="274" spans="3:21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</row>
    <row r="275" spans="3:21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</row>
    <row r="276" spans="3:21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</row>
    <row r="277" spans="3:21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</row>
    <row r="278" spans="3:21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</row>
    <row r="279" spans="3:21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</row>
    <row r="280" spans="3:21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</row>
    <row r="281" spans="3:21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</row>
    <row r="282" spans="3:21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</row>
    <row r="283" spans="3:21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</row>
    <row r="284" spans="3:21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</row>
    <row r="285" spans="3:21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</row>
    <row r="286" spans="3:21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</row>
    <row r="287" spans="3:21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3:21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</row>
    <row r="289" spans="3:21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</row>
    <row r="290" spans="3:21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</row>
    <row r="291" spans="3:21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</row>
    <row r="292" spans="3:21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</row>
    <row r="293" spans="3:21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</row>
    <row r="294" spans="3:21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</row>
    <row r="295" spans="3:21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</row>
    <row r="296" spans="3:21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</row>
    <row r="297" spans="3:21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</row>
    <row r="298" spans="3:21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</row>
    <row r="299" spans="3:21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</row>
    <row r="300" spans="3:21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</row>
    <row r="301" spans="3:21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</row>
    <row r="302" spans="3:21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</row>
    <row r="303" spans="3:21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</row>
    <row r="304" spans="3:21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3:21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</row>
    <row r="306" spans="3:21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</row>
    <row r="307" spans="3:21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</row>
    <row r="308" spans="3:21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</row>
    <row r="309" spans="3:21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</row>
    <row r="310" spans="3:21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</row>
    <row r="311" spans="3:21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</row>
    <row r="312" spans="3:21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</row>
    <row r="313" spans="3:21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</row>
    <row r="314" spans="3:21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</row>
    <row r="315" spans="3:21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</row>
    <row r="316" spans="3:21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</row>
    <row r="317" spans="3:21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</row>
    <row r="318" spans="3:21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</row>
    <row r="319" spans="3:21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</row>
    <row r="320" spans="3:21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</row>
    <row r="321" spans="3:21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</row>
    <row r="322" spans="3:21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</row>
    <row r="323" spans="3:21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</row>
    <row r="324" spans="3:21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</row>
    <row r="325" spans="3:21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</row>
    <row r="326" spans="3:21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</row>
    <row r="327" spans="3:21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</row>
    <row r="328" spans="3:21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</row>
    <row r="329" spans="3:21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</row>
    <row r="330" spans="3:21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</row>
    <row r="331" spans="3:21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</row>
    <row r="332" spans="3:21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</row>
    <row r="333" spans="3:21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</row>
    <row r="334" spans="3:21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</row>
    <row r="335" spans="3:21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</row>
    <row r="336" spans="3:21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</row>
    <row r="337" spans="3:21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</row>
    <row r="338" spans="3:21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</row>
    <row r="339" spans="3:21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</row>
    <row r="340" spans="3:21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</row>
    <row r="341" spans="3:21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</row>
    <row r="342" spans="3:21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</row>
    <row r="343" spans="3:21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</row>
    <row r="344" spans="3:21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</row>
    <row r="345" spans="3:21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</row>
    <row r="346" spans="3:21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</row>
    <row r="347" spans="3:21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</row>
    <row r="348" spans="3:21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</row>
    <row r="349" spans="3:21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</row>
    <row r="350" spans="3:21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</row>
    <row r="351" spans="3:21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</row>
    <row r="352" spans="3:21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</row>
    <row r="353" spans="3:21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</row>
    <row r="354" spans="3:21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</row>
    <row r="355" spans="3:21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</row>
    <row r="356" spans="3:21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</row>
    <row r="357" spans="3:21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</row>
    <row r="358" spans="3:21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</row>
    <row r="359" spans="3:21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</row>
    <row r="360" spans="3:21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</row>
    <row r="361" spans="3:21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</row>
    <row r="362" spans="3:21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</row>
    <row r="363" spans="3:21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</row>
    <row r="364" spans="3:21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</row>
    <row r="365" spans="3:21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</row>
    <row r="366" spans="3:21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</row>
    <row r="367" spans="3:21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</row>
    <row r="368" spans="3:21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</row>
    <row r="369" spans="3:21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</row>
    <row r="370" spans="3:21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</row>
    <row r="371" spans="3:21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</row>
    <row r="372" spans="3:21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</row>
    <row r="373" spans="3:21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</row>
    <row r="374" spans="3:21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</row>
    <row r="375" spans="3:21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</row>
    <row r="376" spans="3:21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</row>
    <row r="377" spans="3:21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</row>
    <row r="378" spans="3:21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</row>
    <row r="379" spans="3:21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</row>
    <row r="380" spans="3:21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</row>
    <row r="381" spans="3:21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</row>
    <row r="382" spans="3:21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</row>
    <row r="383" spans="3:21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</row>
    <row r="384" spans="3:21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</row>
    <row r="385" spans="3:21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</row>
    <row r="386" spans="3:21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</row>
    <row r="387" spans="3:21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</row>
    <row r="388" spans="3:21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</row>
    <row r="389" spans="3:21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</row>
    <row r="390" spans="3:21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</row>
    <row r="391" spans="3:21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</row>
    <row r="392" spans="3:21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</row>
    <row r="393" spans="3:21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</row>
    <row r="394" spans="3:21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</row>
    <row r="395" spans="3:21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</row>
    <row r="396" spans="3:21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</row>
    <row r="397" spans="3:21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</row>
    <row r="398" spans="3:21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</row>
    <row r="399" spans="3:21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</row>
    <row r="400" spans="3:21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</row>
    <row r="401" spans="3:21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</row>
    <row r="402" spans="3:21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</row>
    <row r="403" spans="3:21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</row>
    <row r="404" spans="3:21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</row>
    <row r="405" spans="3:21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</row>
    <row r="406" spans="3:21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</row>
    <row r="407" spans="3:21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</row>
    <row r="408" spans="3:21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</row>
    <row r="409" spans="3:21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</row>
    <row r="410" spans="3:21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</row>
    <row r="411" spans="3:21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</row>
    <row r="412" spans="3:21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</row>
    <row r="413" spans="3:21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</row>
    <row r="414" spans="3:21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</row>
    <row r="415" spans="3:21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</row>
    <row r="416" spans="3:21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</row>
    <row r="417" spans="3:21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</row>
    <row r="418" spans="3:21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</row>
    <row r="419" spans="3:21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</row>
    <row r="420" spans="3:21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</row>
    <row r="421" spans="3:21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</row>
    <row r="422" spans="3:21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</row>
    <row r="423" spans="3:21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</row>
    <row r="424" spans="3:21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</row>
    <row r="425" spans="3:21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</row>
    <row r="426" spans="3:21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</row>
    <row r="427" spans="3:21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</row>
    <row r="428" spans="3:21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</row>
    <row r="429" spans="3:21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</row>
    <row r="430" spans="3:21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</row>
    <row r="431" spans="3:21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</row>
    <row r="432" spans="3:21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</row>
    <row r="433" spans="3:21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</row>
    <row r="434" spans="3:21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</row>
    <row r="435" spans="3:21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</row>
    <row r="436" spans="3:21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</row>
    <row r="437" spans="3:21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</row>
    <row r="438" spans="3:21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</row>
    <row r="439" spans="3:21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</row>
    <row r="440" spans="3:21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</row>
    <row r="441" spans="3:21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</row>
    <row r="442" spans="3:21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</row>
    <row r="443" spans="3:21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</row>
    <row r="444" spans="3:21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</row>
    <row r="445" spans="3:21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</row>
    <row r="446" spans="3:21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</row>
    <row r="447" spans="3:21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</row>
    <row r="448" spans="3:21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</row>
    <row r="449" spans="3:21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</row>
    <row r="450" spans="3:21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</row>
    <row r="451" spans="3:21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</row>
    <row r="452" spans="3:21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</row>
    <row r="453" spans="3:21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</row>
    <row r="454" spans="3:21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</row>
    <row r="455" spans="3:21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</row>
    <row r="456" spans="3:21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</row>
    <row r="457" spans="3:21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</row>
    <row r="458" spans="3:21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</row>
    <row r="459" spans="3:21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</row>
    <row r="460" spans="3:21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</row>
    <row r="461" spans="3:21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</row>
    <row r="462" spans="3:21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</row>
    <row r="463" spans="3:21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</row>
    <row r="464" spans="3:21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</row>
    <row r="465" spans="3:21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</row>
    <row r="466" spans="3:21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</row>
    <row r="467" spans="3:21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</row>
    <row r="468" spans="3:21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</row>
    <row r="469" spans="3:21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</row>
    <row r="470" spans="3:21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</row>
    <row r="471" spans="3:21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</row>
    <row r="472" spans="3:21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</row>
    <row r="473" spans="3:21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</row>
    <row r="474" spans="3:21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</row>
    <row r="475" spans="3:21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</row>
    <row r="476" spans="3:21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</row>
    <row r="477" spans="3:21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</row>
    <row r="478" spans="3:21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</row>
    <row r="479" spans="3:21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</row>
    <row r="480" spans="3:21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</row>
    <row r="481" spans="3:21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</row>
    <row r="482" spans="3:21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</row>
    <row r="483" spans="3:21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</row>
    <row r="484" spans="3:21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</row>
    <row r="485" spans="3:21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</row>
    <row r="486" spans="3:21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</row>
    <row r="487" spans="3:21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</row>
    <row r="488" spans="3:21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</row>
    <row r="489" spans="3:21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</row>
    <row r="490" spans="3:21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</row>
    <row r="491" spans="3:21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</row>
    <row r="492" spans="3:21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</row>
    <row r="493" spans="3:21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</row>
    <row r="494" spans="3:21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</row>
    <row r="495" spans="3:21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</row>
    <row r="496" spans="3:21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</row>
    <row r="497" spans="3:21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</row>
    <row r="498" spans="3:21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</row>
    <row r="499" spans="3:21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</row>
    <row r="500" spans="3:21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</row>
    <row r="501" spans="3:21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</row>
    <row r="502" spans="3:21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</row>
    <row r="503" spans="3:21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</row>
    <row r="504" spans="3:21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</row>
    <row r="505" spans="3:21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</row>
    <row r="506" spans="3:21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</row>
    <row r="507" spans="3:21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</row>
    <row r="508" spans="3:21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</row>
    <row r="509" spans="3:21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</row>
    <row r="510" spans="3:21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</row>
    <row r="511" spans="3:21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</row>
    <row r="512" spans="3:21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</row>
    <row r="513" spans="3:21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</row>
    <row r="514" spans="3:21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</row>
    <row r="515" spans="3:21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</row>
    <row r="516" spans="3:21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</row>
    <row r="517" spans="3:21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</row>
    <row r="518" spans="3:21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</row>
    <row r="519" spans="3:21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</row>
    <row r="520" spans="3:21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</row>
    <row r="521" spans="3:21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</row>
    <row r="522" spans="3:21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</row>
    <row r="523" spans="3:21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</row>
    <row r="524" spans="3:21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</row>
    <row r="525" spans="3:21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</row>
    <row r="526" spans="3:21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</row>
    <row r="527" spans="3:21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</row>
    <row r="528" spans="3:21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</row>
    <row r="529" spans="3:21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</row>
    <row r="530" spans="3:21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</row>
    <row r="531" spans="3:21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</row>
    <row r="532" spans="3:21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</row>
    <row r="533" spans="3:21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</row>
    <row r="534" spans="3:21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</row>
    <row r="535" spans="3:21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</row>
    <row r="536" spans="3:21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</row>
    <row r="537" spans="3:21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</row>
    <row r="538" spans="3:21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</row>
    <row r="539" spans="3:21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</row>
    <row r="540" spans="3:21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</row>
    <row r="541" spans="3:21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</row>
    <row r="542" spans="3:21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</row>
    <row r="543" spans="3:21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</row>
    <row r="544" spans="3:21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</row>
    <row r="545" spans="3:21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</row>
    <row r="546" spans="3:21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</row>
    <row r="547" spans="3:21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</row>
    <row r="548" spans="3:21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</row>
    <row r="549" spans="3:21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</row>
    <row r="550" spans="3:21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</row>
    <row r="551" spans="3:21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</row>
    <row r="552" spans="3:21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</row>
    <row r="553" spans="3:21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</row>
    <row r="554" spans="3:21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</row>
    <row r="555" spans="3:21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</row>
    <row r="556" spans="3:21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</row>
    <row r="557" spans="3:21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</row>
    <row r="558" spans="3:21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</row>
    <row r="559" spans="3:21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</row>
    <row r="560" spans="3:21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</row>
    <row r="561" spans="3:21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</row>
    <row r="562" spans="3:21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</row>
    <row r="563" spans="3:21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</row>
    <row r="564" spans="3:21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</row>
    <row r="565" spans="3:21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</row>
    <row r="566" spans="3:21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</row>
    <row r="567" spans="3:21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</row>
    <row r="568" spans="3:21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</row>
    <row r="569" spans="3:21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</row>
    <row r="570" spans="3:21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</row>
    <row r="571" spans="3:21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</row>
    <row r="572" spans="3:21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</row>
    <row r="573" spans="3:21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</row>
    <row r="574" spans="3:21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</row>
    <row r="575" spans="3:21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</row>
    <row r="576" spans="3:21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</row>
    <row r="577" spans="3:21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</row>
    <row r="578" spans="3:21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</row>
    <row r="579" spans="3:21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</row>
    <row r="580" spans="3:21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</row>
    <row r="581" spans="3:21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</row>
    <row r="582" spans="3:21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</row>
    <row r="583" spans="3:21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</row>
    <row r="584" spans="3:21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</row>
    <row r="585" spans="3:21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</row>
    <row r="586" spans="3:21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</row>
    <row r="587" spans="3:21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</row>
    <row r="588" spans="3:21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</row>
    <row r="589" spans="3:21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</row>
    <row r="590" spans="3:21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</row>
    <row r="591" spans="3:21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</row>
    <row r="592" spans="3:21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</row>
    <row r="593" spans="3:21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</row>
    <row r="594" spans="3:21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</row>
    <row r="595" spans="3:21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</row>
    <row r="596" spans="3:21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</row>
    <row r="597" spans="3:21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</row>
    <row r="598" spans="3:21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</row>
    <row r="599" spans="3:21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</row>
    <row r="600" spans="3:21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</row>
    <row r="601" spans="3:21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</row>
    <row r="602" spans="3:21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</row>
    <row r="603" spans="3:21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</row>
    <row r="604" spans="3:21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</row>
    <row r="605" spans="3:21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</row>
    <row r="606" spans="3:21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</row>
    <row r="607" spans="3:21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</row>
    <row r="608" spans="3:21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</row>
    <row r="609" spans="3:21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</row>
    <row r="610" spans="3:21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</row>
    <row r="611" spans="3:21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</row>
    <row r="612" spans="3:21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</row>
    <row r="613" spans="3:21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</row>
    <row r="614" spans="3:21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</row>
    <row r="615" spans="3:21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</row>
    <row r="616" spans="3:21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</row>
    <row r="617" spans="3:21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</row>
    <row r="618" spans="3:21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</row>
    <row r="619" spans="3:21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</row>
    <row r="620" spans="3:21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</row>
    <row r="621" spans="3:21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</row>
    <row r="622" spans="3:21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</row>
    <row r="623" spans="3:21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</row>
  </sheetData>
  <hyperlinks>
    <hyperlink ref="A1" location="Main!A1" display="Main" xr:uid="{B15DC469-744A-4CB4-AE1C-68502572AF5B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B61D0-2618-4BEF-BC56-1ABB7D5B5028}">
  <dimension ref="A1:N4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10" sqref="I10"/>
    </sheetView>
  </sheetViews>
  <sheetFormatPr defaultRowHeight="15" x14ac:dyDescent="0.25"/>
  <cols>
    <col min="1" max="1" width="4.7109375" bestFit="1" customWidth="1"/>
    <col min="2" max="2" width="29.7109375" bestFit="1" customWidth="1"/>
  </cols>
  <sheetData>
    <row r="1" spans="1:14" x14ac:dyDescent="0.25">
      <c r="A1" s="5" t="s">
        <v>10</v>
      </c>
    </row>
    <row r="2" spans="1:14" x14ac:dyDescent="0.25">
      <c r="B2" s="14" t="s">
        <v>198</v>
      </c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4" t="s">
        <v>17</v>
      </c>
      <c r="J2" s="4" t="s">
        <v>130</v>
      </c>
    </row>
    <row r="3" spans="1:14" x14ac:dyDescent="0.25">
      <c r="B3" s="14" t="s">
        <v>136</v>
      </c>
    </row>
    <row r="4" spans="1:14" x14ac:dyDescent="0.25">
      <c r="B4" t="s">
        <v>137</v>
      </c>
      <c r="D4" s="23"/>
      <c r="E4" s="23"/>
      <c r="F4" s="23"/>
      <c r="G4" s="23"/>
      <c r="H4" s="23"/>
      <c r="I4" s="8">
        <f>+Model!U29/AVERAGE(Model!T74:U74)</f>
        <v>0.37133347377290921</v>
      </c>
      <c r="K4" s="26"/>
      <c r="L4" s="26"/>
      <c r="N4" t="s">
        <v>138</v>
      </c>
    </row>
    <row r="5" spans="1:14" x14ac:dyDescent="0.25">
      <c r="B5" t="s">
        <v>139</v>
      </c>
      <c r="D5" s="8"/>
      <c r="E5" s="8"/>
      <c r="F5" s="8"/>
      <c r="G5" s="8"/>
      <c r="H5" s="8"/>
      <c r="I5" s="8"/>
      <c r="K5" s="25"/>
      <c r="L5" s="25"/>
      <c r="N5" t="s">
        <v>140</v>
      </c>
    </row>
    <row r="6" spans="1:14" x14ac:dyDescent="0.25">
      <c r="B6" t="s">
        <v>141</v>
      </c>
      <c r="D6" s="8"/>
      <c r="E6" s="8"/>
      <c r="F6" s="8"/>
      <c r="G6" s="8"/>
      <c r="H6" s="8"/>
      <c r="I6" s="8"/>
      <c r="K6" s="25"/>
      <c r="L6" s="25"/>
      <c r="N6" t="s">
        <v>142</v>
      </c>
    </row>
    <row r="7" spans="1:14" x14ac:dyDescent="0.25">
      <c r="B7" t="s">
        <v>143</v>
      </c>
      <c r="D7" s="8"/>
      <c r="E7" s="8"/>
      <c r="F7" s="8"/>
      <c r="G7" s="8"/>
      <c r="H7" s="8"/>
      <c r="I7" s="8"/>
      <c r="K7" s="25"/>
      <c r="L7" s="25"/>
      <c r="N7" t="s">
        <v>144</v>
      </c>
    </row>
    <row r="8" spans="1:14" x14ac:dyDescent="0.25">
      <c r="B8" t="s">
        <v>145</v>
      </c>
      <c r="D8" s="8"/>
      <c r="E8" s="8"/>
      <c r="F8" s="8"/>
      <c r="G8" s="8"/>
      <c r="H8" s="8"/>
      <c r="I8" s="8">
        <f>1-((-Model!U100-Model!U99)/Model!U29)</f>
        <v>0.55721838976127802</v>
      </c>
      <c r="K8" s="25"/>
      <c r="L8" s="25"/>
      <c r="N8" t="s">
        <v>146</v>
      </c>
    </row>
    <row r="9" spans="1:14" x14ac:dyDescent="0.25">
      <c r="B9" t="s">
        <v>147</v>
      </c>
      <c r="D9" s="25"/>
      <c r="E9" s="25"/>
      <c r="F9" s="25"/>
      <c r="G9" s="25"/>
      <c r="H9" s="25"/>
      <c r="I9" s="25">
        <f>+I8*I4</f>
        <v>0.20691384032020224</v>
      </c>
      <c r="K9" s="25"/>
      <c r="L9" s="25"/>
      <c r="N9" t="s">
        <v>148</v>
      </c>
    </row>
    <row r="10" spans="1:14" x14ac:dyDescent="0.25">
      <c r="B10" t="s">
        <v>149</v>
      </c>
      <c r="D10" s="8"/>
      <c r="E10" s="8"/>
      <c r="F10" s="8"/>
      <c r="G10" s="8"/>
      <c r="H10" s="8"/>
      <c r="I10" s="8"/>
      <c r="K10" s="25"/>
      <c r="L10" s="25"/>
      <c r="N10" t="s">
        <v>150</v>
      </c>
    </row>
    <row r="11" spans="1:14" x14ac:dyDescent="0.25">
      <c r="B11" t="s">
        <v>147</v>
      </c>
      <c r="D11" s="25"/>
      <c r="E11" s="25"/>
      <c r="F11" s="25"/>
      <c r="G11" s="25"/>
      <c r="H11" s="25"/>
      <c r="I11" s="25"/>
      <c r="K11" s="25"/>
      <c r="L11" s="25"/>
      <c r="N11" t="s">
        <v>151</v>
      </c>
    </row>
    <row r="14" spans="1:14" x14ac:dyDescent="0.25">
      <c r="B14" s="14" t="s">
        <v>152</v>
      </c>
    </row>
    <row r="15" spans="1:14" x14ac:dyDescent="0.25">
      <c r="B15" t="s">
        <v>153</v>
      </c>
      <c r="D15" s="8"/>
      <c r="E15" s="8"/>
      <c r="F15" s="8"/>
      <c r="G15" s="8"/>
      <c r="H15" s="8"/>
      <c r="I15" s="8"/>
      <c r="K15" s="25"/>
      <c r="L15" s="25"/>
      <c r="N15" t="s">
        <v>154</v>
      </c>
    </row>
    <row r="16" spans="1:14" x14ac:dyDescent="0.25">
      <c r="B16" t="s">
        <v>155</v>
      </c>
      <c r="D16" s="8"/>
      <c r="E16" s="8"/>
      <c r="F16" s="8"/>
      <c r="G16" s="8"/>
      <c r="H16" s="8"/>
      <c r="I16" s="8"/>
      <c r="K16" s="25"/>
      <c r="L16" s="25"/>
      <c r="N16" t="s">
        <v>156</v>
      </c>
    </row>
    <row r="17" spans="2:14" x14ac:dyDescent="0.25">
      <c r="B17" t="s">
        <v>157</v>
      </c>
      <c r="D17" s="8"/>
      <c r="E17" s="8"/>
      <c r="F17" s="8"/>
      <c r="G17" s="8"/>
      <c r="H17" s="8"/>
      <c r="I17" s="8"/>
      <c r="K17" s="25"/>
      <c r="L17" s="25"/>
      <c r="N17" t="s">
        <v>158</v>
      </c>
    </row>
    <row r="18" spans="2:14" x14ac:dyDescent="0.25">
      <c r="B18" t="s">
        <v>159</v>
      </c>
      <c r="D18" s="8"/>
      <c r="E18" s="8"/>
      <c r="F18" s="8"/>
      <c r="G18" s="8"/>
      <c r="H18" s="8"/>
      <c r="I18" s="8"/>
      <c r="K18" s="25"/>
      <c r="L18" s="25"/>
      <c r="N18" t="s">
        <v>160</v>
      </c>
    </row>
    <row r="19" spans="2:14" x14ac:dyDescent="0.25">
      <c r="B19" t="s">
        <v>161</v>
      </c>
      <c r="D19" s="8"/>
      <c r="E19" s="8"/>
      <c r="F19" s="8"/>
      <c r="G19" s="8"/>
      <c r="H19" s="8"/>
      <c r="I19" s="8"/>
      <c r="K19" s="25"/>
      <c r="L19" s="25"/>
      <c r="N19" t="s">
        <v>162</v>
      </c>
    </row>
    <row r="21" spans="2:14" x14ac:dyDescent="0.25">
      <c r="B21" s="14" t="s">
        <v>163</v>
      </c>
    </row>
    <row r="22" spans="2:14" x14ac:dyDescent="0.25">
      <c r="B22" t="s">
        <v>164</v>
      </c>
      <c r="D22" s="26"/>
      <c r="E22" s="26"/>
      <c r="F22" s="26"/>
      <c r="G22" s="26"/>
      <c r="H22" s="26"/>
      <c r="I22" s="26"/>
      <c r="K22" s="26"/>
      <c r="L22" s="26"/>
      <c r="N22" t="s">
        <v>165</v>
      </c>
    </row>
    <row r="23" spans="2:14" x14ac:dyDescent="0.25">
      <c r="B23" t="s">
        <v>166</v>
      </c>
      <c r="D23" s="26"/>
      <c r="E23" s="26"/>
      <c r="F23" s="26"/>
      <c r="G23" s="26"/>
      <c r="H23" s="26"/>
      <c r="I23" s="26"/>
      <c r="K23" s="26"/>
      <c r="L23" s="26"/>
      <c r="N23" t="s">
        <v>167</v>
      </c>
    </row>
    <row r="24" spans="2:14" x14ac:dyDescent="0.25">
      <c r="B24" t="s">
        <v>168</v>
      </c>
      <c r="D24" s="8"/>
      <c r="E24" s="8"/>
      <c r="F24" s="8"/>
      <c r="G24" s="8"/>
      <c r="H24" s="8"/>
      <c r="I24" s="8"/>
      <c r="K24" s="25"/>
      <c r="L24" s="25"/>
      <c r="N24" t="s">
        <v>169</v>
      </c>
    </row>
    <row r="25" spans="2:14" x14ac:dyDescent="0.25">
      <c r="B25" t="s">
        <v>170</v>
      </c>
      <c r="D25" s="8"/>
      <c r="E25" s="8"/>
      <c r="F25" s="8"/>
      <c r="G25" s="8"/>
      <c r="H25" s="8"/>
      <c r="I25" s="8"/>
      <c r="K25" s="25"/>
      <c r="L25" s="25"/>
      <c r="N25" t="s">
        <v>171</v>
      </c>
    </row>
    <row r="26" spans="2:14" x14ac:dyDescent="0.25">
      <c r="B26" t="s">
        <v>172</v>
      </c>
      <c r="D26" s="8"/>
      <c r="E26" s="8"/>
      <c r="F26" s="8"/>
      <c r="G26" s="8"/>
      <c r="H26" s="8"/>
      <c r="I26" s="8"/>
      <c r="K26" s="25"/>
      <c r="L26" s="25"/>
      <c r="N26" t="s">
        <v>173</v>
      </c>
    </row>
    <row r="27" spans="2:14" x14ac:dyDescent="0.25">
      <c r="B27" t="s">
        <v>174</v>
      </c>
      <c r="D27" s="8"/>
      <c r="E27" s="8"/>
      <c r="F27" s="8"/>
      <c r="G27" s="8"/>
      <c r="H27" s="8"/>
      <c r="I27" s="8"/>
      <c r="K27" s="25"/>
      <c r="L27" s="25"/>
      <c r="N27" t="s">
        <v>175</v>
      </c>
    </row>
    <row r="28" spans="2:14" x14ac:dyDescent="0.25">
      <c r="B28" t="s">
        <v>176</v>
      </c>
      <c r="D28" s="26"/>
      <c r="E28" s="26"/>
      <c r="F28" s="26"/>
      <c r="G28" s="26"/>
      <c r="H28" s="26"/>
      <c r="I28" s="26"/>
      <c r="K28" s="26"/>
      <c r="L28" s="26"/>
      <c r="N28" t="s">
        <v>177</v>
      </c>
    </row>
    <row r="29" spans="2:14" x14ac:dyDescent="0.25">
      <c r="B29" t="s">
        <v>178</v>
      </c>
      <c r="D29" s="26"/>
      <c r="E29" s="26"/>
      <c r="F29" s="26"/>
      <c r="G29" s="26"/>
      <c r="H29" s="26"/>
      <c r="I29" s="26"/>
      <c r="K29" s="26"/>
      <c r="L29" s="26"/>
      <c r="N29" t="s">
        <v>179</v>
      </c>
    </row>
    <row r="30" spans="2:14" x14ac:dyDescent="0.25">
      <c r="B30" t="s">
        <v>180</v>
      </c>
      <c r="D30" s="26"/>
      <c r="E30" s="26"/>
      <c r="F30" s="26"/>
      <c r="G30" s="26"/>
      <c r="H30" s="26"/>
      <c r="I30" s="26"/>
      <c r="K30" s="26"/>
      <c r="L30" s="26"/>
      <c r="N30" t="s">
        <v>181</v>
      </c>
    </row>
    <row r="32" spans="2:14" x14ac:dyDescent="0.25">
      <c r="B32" s="14" t="s">
        <v>182</v>
      </c>
    </row>
    <row r="33" spans="2:14" x14ac:dyDescent="0.25">
      <c r="B33" t="s">
        <v>2</v>
      </c>
    </row>
    <row r="34" spans="2:14" x14ac:dyDescent="0.25">
      <c r="B34" t="s">
        <v>3</v>
      </c>
    </row>
    <row r="35" spans="2:14" x14ac:dyDescent="0.25">
      <c r="B35" t="s">
        <v>183</v>
      </c>
      <c r="D35" s="23"/>
      <c r="E35" s="23"/>
      <c r="F35" s="23"/>
      <c r="G35" s="23"/>
      <c r="H35" s="23"/>
      <c r="I35" s="23"/>
    </row>
    <row r="36" spans="2:14" x14ac:dyDescent="0.25">
      <c r="B36" t="s">
        <v>184</v>
      </c>
      <c r="D36" s="23"/>
      <c r="E36" s="23"/>
      <c r="F36" s="23"/>
      <c r="G36" s="23"/>
      <c r="H36" s="23"/>
      <c r="I36" s="23"/>
    </row>
    <row r="37" spans="2:14" x14ac:dyDescent="0.25">
      <c r="B37" t="s">
        <v>7</v>
      </c>
      <c r="D37" s="23"/>
      <c r="E37" s="23"/>
      <c r="F37" s="23"/>
      <c r="G37" s="23"/>
      <c r="H37" s="23"/>
      <c r="I37" s="23"/>
    </row>
    <row r="38" spans="2:14" x14ac:dyDescent="0.25">
      <c r="D38" s="23"/>
      <c r="E38" s="23"/>
      <c r="F38" s="23"/>
      <c r="G38" s="23"/>
      <c r="H38" s="23"/>
      <c r="I38" s="23"/>
    </row>
    <row r="39" spans="2:14" x14ac:dyDescent="0.25">
      <c r="B39" s="9" t="s">
        <v>185</v>
      </c>
      <c r="D39" s="23"/>
      <c r="E39" s="23"/>
      <c r="F39" s="23"/>
      <c r="G39" s="23"/>
      <c r="H39" s="23"/>
      <c r="I39" s="23"/>
    </row>
    <row r="40" spans="2:14" x14ac:dyDescent="0.25">
      <c r="B40" t="s">
        <v>186</v>
      </c>
      <c r="D40" s="26"/>
      <c r="E40" s="26"/>
      <c r="F40" s="26"/>
      <c r="G40" s="26"/>
      <c r="H40" s="26"/>
      <c r="I40" s="26"/>
      <c r="K40" s="26"/>
      <c r="L40" s="26"/>
      <c r="N40" t="s">
        <v>187</v>
      </c>
    </row>
    <row r="41" spans="2:14" x14ac:dyDescent="0.25">
      <c r="B41" t="s">
        <v>188</v>
      </c>
      <c r="D41" s="24"/>
      <c r="E41" s="26"/>
      <c r="F41" s="26"/>
      <c r="G41" s="26"/>
      <c r="H41" s="26"/>
      <c r="I41" s="26"/>
      <c r="K41" s="26"/>
      <c r="L41" s="26"/>
      <c r="N41" t="s">
        <v>189</v>
      </c>
    </row>
    <row r="42" spans="2:14" x14ac:dyDescent="0.25">
      <c r="B42" t="s">
        <v>190</v>
      </c>
      <c r="D42" s="26"/>
      <c r="E42" s="26"/>
      <c r="F42" s="26"/>
      <c r="G42" s="26"/>
      <c r="H42" s="26"/>
      <c r="I42" s="26"/>
      <c r="K42" s="26"/>
      <c r="L42" s="26"/>
      <c r="N42" t="s">
        <v>191</v>
      </c>
    </row>
    <row r="43" spans="2:14" x14ac:dyDescent="0.25">
      <c r="B43" s="9" t="s">
        <v>192</v>
      </c>
      <c r="K43" s="26"/>
      <c r="L43" s="26"/>
    </row>
    <row r="44" spans="2:14" x14ac:dyDescent="0.25">
      <c r="B44" t="s">
        <v>193</v>
      </c>
      <c r="D44" s="26"/>
      <c r="E44" s="26"/>
      <c r="F44" s="26"/>
      <c r="G44" s="26"/>
      <c r="H44" s="26"/>
      <c r="I44" s="26"/>
      <c r="K44" s="26"/>
      <c r="L44" s="26"/>
      <c r="N44" t="s">
        <v>193</v>
      </c>
    </row>
    <row r="45" spans="2:14" x14ac:dyDescent="0.25">
      <c r="B45" t="s">
        <v>194</v>
      </c>
      <c r="D45" s="26"/>
      <c r="E45" s="26"/>
      <c r="F45" s="26"/>
      <c r="G45" s="26"/>
      <c r="H45" s="26"/>
      <c r="I45" s="26"/>
      <c r="K45" s="26"/>
      <c r="L45" s="26"/>
      <c r="N45" t="s">
        <v>194</v>
      </c>
    </row>
    <row r="46" spans="2:14" x14ac:dyDescent="0.25">
      <c r="B46" t="s">
        <v>195</v>
      </c>
      <c r="D46" s="26"/>
      <c r="E46" s="26"/>
      <c r="F46" s="26"/>
      <c r="G46" s="26"/>
      <c r="H46" s="26"/>
      <c r="I46" s="26"/>
      <c r="K46" s="26"/>
      <c r="L46" s="26"/>
      <c r="N46" t="s">
        <v>195</v>
      </c>
    </row>
    <row r="47" spans="2:14" x14ac:dyDescent="0.25">
      <c r="B47" t="s">
        <v>196</v>
      </c>
      <c r="D47" s="26"/>
      <c r="E47" s="26"/>
      <c r="F47" s="26"/>
      <c r="G47" s="26"/>
      <c r="H47" s="26"/>
      <c r="I47" s="26"/>
      <c r="K47" s="26"/>
      <c r="L47" s="26"/>
      <c r="N47" t="s">
        <v>197</v>
      </c>
    </row>
  </sheetData>
  <hyperlinks>
    <hyperlink ref="A1" location="Main!A1" display="Main" xr:uid="{C8705A2E-6A72-48DD-B334-5F81A945506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2024-09-13T14:52:12Z</dcterms:created>
  <dcterms:modified xsi:type="dcterms:W3CDTF">2025-07-31T12:57:59Z</dcterms:modified>
</cp:coreProperties>
</file>