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FA238568-5919-41CB-BCDB-9D10DD1A891D}" xr6:coauthVersionLast="47" xr6:coauthVersionMax="47" xr10:uidLastSave="{00000000-0000-0000-0000-000000000000}"/>
  <bookViews>
    <workbookView xWindow="225" yWindow="780" windowWidth="38175" windowHeight="15240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10" l="1"/>
  <c r="O17" i="10"/>
  <c r="O16" i="10"/>
  <c r="O15" i="10"/>
  <c r="O14" i="10"/>
  <c r="O13" i="10"/>
  <c r="O12" i="10"/>
  <c r="O10" i="10"/>
  <c r="C8" i="1"/>
  <c r="N14" i="10"/>
  <c r="Q68" i="2"/>
  <c r="O18" i="7"/>
  <c r="N18" i="7"/>
  <c r="I18" i="7"/>
  <c r="H18" i="7"/>
  <c r="G18" i="7"/>
  <c r="F18" i="7"/>
  <c r="E18" i="7"/>
  <c r="J18" i="7"/>
  <c r="J56" i="7"/>
  <c r="J55" i="7"/>
  <c r="J54" i="7"/>
  <c r="J53" i="7"/>
  <c r="J51" i="7"/>
  <c r="J52" i="7" s="1"/>
  <c r="J45" i="7"/>
  <c r="J46" i="7" s="1"/>
  <c r="J47" i="7" s="1"/>
  <c r="J44" i="7"/>
  <c r="J43" i="7"/>
  <c r="J42" i="7"/>
  <c r="J37" i="7"/>
  <c r="J35" i="7"/>
  <c r="J29" i="7"/>
  <c r="J32" i="7" s="1"/>
  <c r="J28" i="7"/>
  <c r="J30" i="7" s="1"/>
  <c r="J25" i="7"/>
  <c r="J24" i="7"/>
  <c r="J23" i="7"/>
  <c r="J22" i="7"/>
  <c r="J21" i="7"/>
  <c r="J14" i="7"/>
  <c r="J12" i="7"/>
  <c r="J15" i="7" s="1"/>
  <c r="J17" i="7" s="1"/>
  <c r="J11" i="7"/>
  <c r="J13" i="7" s="1"/>
  <c r="J10" i="7"/>
  <c r="Q36" i="2"/>
  <c r="Q34" i="2"/>
  <c r="Q32" i="2"/>
  <c r="H6" i="1"/>
  <c r="Q26" i="2"/>
  <c r="Q24" i="2"/>
  <c r="Q23" i="2"/>
  <c r="Q22" i="2"/>
  <c r="Q20" i="2"/>
  <c r="Q163" i="2"/>
  <c r="Q162" i="2"/>
  <c r="Q161" i="2"/>
  <c r="Q158" i="2"/>
  <c r="Q150" i="2"/>
  <c r="Q148" i="2"/>
  <c r="Q146" i="2"/>
  <c r="Q144" i="2"/>
  <c r="Q143" i="2"/>
  <c r="H131" i="2"/>
  <c r="G131" i="2"/>
  <c r="F131" i="2"/>
  <c r="E131" i="2"/>
  <c r="D131" i="2"/>
  <c r="C131" i="2"/>
  <c r="P131" i="2"/>
  <c r="O131" i="2"/>
  <c r="N131" i="2"/>
  <c r="M131" i="2"/>
  <c r="L131" i="2"/>
  <c r="K131" i="2"/>
  <c r="J131" i="2"/>
  <c r="Q131" i="2"/>
  <c r="Q129" i="2"/>
  <c r="Q120" i="2"/>
  <c r="Q112" i="2"/>
  <c r="Q108" i="2"/>
  <c r="P108" i="2"/>
  <c r="O108" i="2"/>
  <c r="N108" i="2"/>
  <c r="M108" i="2"/>
  <c r="L108" i="2"/>
  <c r="K108" i="2"/>
  <c r="J108" i="2"/>
  <c r="H108" i="2"/>
  <c r="G108" i="2"/>
  <c r="F108" i="2"/>
  <c r="E108" i="2"/>
  <c r="D108" i="2"/>
  <c r="C108" i="2"/>
  <c r="C106" i="2"/>
  <c r="Q106" i="2"/>
  <c r="Q99" i="2"/>
  <c r="Q49" i="2"/>
  <c r="N15" i="10"/>
  <c r="N13" i="10"/>
  <c r="N12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F10" i="10" s="1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17" i="10" s="1"/>
  <c r="J8" i="10"/>
  <c r="J16" i="10" s="1"/>
  <c r="J7" i="10"/>
  <c r="J6" i="10"/>
  <c r="J5" i="10"/>
  <c r="J4" i="10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Q30" i="2"/>
  <c r="V17" i="2"/>
  <c r="U17" i="2"/>
  <c r="T17" i="2"/>
  <c r="S17" i="2"/>
  <c r="R17" i="2"/>
  <c r="Q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Q77" i="2"/>
  <c r="Q82" i="2"/>
  <c r="Q73" i="2"/>
  <c r="V86" i="2"/>
  <c r="U86" i="2"/>
  <c r="T86" i="2"/>
  <c r="S86" i="2"/>
  <c r="R86" i="2"/>
  <c r="Q81" i="2"/>
  <c r="Q74" i="2"/>
  <c r="V8" i="2"/>
  <c r="V9" i="2" s="1"/>
  <c r="V44" i="2" s="1"/>
  <c r="V38" i="2" s="1"/>
  <c r="U8" i="2"/>
  <c r="U9" i="2" s="1"/>
  <c r="U44" i="2" s="1"/>
  <c r="T8" i="2"/>
  <c r="T9" i="2" s="1"/>
  <c r="T44" i="2" s="1"/>
  <c r="T23" i="2" s="1"/>
  <c r="S8" i="2"/>
  <c r="S9" i="2" s="1"/>
  <c r="S44" i="2" s="1"/>
  <c r="S79" i="2" s="1"/>
  <c r="R8" i="2"/>
  <c r="R9" i="2" s="1"/>
  <c r="R44" i="2" s="1"/>
  <c r="R22" i="2" s="1"/>
  <c r="Q8" i="2"/>
  <c r="K8" i="2"/>
  <c r="L8" i="2"/>
  <c r="P8" i="2"/>
  <c r="O8" i="2"/>
  <c r="N8" i="2"/>
  <c r="O71" i="2" s="1"/>
  <c r="M8" i="2"/>
  <c r="N71" i="2" s="1"/>
  <c r="J31" i="7" l="1"/>
  <c r="J16" i="7"/>
  <c r="N17" i="10"/>
  <c r="P71" i="2"/>
  <c r="M71" i="2"/>
  <c r="J12" i="10"/>
  <c r="N16" i="10"/>
  <c r="Q71" i="2"/>
  <c r="J10" i="10"/>
  <c r="N18" i="10" s="1"/>
  <c r="J13" i="10"/>
  <c r="J18" i="10"/>
  <c r="J14" i="10"/>
  <c r="T79" i="2"/>
  <c r="R38" i="2"/>
  <c r="R80" i="2" s="1"/>
  <c r="R39" i="2"/>
  <c r="R32" i="2" s="1"/>
  <c r="S39" i="2"/>
  <c r="S81" i="2" s="1"/>
  <c r="V79" i="2"/>
  <c r="V42" i="2"/>
  <c r="V84" i="2" s="1"/>
  <c r="R85" i="2"/>
  <c r="R40" i="2"/>
  <c r="R82" i="2" s="1"/>
  <c r="V20" i="2"/>
  <c r="S85" i="2"/>
  <c r="R20" i="2"/>
  <c r="T41" i="2"/>
  <c r="U41" i="2"/>
  <c r="U38" i="2"/>
  <c r="U80" i="2" s="1"/>
  <c r="V41" i="2"/>
  <c r="U24" i="2"/>
  <c r="T42" i="2"/>
  <c r="T40" i="2"/>
  <c r="T82" i="2" s="1"/>
  <c r="T26" i="2"/>
  <c r="T18" i="2" s="1"/>
  <c r="V24" i="2"/>
  <c r="U40" i="2"/>
  <c r="U26" i="2"/>
  <c r="U27" i="2" s="1"/>
  <c r="U21" i="2"/>
  <c r="V78" i="2"/>
  <c r="V43" i="2"/>
  <c r="T39" i="2"/>
  <c r="T32" i="2" s="1"/>
  <c r="V39" i="2"/>
  <c r="V26" i="2"/>
  <c r="V27" i="2" s="1"/>
  <c r="U23" i="2"/>
  <c r="T85" i="2"/>
  <c r="R41" i="2"/>
  <c r="R76" i="2" s="1"/>
  <c r="U39" i="2"/>
  <c r="T22" i="2"/>
  <c r="V23" i="2"/>
  <c r="V85" i="2"/>
  <c r="T78" i="2"/>
  <c r="S41" i="2"/>
  <c r="U42" i="2"/>
  <c r="U22" i="2"/>
  <c r="S20" i="2"/>
  <c r="V30" i="2"/>
  <c r="S40" i="2"/>
  <c r="R23" i="2"/>
  <c r="R21" i="2"/>
  <c r="S21" i="2"/>
  <c r="T20" i="2"/>
  <c r="S23" i="2"/>
  <c r="S43" i="2"/>
  <c r="R24" i="2"/>
  <c r="U20" i="2"/>
  <c r="V21" i="2"/>
  <c r="R43" i="2"/>
  <c r="T43" i="2"/>
  <c r="R42" i="2"/>
  <c r="R84" i="2" s="1"/>
  <c r="S38" i="2"/>
  <c r="S80" i="2" s="1"/>
  <c r="V40" i="2"/>
  <c r="R26" i="2"/>
  <c r="R18" i="2" s="1"/>
  <c r="V32" i="2"/>
  <c r="S24" i="2"/>
  <c r="T21" i="2"/>
  <c r="V22" i="2"/>
  <c r="U43" i="2"/>
  <c r="S42" i="2"/>
  <c r="S84" i="2" s="1"/>
  <c r="T38" i="2"/>
  <c r="S26" i="2"/>
  <c r="S27" i="2" s="1"/>
  <c r="S22" i="2"/>
  <c r="T24" i="2"/>
  <c r="V72" i="2"/>
  <c r="U72" i="2"/>
  <c r="T72" i="2"/>
  <c r="S72" i="2"/>
  <c r="R72" i="2"/>
  <c r="O5" i="5"/>
  <c r="V80" i="2"/>
  <c r="U79" i="2"/>
  <c r="U85" i="2"/>
  <c r="U78" i="2"/>
  <c r="S78" i="2"/>
  <c r="R77" i="2"/>
  <c r="Q84" i="2"/>
  <c r="Q76" i="2"/>
  <c r="Q83" i="2"/>
  <c r="Q75" i="2"/>
  <c r="Q80" i="2"/>
  <c r="R79" i="2"/>
  <c r="V71" i="2"/>
  <c r="R71" i="2"/>
  <c r="L71" i="2"/>
  <c r="U71" i="2"/>
  <c r="T71" i="2"/>
  <c r="S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I11" i="7"/>
  <c r="I13" i="7" s="1"/>
  <c r="H11" i="7"/>
  <c r="H13" i="7" s="1"/>
  <c r="G11" i="7"/>
  <c r="G13" i="7" s="1"/>
  <c r="F11" i="7"/>
  <c r="F13" i="7" s="1"/>
  <c r="E11" i="7"/>
  <c r="E13" i="7" s="1"/>
  <c r="D11" i="7"/>
  <c r="D13" i="7" s="1"/>
  <c r="H10" i="7"/>
  <c r="G10" i="7"/>
  <c r="F10" i="7"/>
  <c r="E10" i="7"/>
  <c r="D10" i="7"/>
  <c r="R74" i="2" l="1"/>
  <c r="R81" i="2"/>
  <c r="T74" i="2"/>
  <c r="R73" i="2"/>
  <c r="V77" i="2"/>
  <c r="S32" i="2"/>
  <c r="S74" i="2"/>
  <c r="T77" i="2"/>
  <c r="U18" i="2"/>
  <c r="T27" i="2"/>
  <c r="U73" i="2"/>
  <c r="V18" i="2"/>
  <c r="V74" i="2"/>
  <c r="R30" i="2"/>
  <c r="R34" i="2"/>
  <c r="R75" i="2"/>
  <c r="V73" i="2"/>
  <c r="S18" i="2"/>
  <c r="U77" i="2"/>
  <c r="R27" i="2"/>
  <c r="U34" i="2"/>
  <c r="U82" i="2"/>
  <c r="V76" i="2"/>
  <c r="V83" i="2"/>
  <c r="V36" i="2"/>
  <c r="U84" i="2"/>
  <c r="U76" i="2"/>
  <c r="U83" i="2"/>
  <c r="U36" i="2"/>
  <c r="V81" i="2"/>
  <c r="U74" i="2"/>
  <c r="T81" i="2"/>
  <c r="S77" i="2"/>
  <c r="U30" i="2"/>
  <c r="T84" i="2"/>
  <c r="R36" i="2"/>
  <c r="R83" i="2"/>
  <c r="U75" i="2"/>
  <c r="T34" i="2"/>
  <c r="T76" i="2"/>
  <c r="S83" i="2"/>
  <c r="S76" i="2"/>
  <c r="S36" i="2"/>
  <c r="U32" i="2"/>
  <c r="U81" i="2"/>
  <c r="T83" i="2"/>
  <c r="T36" i="2"/>
  <c r="S75" i="2"/>
  <c r="S82" i="2"/>
  <c r="T75" i="2"/>
  <c r="S34" i="2"/>
  <c r="V82" i="2"/>
  <c r="V34" i="2"/>
  <c r="T73" i="2"/>
  <c r="T30" i="2"/>
  <c r="T80" i="2"/>
  <c r="S73" i="2"/>
  <c r="S30" i="2"/>
  <c r="V75" i="2"/>
  <c r="G23" i="7"/>
  <c r="D23" i="7"/>
  <c r="N1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O13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O36" i="2"/>
  <c r="O34" i="2"/>
  <c r="O32" i="2"/>
  <c r="M36" i="2"/>
  <c r="M34" i="2"/>
  <c r="M32" i="2"/>
  <c r="M30" i="2"/>
  <c r="J58" i="2"/>
  <c r="C37" i="7" s="1"/>
  <c r="J24" i="2"/>
  <c r="J36" i="2"/>
  <c r="J32" i="2"/>
  <c r="J34" i="2"/>
  <c r="J30" i="2"/>
  <c r="J27" i="2"/>
  <c r="J26" i="2"/>
  <c r="K36" i="2"/>
  <c r="K34" i="2"/>
  <c r="K32" i="2"/>
  <c r="K24" i="2"/>
  <c r="L24" i="2"/>
  <c r="J85" i="2"/>
  <c r="J84" i="2"/>
  <c r="J83" i="2"/>
  <c r="J82" i="2"/>
  <c r="J81" i="2"/>
  <c r="J80" i="2"/>
  <c r="J66" i="2"/>
  <c r="J68" i="2" s="1"/>
  <c r="K66" i="2"/>
  <c r="K68" i="2" s="1"/>
  <c r="L66" i="2"/>
  <c r="L36" i="2"/>
  <c r="L34" i="2"/>
  <c r="L32" i="2"/>
  <c r="K30" i="2"/>
  <c r="L30" i="2"/>
  <c r="M66" i="2"/>
  <c r="M68" i="2" s="1"/>
  <c r="N66" i="2"/>
  <c r="N36" i="2"/>
  <c r="N34" i="2"/>
  <c r="N32" i="2"/>
  <c r="N30" i="2"/>
  <c r="O30" i="2"/>
  <c r="M17" i="2"/>
  <c r="M18" i="2" s="1"/>
  <c r="N17" i="2"/>
  <c r="P36" i="2"/>
  <c r="P34" i="2"/>
  <c r="P32" i="2"/>
  <c r="P30" i="2"/>
  <c r="H72" i="2"/>
  <c r="G72" i="2"/>
  <c r="O17" i="2"/>
  <c r="L17" i="2"/>
  <c r="K17" i="2"/>
  <c r="J17" i="2"/>
  <c r="P17" i="2"/>
  <c r="Q72" i="2" s="1"/>
  <c r="E36" i="2"/>
  <c r="E34" i="2"/>
  <c r="E32" i="2"/>
  <c r="E30" i="2"/>
  <c r="V58" i="5"/>
  <c r="J6" i="7" l="1"/>
  <c r="F36" i="8"/>
  <c r="V59" i="5"/>
  <c r="O46" i="7"/>
  <c r="N46" i="7"/>
  <c r="K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L68" i="2"/>
  <c r="E28" i="7"/>
  <c r="E22" i="7"/>
  <c r="F51" i="7"/>
  <c r="F52" i="7" s="1"/>
  <c r="F53" i="7"/>
  <c r="F54" i="7"/>
  <c r="F55" i="7"/>
  <c r="G36" i="7"/>
  <c r="G38" i="7"/>
  <c r="N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J60" i="2"/>
  <c r="J86" i="2" s="1"/>
  <c r="C14" i="7" s="1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J18" i="2"/>
  <c r="P72" i="2"/>
  <c r="N72" i="2"/>
  <c r="O72" i="2"/>
  <c r="P18" i="2"/>
  <c r="O18" i="2"/>
  <c r="N18" i="2"/>
  <c r="M72" i="2"/>
  <c r="L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50" i="2"/>
  <c r="E158" i="2" s="1"/>
  <c r="H148" i="2"/>
  <c r="G148" i="2"/>
  <c r="F148" i="2"/>
  <c r="D148" i="2"/>
  <c r="C148" i="2"/>
  <c r="E146" i="2"/>
  <c r="E148" i="2" s="1"/>
  <c r="E143" i="2"/>
  <c r="P143" i="2"/>
  <c r="I55" i="7" s="1"/>
  <c r="H129" i="2"/>
  <c r="G129" i="2"/>
  <c r="F129" i="2"/>
  <c r="D129" i="2"/>
  <c r="C129" i="2"/>
  <c r="E129" i="2"/>
  <c r="H120" i="2"/>
  <c r="G120" i="2"/>
  <c r="F120" i="2"/>
  <c r="D120" i="2"/>
  <c r="C120" i="2"/>
  <c r="E120" i="2"/>
  <c r="H112" i="2"/>
  <c r="G112" i="2"/>
  <c r="F112" i="2"/>
  <c r="D112" i="2"/>
  <c r="C112" i="2"/>
  <c r="E112" i="2"/>
  <c r="H106" i="2"/>
  <c r="G106" i="2"/>
  <c r="F106" i="2"/>
  <c r="D106" i="2"/>
  <c r="E106" i="2"/>
  <c r="H99" i="2"/>
  <c r="G99" i="2"/>
  <c r="F99" i="2"/>
  <c r="D99" i="2"/>
  <c r="C99" i="2"/>
  <c r="E99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J7" i="7" l="1"/>
  <c r="N7" i="7" s="1"/>
  <c r="J36" i="7"/>
  <c r="J38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C17" i="7"/>
  <c r="F75" i="2"/>
  <c r="D34" i="2"/>
  <c r="J38" i="5"/>
  <c r="K38" i="5"/>
  <c r="D49" i="2"/>
  <c r="E27" i="2"/>
  <c r="E26" i="2"/>
  <c r="E18" i="2" s="1"/>
  <c r="K40" i="5"/>
  <c r="K51" i="5" s="1"/>
  <c r="E161" i="2"/>
  <c r="E163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1" i="7"/>
  <c r="J60" i="7"/>
  <c r="J59" i="7"/>
  <c r="J58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P162" i="2"/>
  <c r="P150" i="2"/>
  <c r="P146" i="2"/>
  <c r="P144" i="2"/>
  <c r="P129" i="2"/>
  <c r="P120" i="2"/>
  <c r="P112" i="2"/>
  <c r="P106" i="2"/>
  <c r="P99" i="2"/>
  <c r="I10" i="7" s="1"/>
  <c r="O66" i="2"/>
  <c r="P49" i="2"/>
  <c r="P44" i="2"/>
  <c r="N86" i="2"/>
  <c r="G14" i="7" s="1"/>
  <c r="M86" i="2"/>
  <c r="F14" i="7" s="1"/>
  <c r="L86" i="2"/>
  <c r="E14" i="7" s="1"/>
  <c r="K86" i="2"/>
  <c r="D14" i="7" s="1"/>
  <c r="O86" i="2"/>
  <c r="H14" i="7" s="1"/>
  <c r="P84" i="2"/>
  <c r="P83" i="2"/>
  <c r="P82" i="2"/>
  <c r="P81" i="2"/>
  <c r="P80" i="2"/>
  <c r="N84" i="2"/>
  <c r="M84" i="2"/>
  <c r="L84" i="2"/>
  <c r="K84" i="2"/>
  <c r="N83" i="2"/>
  <c r="M83" i="2"/>
  <c r="L83" i="2"/>
  <c r="K83" i="2"/>
  <c r="N82" i="2"/>
  <c r="M82" i="2"/>
  <c r="L82" i="2"/>
  <c r="K82" i="2"/>
  <c r="N81" i="2"/>
  <c r="M81" i="2"/>
  <c r="L81" i="2"/>
  <c r="K81" i="2"/>
  <c r="N80" i="2"/>
  <c r="M80" i="2"/>
  <c r="L80" i="2"/>
  <c r="K80" i="2"/>
  <c r="O84" i="2"/>
  <c r="O83" i="2"/>
  <c r="O82" i="2"/>
  <c r="O81" i="2"/>
  <c r="O80" i="2"/>
  <c r="P77" i="2"/>
  <c r="P76" i="2"/>
  <c r="P75" i="2"/>
  <c r="P74" i="2"/>
  <c r="P73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N73" i="2"/>
  <c r="M73" i="2"/>
  <c r="L73" i="2"/>
  <c r="K73" i="2"/>
  <c r="O73" i="2"/>
  <c r="N49" i="2"/>
  <c r="M49" i="2"/>
  <c r="L49" i="2"/>
  <c r="K49" i="2"/>
  <c r="J49" i="2"/>
  <c r="O49" i="2"/>
  <c r="O44" i="2"/>
  <c r="O9" i="2" s="1"/>
  <c r="O10" i="2" s="1"/>
  <c r="N44" i="2"/>
  <c r="N9" i="2" s="1"/>
  <c r="N10" i="2" s="1"/>
  <c r="M44" i="2"/>
  <c r="M9" i="2" s="1"/>
  <c r="M10" i="2" s="1"/>
  <c r="L44" i="2"/>
  <c r="L9" i="2" s="1"/>
  <c r="L10" i="2" s="1"/>
  <c r="K44" i="2"/>
  <c r="K9" i="2" s="1"/>
  <c r="K10" i="2" s="1"/>
  <c r="J46" i="2"/>
  <c r="J79" i="2" s="1"/>
  <c r="P9" i="2" l="1"/>
  <c r="P10" i="2" s="1"/>
  <c r="E42" i="7"/>
  <c r="E21" i="7"/>
  <c r="E43" i="7"/>
  <c r="L26" i="2"/>
  <c r="L18" i="2" s="1"/>
  <c r="L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25" i="7"/>
  <c r="H29" i="7"/>
  <c r="H17" i="7"/>
  <c r="H16" i="7"/>
  <c r="O10" i="7"/>
  <c r="N10" i="7"/>
  <c r="E29" i="7"/>
  <c r="E24" i="7"/>
  <c r="E25" i="7"/>
  <c r="E16" i="7"/>
  <c r="E17" i="7"/>
  <c r="F29" i="7"/>
  <c r="F25" i="7"/>
  <c r="F16" i="7"/>
  <c r="F24" i="7"/>
  <c r="F17" i="7"/>
  <c r="G24" i="7"/>
  <c r="G29" i="7"/>
  <c r="G25" i="7"/>
  <c r="G16" i="7"/>
  <c r="G17" i="7"/>
  <c r="K25" i="5"/>
  <c r="K49" i="5" s="1"/>
  <c r="H43" i="7"/>
  <c r="H21" i="7"/>
  <c r="H42" i="7"/>
  <c r="H56" i="7"/>
  <c r="H61" i="7"/>
  <c r="L45" i="5"/>
  <c r="O68" i="2"/>
  <c r="D68" i="2" s="1"/>
  <c r="H28" i="7"/>
  <c r="H22" i="7"/>
  <c r="H51" i="7"/>
  <c r="H52" i="7" s="1"/>
  <c r="P158" i="2"/>
  <c r="D42" i="7"/>
  <c r="D21" i="7"/>
  <c r="D43" i="7"/>
  <c r="K27" i="2"/>
  <c r="K26" i="2"/>
  <c r="K18" i="2" s="1"/>
  <c r="D56" i="7"/>
  <c r="D61" i="7"/>
  <c r="D25" i="7"/>
  <c r="D24" i="7"/>
  <c r="D29" i="7"/>
  <c r="D16" i="7"/>
  <c r="D17" i="7"/>
  <c r="J25" i="5"/>
  <c r="K46" i="2"/>
  <c r="K79" i="2" s="1"/>
  <c r="G25" i="5"/>
  <c r="I25" i="5"/>
  <c r="P46" i="2"/>
  <c r="P79" i="2" s="1"/>
  <c r="L25" i="5"/>
  <c r="H25" i="5"/>
  <c r="P148" i="2"/>
  <c r="I21" i="7"/>
  <c r="I44" i="7"/>
  <c r="L46" i="2"/>
  <c r="L79" i="2" s="1"/>
  <c r="H7" i="1"/>
  <c r="O78" i="2"/>
  <c r="P78" i="2"/>
  <c r="O85" i="2"/>
  <c r="M46" i="2"/>
  <c r="M79" i="2" s="1"/>
  <c r="N46" i="2"/>
  <c r="N79" i="2" s="1"/>
  <c r="K85" i="2"/>
  <c r="L85" i="2"/>
  <c r="K78" i="2"/>
  <c r="M85" i="2"/>
  <c r="L78" i="2"/>
  <c r="N85" i="2"/>
  <c r="O46" i="2"/>
  <c r="O79" i="2" s="1"/>
  <c r="M78" i="2"/>
  <c r="N78" i="2"/>
  <c r="K26" i="5" l="1"/>
  <c r="K43" i="5"/>
  <c r="P161" i="2"/>
  <c r="P163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P56" i="2"/>
  <c r="P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P58" i="2" l="1"/>
  <c r="P60" i="2" s="1"/>
  <c r="P64" i="2" s="1"/>
  <c r="P66" i="2" s="1"/>
  <c r="P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N38" i="7"/>
  <c r="P68" i="2"/>
  <c r="I22" i="7"/>
  <c r="I51" i="7"/>
  <c r="I52" i="7" s="1"/>
  <c r="I28" i="7"/>
  <c r="P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23" i="7" l="1"/>
  <c r="N37" i="7"/>
  <c r="I25" i="7"/>
  <c r="I24" i="7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I32" i="7" l="1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Q44" i="2"/>
  <c r="Q46" i="2" s="1"/>
  <c r="Q56" i="2" s="1"/>
  <c r="Q58" i="2" s="1"/>
  <c r="Q60" i="2" s="1"/>
  <c r="Q86" i="2" l="1"/>
  <c r="Q64" i="2"/>
  <c r="Q66" i="2" s="1"/>
  <c r="Q78" i="2"/>
  <c r="Q9" i="2"/>
  <c r="Q10" i="2" s="1"/>
  <c r="Q21" i="2"/>
  <c r="Q18" i="2"/>
  <c r="Q85" i="2"/>
  <c r="R78" i="2"/>
  <c r="Q79" i="2"/>
  <c r="Q2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J44" authorId="0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<sst xmlns="http://schemas.openxmlformats.org/spreadsheetml/2006/main" count="682" uniqueCount="529">
  <si>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</si>
  <si>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</si>
  <si>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</si>
  <si>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</si>
  <si>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</si>
  <si>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</si>
  <si>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</si>
  <si>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</si>
  <si>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</si>
  <si>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</si>
  <si>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</si>
  <si>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</si>
  <si>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</si>
  <si>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</si>
  <si>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</si>
  <si>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</si>
  <si>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</si>
  <si>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</si>
  <si>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</si>
  <si>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</si>
  <si>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</si>
  <si>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</si>
  <si>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</si>
  <si>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</si>
  <si>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</si>
  <si>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</si>
  <si>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</si>
  <si>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</si>
  <si>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</si>
  <si>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</si>
  <si>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</si>
  <si>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</si>
  <si>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</si>
  <si>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</si>
  <si>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</si>
  <si>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</si>
  <si>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</si>
  <si>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</si>
  <si>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</si>
  <si>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</si>
  <si>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</si>
  <si>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</si>
  <si>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</si>
  <si>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</si>
  <si>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</si>
  <si>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</si>
  <si>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</si>
  <si>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</si>
  <si>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</si>
  <si>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</si>
  <si>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</si>
  <si>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</si>
  <si>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</si>
  <si>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</si>
  <si>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</si>
  <si>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</si>
  <si>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</si>
  <si>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</si>
  <si>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</si>
  <si>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</si>
  <si>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</si>
  <si>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</si>
  <si>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</si>
  <si>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</si>
  <si>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</si>
  <si>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</si>
  <si>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</si>
  <si>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</si>
  <si>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</si>
  <si>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</si>
  <si>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</si>
  <si>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</si>
  <si>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</si>
  <si>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</si>
  <si>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</si>
  <si>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</si>
  <si>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</si>
  <si>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</si>
  <si>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</si>
  <si>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</si>
  <si>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</si>
  <si>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</si>
  <si>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</si>
  <si>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</si>
  <si>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</si>
  <si>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</si>
  <si>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</si>
  <si>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</si>
  <si>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</si>
  <si>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</si>
  <si>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</si>
  <si>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</si>
  <si>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</si>
  <si>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</si>
  <si>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</si>
  <si>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</si>
  <si>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</si>
  <si>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</si>
  <si>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</si>
  <si>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</si>
  <si>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</si>
  <si>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</si>
  <si>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</si>
  <si>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</si>
  <si>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</si>
  <si>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</si>
  <si>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</si>
  <si>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</si>
  <si>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</si>
  <si>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</si>
  <si>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</si>
  <si>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</si>
  <si>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</si>
  <si>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</si>
  <si>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</si>
  <si>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</si>
  <si>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</si>
  <si>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</si>
  <si>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</si>
  <si>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</si>
  <si>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</si>
  <si>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</si>
  <si>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</si>
  <si>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</si>
  <si>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</si>
  <si>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</si>
  <si>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</si>
  <si>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</si>
  <si>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</si>
  <si>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</si>
  <si>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</si>
  <si>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</si>
  <si>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</si>
  <si>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</si>
  <si>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</si>
  <si>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</si>
  <si>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</si>
  <si>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</si>
  <si>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</si>
  <si>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</si>
  <si>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</si>
  <si>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</si>
  <si>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</si>
  <si>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</si>
  <si>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</si>
  <si>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</si>
  <si>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</si>
  <si>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</si>
  <si>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</si>
  <si>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</si>
  <si>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</si>
  <si>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</si>
  <si>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</si>
  <si>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</si>
  <si>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</si>
  <si>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</si>
  <si>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</si>
  <si>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</si>
  <si>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</si>
  <si>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</si>
  <si>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</si>
  <si>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</si>
  <si>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</si>
  <si>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</si>
  <si>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</si>
  <si>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</si>
  <si>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</si>
  <si>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</si>
  <si>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</si>
  <si>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</si>
  <si>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</si>
  <si>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</si>
  <si>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</si>
  <si>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</si>
  <si>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</si>
  <si>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</si>
  <si>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</si>
  <si>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</si>
  <si>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</si>
  <si>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</si>
  <si>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</si>
  <si>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</si>
  <si>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</si>
  <si>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</si>
  <si>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</si>
  <si>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</si>
  <si>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</si>
  <si>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</si>
  <si>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</si>
  <si>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</si>
  <si>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</si>
  <si>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</si>
  <si>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</si>
  <si>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</si>
  <si>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</si>
  <si>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</si>
  <si>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</si>
  <si>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</si>
  <si>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</si>
  <si>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</si>
  <si>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</si>
  <si>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</si>
  <si>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</si>
  <si>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</si>
  <si>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</si>
  <si>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</si>
  <si>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</si>
  <si>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</si>
  <si>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</si>
  <si>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</si>
  <si>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</si>
  <si>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</si>
  <si>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</si>
  <si>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</si>
  <si>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</si>
  <si>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</si>
  <si>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</si>
  <si>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</si>
  <si>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</si>
  <si>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</si>
  <si>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</si>
  <si>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</si>
  <si>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</si>
  <si>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</si>
  <si>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</si>
  <si>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</si>
  <si>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</si>
  <si>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</si>
  <si>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</si>
  <si>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</si>
  <si>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</si>
  <si>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</si>
  <si>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</si>
  <si>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</si>
  <si>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</si>
  <si>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</si>
  <si>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</si>
  <si>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</si>
  <si>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</si>
  <si>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</si>
  <si>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</si>
  <si>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</si>
  <si>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</si>
  <si>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</si>
  <si>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</si>
  <si>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</si>
  <si>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</si>
  <si>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</si>
  <si>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</si>
  <si>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</si>
  <si>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</si>
  <si>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</si>
  <si>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</si>
  <si>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</si>
  <si>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</si>
  <si>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</si>
  <si>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</si>
  <si>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</si>
  <si>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</si>
  <si>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</si>
  <si>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</si>
  <si>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</si>
  <si>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</si>
  <si>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</si>
  <si>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</si>
  <si>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</si>
  <si>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</si>
  <si>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</si>
  <si>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</si>
  <si>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</si>
  <si>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</si>
  <si>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</si>
  <si>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</si>
  <si>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</si>
  <si>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</si>
  <si>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</si>
  <si>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</si>
  <si>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</si>
  <si>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</si>
  <si>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</si>
  <si>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</si>
  <si>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</si>
  <si>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</si>
  <si>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</si>
  <si>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</si>
  <si>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</si>
  <si>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</si>
  <si>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</si>
  <si>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</si>
  <si>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</si>
  <si>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</si>
  <si>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</si>
  <si>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</si>
  <si>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</si>
  <si>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</si>
  <si>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</si>
  <si>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</si>
  <si>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</si>
  <si>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</si>
  <si>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</si>
  <si>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</si>
  <si>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</si>
  <si>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</si>
  <si>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</si>
  <si>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</si>
  <si>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</si>
  <si>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</si>
  <si>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</si>
  <si>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</si>
  <si>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</si>
  <si>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</si>
  <si>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</si>
  <si>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</si>
  <si>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</si>
  <si>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</si>
  <si>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</si>
  <si>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</si>
  <si>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</si>
  <si>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</si>
  <si>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</si>
  <si>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</si>
  <si>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</si>
  <si>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</si>
  <si>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</si>
  <si>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</si>
  <si>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</si>
  <si>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</si>
  <si>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</si>
  <si>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</si>
  <si>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</si>
  <si>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</si>
  <si>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</si>
  <si>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</si>
  <si>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</si>
  <si>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</si>
  <si>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</si>
  <si>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</si>
  <si>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</si>
  <si>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</si>
  <si>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</si>
  <si>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</si>
  <si>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</si>
  <si>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</si>
  <si>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</si>
  <si>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</si>
  <si>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</si>
  <si>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</si>
  <si>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</si>
  <si>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</si>
  <si>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</si>
  <si>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</si>
  <si>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</si>
  <si>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</si>
  <si>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</si>
  <si>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</si>
  <si>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</si>
  <si>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</si>
  <si>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</si>
  <si>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</si>
  <si>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</si>
  <si>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</si>
  <si>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</si>
  <si>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</si>
  <si>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</si>
  <si>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</si>
  <si>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</si>
  <si>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</si>
  <si>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</si>
  <si>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</si>
  <si>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</si>
  <si>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</si>
  <si>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</si>
  <si>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</si>
  <si>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</si>
  <si>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</si>
  <si>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</si>
  <si>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</si>
  <si>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</si>
  <si>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</si>
  <si>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</si>
  <si>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</si>
  <si>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</si>
  <si>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</si>
  <si>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</si>
  <si>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</si>
  <si>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</si>
  <si>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</si>
  <si>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</si>
  <si>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</si>
  <si>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</si>
  <si>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</si>
  <si>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</si>
  <si>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</si>
  <si>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</si>
  <si>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</si>
  <si>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</si>
  <si>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</si>
  <si>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</si>
  <si>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</si>
  <si>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</si>
  <si>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</si>
  <si>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</si>
  <si>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</si>
  <si>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</si>
  <si>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</si>
  <si>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</si>
  <si>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</si>
  <si>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</si>
  <si>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</si>
  <si>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</si>
  <si>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</si>
  <si>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</si>
  <si>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</si>
  <si>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</si>
  <si>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</si>
  <si>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</si>
  <si>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</si>
  <si>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</si>
  <si>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</si>
  <si>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</si>
  <si>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</si>
  <si>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</si>
  <si>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</si>
  <si>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</si>
  <si>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</si>
  <si>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</si>
  <si>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</si>
  <si>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</si>
  <si>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</si>
  <si>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</si>
  <si>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</si>
  <si>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</si>
  <si>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</si>
  <si>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</si>
  <si>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</si>
  <si>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</si>
  <si>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</si>
  <si>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</si>
  <si>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</si>
  <si>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</si>
  <si>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</si>
  <si>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</si>
  <si>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</si>
  <si>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</si>
  <si>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</si>
  <si>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</si>
  <si>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</si>
  <si>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</si>
  <si>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</si>
  <si>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</si>
  <si>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</si>
  <si>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</si>
  <si>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</si>
  <si>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</si>
  <si>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</si>
  <si>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</si>
  <si>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</si>
  <si>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</si>
  <si>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</si>
  <si>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</si>
  <si>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</si>
  <si>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</si>
  <si>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</si>
  <si>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</si>
  <si>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</si>
  <si>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</si>
  <si>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</si>
  <si>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</si>
  <si>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</si>
  <si>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</si>
  <si>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</si>
  <si>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</si>
  <si>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</si>
  <si>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</si>
  <si>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</si>
  <si>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</si>
  <si>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</si>
  <si>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</si>
  <si>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</si>
  <si>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</si>
  <si>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</si>
  <si>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</si>
  <si>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</si>
  <si>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</si>
  <si>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</si>
  <si>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</si>
  <si>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</si>
  <si>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</si>
  <si>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</si>
  <si>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</si>
  <si>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</si>
  <si>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</si>
  <si>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</si>
  <si>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</si>
  <si>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</si>
  <si>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</si>
  <si>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</si>
  <si>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</si>
  <si>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</si>
  <si>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</si>
  <si>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</si>
  <si>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</si>
  <si>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</si>
  <si>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</si>
  <si>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</si>
  <si>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</si>
  <si>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</si>
  <si>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</si>
  <si>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</si>
  <si>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</si>
  <si>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</si>
  <si>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</si>
  <si>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</si>
  <si>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</si>
  <si>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</si>
  <si>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</si>
  <si>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</si>
  <si>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</si>
  <si>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</si>
  <si>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</si>
  <si>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</si>
  <si>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</si>
  <si>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</si>
  <si>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</si>
  <si>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</si>
  <si>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</si>
  <si>
    <t>16-06-25: Kering appoints new CEO Luca de Meo -&gt; biggest rise in stock since 2008, Francouis-Henri Pinault remains chairman of the board</t>
  </si>
  <si>
    <t>CEO: Luca de Meo</t>
  </si>
  <si>
    <t>was former CEO of Renault -&gt; a lot of experience in the automotive industry (Fiat, Volkswagen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</si>
</sst>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223837</xdr:colOff>
      <xdr:row>5</xdr:row>
      <xdr:rowOff>166688</xdr:rowOff>
    </xdr:from>
    <xdr:to>
      <xdr:col>17</xdr:col>
      <xdr:colOff>503313</xdr:colOff>
      <xdr:row>15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162" y="11191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7937</xdr:colOff>
      <xdr:row>0</xdr:row>
      <xdr:rowOff>0</xdr:rowOff>
    </xdr:from>
    <xdr:to>
      <xdr:col>17</xdr:col>
      <xdr:colOff>14287</xdr:colOff>
      <xdr:row>164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164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6"/>
  <sheetViews>
    <sheetView tabSelected="1" topLeftCell="B1" zoomScale="200" zoomScaleNormal="200" workbookViewId="0">
      <selection activeCell="G15" sqref="G15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174</v>
      </c>
    </row>
    <row r="3" spans="1:14" x14ac:dyDescent="0.25">
      <c r="G3" t="s">
        <v>4</v>
      </c>
      <c r="H3" s="13">
        <v>122.617597</v>
      </c>
      <c r="I3" s="16" t="s">
        <v>518</v>
      </c>
      <c r="M3" s="2"/>
    </row>
    <row r="4" spans="1:14" x14ac:dyDescent="0.25">
      <c r="B4" t="s">
        <v>112</v>
      </c>
      <c r="G4" t="s">
        <v>5</v>
      </c>
      <c r="H4" s="23">
        <f>H3*H2</f>
        <v>21335.461878000002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518</v>
      </c>
      <c r="N5" s="23"/>
    </row>
    <row r="6" spans="1:14" x14ac:dyDescent="0.25">
      <c r="G6" t="s">
        <v>7</v>
      </c>
      <c r="H6" s="23">
        <f>3479+10556</f>
        <v>14035</v>
      </c>
      <c r="I6" s="16" t="s">
        <v>518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31852.461878000002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497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511</v>
      </c>
    </row>
    <row r="14" spans="1:14" x14ac:dyDescent="0.25">
      <c r="B14" s="3" t="s">
        <v>18</v>
      </c>
      <c r="D14" t="s">
        <v>26</v>
      </c>
      <c r="E14" s="4"/>
      <c r="G14" t="s">
        <v>527</v>
      </c>
    </row>
    <row r="15" spans="1:14" x14ac:dyDescent="0.25">
      <c r="B15" s="3" t="s">
        <v>19</v>
      </c>
      <c r="D15" t="s">
        <v>26</v>
      </c>
      <c r="E15" s="4"/>
      <c r="G15" t="s">
        <v>392</v>
      </c>
    </row>
    <row r="16" spans="1:14" x14ac:dyDescent="0.25">
      <c r="B16" s="3" t="s">
        <v>20</v>
      </c>
      <c r="D16" t="s">
        <v>27</v>
      </c>
      <c r="E16" s="4"/>
      <c r="G16" t="s">
        <v>496</v>
      </c>
    </row>
    <row r="17" spans="2:12" x14ac:dyDescent="0.25">
      <c r="B17" s="3" t="s">
        <v>21</v>
      </c>
      <c r="D17" t="s">
        <v>28</v>
      </c>
      <c r="E17" s="4"/>
      <c r="G17" t="s">
        <v>495</v>
      </c>
      <c r="L17" s="2" t="s">
        <v>517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469</v>
      </c>
      <c r="H19">
        <v>1.07</v>
      </c>
    </row>
    <row r="31" spans="2:12" x14ac:dyDescent="0.25">
      <c r="J31" s="2" t="s">
        <v>499</v>
      </c>
    </row>
    <row r="32" spans="2:12" x14ac:dyDescent="0.25">
      <c r="J32" t="s">
        <v>500</v>
      </c>
    </row>
    <row r="33" spans="2:11" x14ac:dyDescent="0.25">
      <c r="J33" t="s">
        <v>503</v>
      </c>
    </row>
    <row r="34" spans="2:11" x14ac:dyDescent="0.25">
      <c r="J34" t="s">
        <v>504</v>
      </c>
    </row>
    <row r="35" spans="2:11" x14ac:dyDescent="0.25">
      <c r="J35" t="s">
        <v>501</v>
      </c>
    </row>
    <row r="36" spans="2:11" x14ac:dyDescent="0.25">
      <c r="B36" t="s">
        <v>115</v>
      </c>
      <c r="C36" s="22">
        <v>0.78</v>
      </c>
      <c r="J36" t="s">
        <v>502</v>
      </c>
    </row>
    <row r="37" spans="2:11" x14ac:dyDescent="0.25">
      <c r="B37" t="s">
        <v>116</v>
      </c>
      <c r="C37" s="22">
        <v>0.22</v>
      </c>
      <c r="J37" t="s">
        <v>505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498</v>
      </c>
    </row>
    <row r="43" spans="2:11" x14ac:dyDescent="0.25">
      <c r="B43" t="s">
        <v>388</v>
      </c>
    </row>
    <row r="44" spans="2:11" x14ac:dyDescent="0.25">
      <c r="B44" t="s">
        <v>507</v>
      </c>
    </row>
    <row r="45" spans="2:11" x14ac:dyDescent="0.25">
      <c r="B45" t="s">
        <v>481</v>
      </c>
    </row>
    <row r="46" spans="2:11" x14ac:dyDescent="0.25">
      <c r="B46" t="s">
        <v>482</v>
      </c>
    </row>
    <row r="47" spans="2:11" x14ac:dyDescent="0.25">
      <c r="B47" t="s">
        <v>512</v>
      </c>
    </row>
    <row r="48" spans="2:11" x14ac:dyDescent="0.25">
      <c r="B48" t="s">
        <v>490</v>
      </c>
    </row>
    <row r="49" spans="2:2" x14ac:dyDescent="0.25">
      <c r="B49" t="s">
        <v>491</v>
      </c>
    </row>
    <row r="50" spans="2:2" x14ac:dyDescent="0.25">
      <c r="B50" t="s">
        <v>492</v>
      </c>
    </row>
    <row r="51" spans="2:2" x14ac:dyDescent="0.25">
      <c r="B51" t="s">
        <v>506</v>
      </c>
    </row>
    <row r="52" spans="2:2" x14ac:dyDescent="0.25">
      <c r="B52" t="s">
        <v>513</v>
      </c>
    </row>
    <row r="53" spans="2:2" x14ac:dyDescent="0.25">
      <c r="B53" t="s">
        <v>516</v>
      </c>
    </row>
    <row r="54" spans="2:2" x14ac:dyDescent="0.25">
      <c r="B54" t="s">
        <v>524</v>
      </c>
    </row>
    <row r="55" spans="2:2" x14ac:dyDescent="0.25">
      <c r="B55" t="s">
        <v>525</v>
      </c>
    </row>
    <row r="56" spans="2:2" x14ac:dyDescent="0.25">
      <c r="B56" t="s">
        <v>526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5"/>
  <sheetViews>
    <sheetView showGridLines="0" zoomScale="200" zoomScaleNormal="200" workbookViewId="0">
      <selection activeCell="A4" sqref="A4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2" spans="1:10" x14ac:dyDescent="0.25">
      <c r="A2" s="11"/>
      <c r="B2" s="1" t="s">
        <v>0</v>
      </c>
    </row>
    <row r="3" spans="1:10" x14ac:dyDescent="0.25">
      <c r="A3" s="11"/>
      <c r="B3" t="s">
        <v>527</v>
      </c>
      <c r="D3" t="s">
        <v>528</v>
      </c>
    </row>
    <row r="4" spans="1:10" x14ac:dyDescent="0.25">
      <c r="A4" s="11"/>
    </row>
    <row r="5" spans="1:10" x14ac:dyDescent="0.25">
      <c r="A5" s="11"/>
    </row>
    <row r="7" spans="1:10" x14ac:dyDescent="0.25">
      <c r="B7" s="1" t="s">
        <v>318</v>
      </c>
    </row>
    <row r="8" spans="1:10" x14ac:dyDescent="0.25">
      <c r="B8" t="s">
        <v>398</v>
      </c>
      <c r="I8" s="2" t="s">
        <v>372</v>
      </c>
      <c r="J8" t="s">
        <v>408</v>
      </c>
    </row>
    <row r="9" spans="1:10" x14ac:dyDescent="0.25">
      <c r="B9" t="s">
        <v>437</v>
      </c>
      <c r="J9" t="s">
        <v>409</v>
      </c>
    </row>
    <row r="10" spans="1:10" x14ac:dyDescent="0.25">
      <c r="B10" t="s">
        <v>514</v>
      </c>
      <c r="J10" t="s">
        <v>410</v>
      </c>
    </row>
    <row r="11" spans="1:10" x14ac:dyDescent="0.25">
      <c r="B11" t="s">
        <v>368</v>
      </c>
      <c r="J11" t="s">
        <v>411</v>
      </c>
    </row>
    <row r="12" spans="1:10" x14ac:dyDescent="0.25">
      <c r="B12" t="s">
        <v>369</v>
      </c>
      <c r="J12" t="s">
        <v>412</v>
      </c>
    </row>
    <row r="14" spans="1:10" x14ac:dyDescent="0.25">
      <c r="B14" s="2" t="s">
        <v>403</v>
      </c>
    </row>
    <row r="15" spans="1:10" x14ac:dyDescent="0.25">
      <c r="B15" t="s">
        <v>515</v>
      </c>
    </row>
    <row r="16" spans="1:10" x14ac:dyDescent="0.25">
      <c r="B16" s="84"/>
    </row>
    <row r="17" spans="2:10" x14ac:dyDescent="0.25">
      <c r="B17" t="s">
        <v>400</v>
      </c>
    </row>
    <row r="18" spans="2:10" x14ac:dyDescent="0.25">
      <c r="B18" t="s">
        <v>401</v>
      </c>
    </row>
    <row r="20" spans="2:10" x14ac:dyDescent="0.25">
      <c r="B20" t="s">
        <v>399</v>
      </c>
    </row>
    <row r="21" spans="2:10" x14ac:dyDescent="0.25">
      <c r="B21" t="s">
        <v>402</v>
      </c>
    </row>
    <row r="22" spans="2:10" x14ac:dyDescent="0.25">
      <c r="B22" t="s">
        <v>404</v>
      </c>
    </row>
    <row r="24" spans="2:10" x14ac:dyDescent="0.25">
      <c r="B24" t="s">
        <v>405</v>
      </c>
      <c r="D24" t="s">
        <v>406</v>
      </c>
    </row>
    <row r="25" spans="2:10" x14ac:dyDescent="0.25">
      <c r="B25" t="s">
        <v>407</v>
      </c>
    </row>
    <row r="27" spans="2:10" x14ac:dyDescent="0.25">
      <c r="B27" s="1" t="s">
        <v>326</v>
      </c>
    </row>
    <row r="28" spans="2:10" x14ac:dyDescent="0.25">
      <c r="B28" t="s">
        <v>508</v>
      </c>
      <c r="I28" s="2" t="s">
        <v>372</v>
      </c>
      <c r="J28" t="s">
        <v>413</v>
      </c>
    </row>
    <row r="29" spans="2:10" x14ac:dyDescent="0.25">
      <c r="B29" t="s">
        <v>396</v>
      </c>
      <c r="J29" t="s">
        <v>414</v>
      </c>
    </row>
    <row r="30" spans="2:10" x14ac:dyDescent="0.25">
      <c r="B30" t="s">
        <v>373</v>
      </c>
      <c r="J30" t="s">
        <v>415</v>
      </c>
    </row>
    <row r="31" spans="2:10" x14ac:dyDescent="0.25">
      <c r="B31" t="s">
        <v>374</v>
      </c>
      <c r="J31" t="s">
        <v>416</v>
      </c>
    </row>
    <row r="34" spans="2:10" x14ac:dyDescent="0.25">
      <c r="B34" s="1" t="s">
        <v>378</v>
      </c>
      <c r="I34" s="2" t="s">
        <v>372</v>
      </c>
      <c r="J34" t="s">
        <v>417</v>
      </c>
    </row>
    <row r="35" spans="2:10" x14ac:dyDescent="0.25">
      <c r="B35" t="s">
        <v>397</v>
      </c>
      <c r="J35" t="s">
        <v>418</v>
      </c>
    </row>
    <row r="36" spans="2:10" x14ac:dyDescent="0.25">
      <c r="B36" t="s">
        <v>510</v>
      </c>
      <c r="J36" t="s">
        <v>419</v>
      </c>
    </row>
    <row r="37" spans="2:10" x14ac:dyDescent="0.25">
      <c r="B37" t="s">
        <v>379</v>
      </c>
      <c r="J37" t="s">
        <v>420</v>
      </c>
    </row>
    <row r="38" spans="2:10" x14ac:dyDescent="0.25">
      <c r="B38" t="s">
        <v>380</v>
      </c>
    </row>
    <row r="41" spans="2:10" x14ac:dyDescent="0.25">
      <c r="B41" s="1" t="s">
        <v>381</v>
      </c>
      <c r="I41" s="2" t="s">
        <v>372</v>
      </c>
      <c r="J41" t="s">
        <v>421</v>
      </c>
    </row>
    <row r="42" spans="2:10" x14ac:dyDescent="0.25">
      <c r="B42" t="s">
        <v>382</v>
      </c>
      <c r="J42" t="s">
        <v>422</v>
      </c>
    </row>
    <row r="43" spans="2:10" x14ac:dyDescent="0.25">
      <c r="B43" t="s">
        <v>383</v>
      </c>
      <c r="J43" t="s">
        <v>423</v>
      </c>
    </row>
    <row r="44" spans="2:10" x14ac:dyDescent="0.25">
      <c r="J44" t="s">
        <v>424</v>
      </c>
    </row>
    <row r="45" spans="2:10" x14ac:dyDescent="0.25">
      <c r="B45" s="2" t="s">
        <v>429</v>
      </c>
      <c r="E45" s="2"/>
      <c r="J45" t="s">
        <v>425</v>
      </c>
    </row>
    <row r="46" spans="2:10" x14ac:dyDescent="0.25">
      <c r="B46" t="s">
        <v>509</v>
      </c>
      <c r="I46" s="2" t="s">
        <v>372</v>
      </c>
    </row>
    <row r="47" spans="2:10" x14ac:dyDescent="0.25">
      <c r="B47" t="s">
        <v>522</v>
      </c>
      <c r="D47" s="11" t="s">
        <v>523</v>
      </c>
      <c r="I47" t="s">
        <v>435</v>
      </c>
    </row>
    <row r="49" spans="2:7" x14ac:dyDescent="0.25">
      <c r="B49" s="2" t="s">
        <v>430</v>
      </c>
      <c r="E49" s="2"/>
      <c r="G49" s="2" t="s">
        <v>372</v>
      </c>
    </row>
    <row r="50" spans="2:7" x14ac:dyDescent="0.25">
      <c r="B50" t="s">
        <v>439</v>
      </c>
      <c r="G50" t="s">
        <v>435</v>
      </c>
    </row>
    <row r="51" spans="2:7" x14ac:dyDescent="0.25">
      <c r="B51" t="s">
        <v>438</v>
      </c>
    </row>
    <row r="53" spans="2:7" x14ac:dyDescent="0.25">
      <c r="B53" s="2" t="s">
        <v>19</v>
      </c>
      <c r="E53" s="2"/>
      <c r="G53" s="2" t="s">
        <v>372</v>
      </c>
    </row>
    <row r="54" spans="2:7" x14ac:dyDescent="0.25">
      <c r="B54" t="s">
        <v>440</v>
      </c>
      <c r="G54" t="s">
        <v>436</v>
      </c>
    </row>
    <row r="55" spans="2:7" x14ac:dyDescent="0.25">
      <c r="B55" t="s">
        <v>441</v>
      </c>
    </row>
    <row r="57" spans="2:7" x14ac:dyDescent="0.25">
      <c r="B57" s="2" t="s">
        <v>431</v>
      </c>
      <c r="E57" s="2"/>
      <c r="G57" s="2" t="s">
        <v>372</v>
      </c>
    </row>
    <row r="58" spans="2:7" x14ac:dyDescent="0.25">
      <c r="B58" t="s">
        <v>442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21</v>
      </c>
      <c r="E61" s="2"/>
      <c r="G61" s="2" t="s">
        <v>372</v>
      </c>
    </row>
    <row r="62" spans="2:7" x14ac:dyDescent="0.25">
      <c r="B62" t="s">
        <v>443</v>
      </c>
      <c r="G62" t="s">
        <v>28</v>
      </c>
    </row>
    <row r="63" spans="2:7" x14ac:dyDescent="0.25">
      <c r="B63" t="s">
        <v>446</v>
      </c>
    </row>
    <row r="65" spans="2:10" x14ac:dyDescent="0.25">
      <c r="B65" s="2" t="s">
        <v>432</v>
      </c>
      <c r="E65" s="2"/>
      <c r="G65" s="2" t="s">
        <v>372</v>
      </c>
    </row>
    <row r="66" spans="2:10" x14ac:dyDescent="0.25">
      <c r="B66" t="s">
        <v>443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433</v>
      </c>
      <c r="E69" s="2"/>
      <c r="G69" s="2" t="s">
        <v>372</v>
      </c>
    </row>
    <row r="70" spans="2:10" x14ac:dyDescent="0.25">
      <c r="B70" t="s">
        <v>444</v>
      </c>
      <c r="G70" t="s">
        <v>28</v>
      </c>
    </row>
    <row r="71" spans="2:10" x14ac:dyDescent="0.25">
      <c r="B71" t="s">
        <v>445</v>
      </c>
    </row>
    <row r="73" spans="2:10" x14ac:dyDescent="0.25">
      <c r="B73" s="2" t="s">
        <v>448</v>
      </c>
      <c r="E73" s="2"/>
      <c r="G73" s="2" t="s">
        <v>372</v>
      </c>
    </row>
    <row r="74" spans="2:10" x14ac:dyDescent="0.25">
      <c r="B74" t="s">
        <v>449</v>
      </c>
      <c r="G74" t="s">
        <v>450</v>
      </c>
    </row>
    <row r="76" spans="2:10" x14ac:dyDescent="0.25">
      <c r="B76" s="2" t="s">
        <v>434</v>
      </c>
      <c r="E76" s="2"/>
      <c r="G76" s="2" t="s">
        <v>372</v>
      </c>
    </row>
    <row r="77" spans="2:10" x14ac:dyDescent="0.25">
      <c r="B77" t="s">
        <v>451</v>
      </c>
      <c r="G77" t="s">
        <v>452</v>
      </c>
    </row>
    <row r="79" spans="2:10" x14ac:dyDescent="0.25">
      <c r="B79" s="1" t="s">
        <v>387</v>
      </c>
      <c r="J79" t="s">
        <v>426</v>
      </c>
    </row>
    <row r="80" spans="2:10" x14ac:dyDescent="0.25">
      <c r="B80" t="s">
        <v>428</v>
      </c>
      <c r="J80" t="s">
        <v>427</v>
      </c>
    </row>
    <row r="81" spans="2:2" x14ac:dyDescent="0.25">
      <c r="B81" t="s">
        <v>382</v>
      </c>
    </row>
    <row r="82" spans="2:2" x14ac:dyDescent="0.25">
      <c r="B82" t="s">
        <v>383</v>
      </c>
    </row>
    <row r="85" spans="2:2" x14ac:dyDescent="0.25">
      <c r="B85" t="s">
        <v>489</v>
      </c>
    </row>
  </sheetData>
  <hyperlinks>
    <hyperlink ref="A1" location="Main!A1" display="Main" xr:uid="{2E095623-426A-4877-A454-314422E3B28F}"/>
    <hyperlink ref="D47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43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453</v>
      </c>
    </row>
    <row r="51" spans="2:2" x14ac:dyDescent="0.25">
      <c r="B51" t="s">
        <v>466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H183"/>
  <sheetViews>
    <sheetView zoomScale="200" zoomScaleNormal="20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J44" sqref="J44:Q44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24" x14ac:dyDescent="0.25">
      <c r="A1" s="11" t="s">
        <v>29</v>
      </c>
    </row>
    <row r="2" spans="1:24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35</v>
      </c>
      <c r="K2" s="16" t="s">
        <v>36</v>
      </c>
      <c r="L2" s="16" t="s">
        <v>37</v>
      </c>
      <c r="M2" s="16" t="s">
        <v>38</v>
      </c>
      <c r="N2" s="16" t="s">
        <v>39</v>
      </c>
      <c r="O2" s="16" t="s">
        <v>40</v>
      </c>
      <c r="P2" s="16" t="s">
        <v>41</v>
      </c>
      <c r="Q2" s="16" t="s">
        <v>42</v>
      </c>
      <c r="R2" s="16" t="s">
        <v>454</v>
      </c>
      <c r="S2" s="16" t="s">
        <v>455</v>
      </c>
      <c r="T2" s="16" t="s">
        <v>456</v>
      </c>
      <c r="U2" s="16" t="s">
        <v>457</v>
      </c>
      <c r="V2" s="16" t="s">
        <v>458</v>
      </c>
      <c r="W2" s="16" t="s">
        <v>459</v>
      </c>
    </row>
    <row r="3" spans="1:24" x14ac:dyDescent="0.25">
      <c r="B3" t="s">
        <v>460</v>
      </c>
      <c r="C3" s="23"/>
      <c r="D3" s="23"/>
      <c r="E3" s="23"/>
      <c r="F3" s="23"/>
      <c r="G3" s="23"/>
      <c r="H3" s="23"/>
      <c r="I3" s="23"/>
      <c r="J3" s="23"/>
      <c r="K3" s="23">
        <v>26740</v>
      </c>
      <c r="L3" s="23">
        <v>27550</v>
      </c>
      <c r="M3" s="23">
        <v>21940</v>
      </c>
      <c r="N3" s="23">
        <v>24870</v>
      </c>
      <c r="O3" s="23">
        <v>26470</v>
      </c>
      <c r="P3" s="23">
        <v>29180</v>
      </c>
      <c r="Q3" s="23">
        <v>29830</v>
      </c>
      <c r="R3" s="23">
        <v>30520</v>
      </c>
      <c r="S3" s="23">
        <v>31190</v>
      </c>
      <c r="T3" s="23">
        <v>31870</v>
      </c>
      <c r="U3" s="23">
        <v>32530</v>
      </c>
      <c r="V3" s="23">
        <v>33190</v>
      </c>
      <c r="W3" s="23"/>
      <c r="X3" s="23"/>
    </row>
    <row r="4" spans="1:24" x14ac:dyDescent="0.25">
      <c r="B4" t="s">
        <v>461</v>
      </c>
      <c r="C4" s="23"/>
      <c r="D4" s="23"/>
      <c r="E4" s="23"/>
      <c r="F4" s="23"/>
      <c r="G4" s="23"/>
      <c r="H4" s="23"/>
      <c r="I4" s="23"/>
      <c r="J4" s="23"/>
      <c r="K4" s="23">
        <v>117900</v>
      </c>
      <c r="L4" s="23">
        <v>124700</v>
      </c>
      <c r="M4" s="23">
        <v>110900</v>
      </c>
      <c r="N4" s="23">
        <v>120000</v>
      </c>
      <c r="O4" s="23">
        <v>125500</v>
      </c>
      <c r="P4" s="23">
        <v>142100</v>
      </c>
      <c r="Q4" s="23">
        <v>145400</v>
      </c>
      <c r="R4" s="23">
        <v>150400</v>
      </c>
      <c r="S4" s="23">
        <v>155300</v>
      </c>
      <c r="T4" s="23">
        <v>160200</v>
      </c>
      <c r="U4" s="23">
        <v>165000</v>
      </c>
      <c r="V4" s="23">
        <v>169800</v>
      </c>
      <c r="W4" s="23"/>
      <c r="X4" s="23"/>
    </row>
    <row r="5" spans="1:24" x14ac:dyDescent="0.25">
      <c r="B5" t="s">
        <v>462</v>
      </c>
      <c r="C5" s="23"/>
      <c r="D5" s="23"/>
      <c r="E5" s="23"/>
      <c r="F5" s="23"/>
      <c r="G5" s="23"/>
      <c r="H5" s="23"/>
      <c r="I5" s="23"/>
      <c r="J5" s="23"/>
      <c r="K5" s="23">
        <v>50860</v>
      </c>
      <c r="L5" s="23">
        <v>55900</v>
      </c>
      <c r="M5" s="23">
        <v>46490</v>
      </c>
      <c r="N5" s="23">
        <v>55990</v>
      </c>
      <c r="O5" s="23">
        <v>59620</v>
      </c>
      <c r="P5" s="23">
        <v>69130</v>
      </c>
      <c r="Q5" s="23">
        <v>72350</v>
      </c>
      <c r="R5" s="23">
        <v>76130</v>
      </c>
      <c r="S5" s="23">
        <v>79840</v>
      </c>
      <c r="T5" s="23">
        <v>83520</v>
      </c>
      <c r="U5" s="23">
        <v>87170</v>
      </c>
      <c r="V5" s="23">
        <v>90780</v>
      </c>
      <c r="W5" s="23"/>
      <c r="X5" s="23"/>
    </row>
    <row r="6" spans="1:24" x14ac:dyDescent="0.25">
      <c r="B6" t="s">
        <v>463</v>
      </c>
      <c r="C6" s="23"/>
      <c r="D6" s="23"/>
      <c r="E6" s="23"/>
      <c r="F6" s="23"/>
      <c r="G6" s="23"/>
      <c r="H6" s="23"/>
      <c r="I6" s="23"/>
      <c r="J6" s="23"/>
      <c r="K6" s="23">
        <v>122000</v>
      </c>
      <c r="L6" s="23">
        <v>129300</v>
      </c>
      <c r="M6" s="23">
        <v>106800</v>
      </c>
      <c r="N6" s="23">
        <v>122300</v>
      </c>
      <c r="O6" s="23">
        <v>129900</v>
      </c>
      <c r="P6" s="23">
        <v>150600</v>
      </c>
      <c r="Q6" s="23">
        <v>157600</v>
      </c>
      <c r="R6" s="23">
        <v>166400</v>
      </c>
      <c r="S6" s="23">
        <v>175200</v>
      </c>
      <c r="T6" s="23">
        <v>183900</v>
      </c>
      <c r="U6" s="23">
        <v>192400</v>
      </c>
      <c r="V6" s="23">
        <v>200900</v>
      </c>
      <c r="W6" s="23"/>
      <c r="X6" s="23"/>
    </row>
    <row r="7" spans="1:24" x14ac:dyDescent="0.25">
      <c r="B7" t="s">
        <v>464</v>
      </c>
      <c r="C7" s="23"/>
      <c r="D7" s="23"/>
      <c r="E7" s="23"/>
      <c r="F7" s="23"/>
      <c r="G7" s="23"/>
      <c r="H7" s="23"/>
      <c r="I7" s="23"/>
      <c r="J7" s="23"/>
      <c r="K7" s="23">
        <v>58240</v>
      </c>
      <c r="L7" s="23">
        <v>62100</v>
      </c>
      <c r="M7" s="23">
        <v>52010</v>
      </c>
      <c r="N7" s="23">
        <v>59010</v>
      </c>
      <c r="O7" s="23">
        <v>64430</v>
      </c>
      <c r="P7" s="23">
        <v>63300</v>
      </c>
      <c r="Q7" s="23">
        <v>68750</v>
      </c>
      <c r="R7" s="23">
        <v>71700</v>
      </c>
      <c r="S7" s="23">
        <v>74590</v>
      </c>
      <c r="T7" s="23">
        <v>77450</v>
      </c>
      <c r="U7" s="23">
        <v>80280</v>
      </c>
      <c r="V7" s="23">
        <v>83080</v>
      </c>
      <c r="W7" s="23"/>
      <c r="X7" s="23"/>
    </row>
    <row r="8" spans="1:24" x14ac:dyDescent="0.25">
      <c r="B8" t="s">
        <v>465</v>
      </c>
      <c r="C8" s="23"/>
      <c r="D8" s="23"/>
      <c r="E8" s="23"/>
      <c r="F8" s="23"/>
      <c r="G8" s="23"/>
      <c r="H8" s="23"/>
      <c r="I8" s="23"/>
      <c r="J8" s="23"/>
      <c r="K8" s="23">
        <f>+SUM(K3:K7)</f>
        <v>375740</v>
      </c>
      <c r="L8" s="23">
        <f t="shared" ref="L8" si="0">+SUM(L3:L7)</f>
        <v>399550</v>
      </c>
      <c r="M8" s="23">
        <f t="shared" ref="M8:P8" si="1">+SUM(M3:M7)</f>
        <v>338140</v>
      </c>
      <c r="N8" s="23">
        <f t="shared" si="1"/>
        <v>382170</v>
      </c>
      <c r="O8" s="23">
        <f t="shared" si="1"/>
        <v>405920</v>
      </c>
      <c r="P8" s="23">
        <f t="shared" si="1"/>
        <v>454310</v>
      </c>
      <c r="Q8" s="23">
        <f t="shared" ref="Q8" si="2">+SUM(Q3:Q7)</f>
        <v>473930</v>
      </c>
      <c r="R8" s="23">
        <f t="shared" ref="R8" si="3">+SUM(R3:R7)</f>
        <v>495150</v>
      </c>
      <c r="S8" s="23">
        <f t="shared" ref="S8" si="4">+SUM(S3:S7)</f>
        <v>516120</v>
      </c>
      <c r="T8" s="23">
        <f t="shared" ref="T8" si="5">+SUM(T3:T7)</f>
        <v>536940</v>
      </c>
      <c r="U8" s="23">
        <f t="shared" ref="U8" si="6">+SUM(U3:U7)</f>
        <v>557380</v>
      </c>
      <c r="V8" s="23">
        <f t="shared" ref="V8" si="7">+SUM(V3:V7)</f>
        <v>577750</v>
      </c>
      <c r="W8" s="23"/>
      <c r="X8" s="23"/>
    </row>
    <row r="9" spans="1:24" x14ac:dyDescent="0.25">
      <c r="B9" t="s">
        <v>467</v>
      </c>
      <c r="C9" s="23"/>
      <c r="D9" s="23"/>
      <c r="E9" s="23"/>
      <c r="F9" s="23"/>
      <c r="G9" s="23"/>
      <c r="H9" s="23"/>
      <c r="I9" s="23"/>
      <c r="J9" s="23"/>
      <c r="K9" s="23">
        <f>+K44*Main!$H$19</f>
        <v>14621.764000000001</v>
      </c>
      <c r="L9" s="23">
        <f>+L44*Main!$H$19</f>
        <v>16995.345000000001</v>
      </c>
      <c r="M9" s="23">
        <f>+M44*Main!$H$19</f>
        <v>14017.214</v>
      </c>
      <c r="N9" s="23">
        <f>+N44*Main!$H$19</f>
        <v>18880.150000000001</v>
      </c>
      <c r="O9" s="23">
        <f>+O44*Main!$H$19</f>
        <v>21775.57</v>
      </c>
      <c r="P9" s="23">
        <f>+P44*Main!$H$19</f>
        <v>20935.620000000003</v>
      </c>
      <c r="Q9" s="23">
        <f>+Q44*Main!$H$19</f>
        <v>18397.580000000002</v>
      </c>
      <c r="R9" s="23">
        <f>+R8*R10</f>
        <v>22281.75</v>
      </c>
      <c r="S9" s="23">
        <f t="shared" ref="S9:V9" si="8">+S8*S10</f>
        <v>24257.64</v>
      </c>
      <c r="T9" s="23">
        <f t="shared" si="8"/>
        <v>26847</v>
      </c>
      <c r="U9" s="23">
        <f t="shared" si="8"/>
        <v>28983.759999999998</v>
      </c>
      <c r="V9" s="23">
        <f t="shared" si="8"/>
        <v>31776.25</v>
      </c>
      <c r="W9" s="23"/>
      <c r="X9" s="23"/>
    </row>
    <row r="10" spans="1:24" x14ac:dyDescent="0.25">
      <c r="B10" t="s">
        <v>468</v>
      </c>
      <c r="C10" s="23"/>
      <c r="D10" s="23"/>
      <c r="E10" s="23"/>
      <c r="F10" s="23"/>
      <c r="G10" s="23"/>
      <c r="H10" s="23"/>
      <c r="I10" s="23"/>
      <c r="J10" s="23"/>
      <c r="K10" s="111">
        <f>+K9/K8</f>
        <v>3.8914579230318838E-2</v>
      </c>
      <c r="L10" s="111">
        <f t="shared" ref="L10:Q10" si="9">+L9/L8</f>
        <v>4.2536215742710555E-2</v>
      </c>
      <c r="M10" s="111">
        <f t="shared" si="9"/>
        <v>4.1453877092328624E-2</v>
      </c>
      <c r="N10" s="111">
        <f t="shared" si="9"/>
        <v>4.9402491038019733E-2</v>
      </c>
      <c r="O10" s="111">
        <f t="shared" si="9"/>
        <v>5.3644979306267243E-2</v>
      </c>
      <c r="P10" s="111">
        <f t="shared" si="9"/>
        <v>4.6082234597521525E-2</v>
      </c>
      <c r="Q10" s="111">
        <f t="shared" si="9"/>
        <v>3.8819192707783855E-2</v>
      </c>
      <c r="R10" s="111">
        <v>4.4999999999999998E-2</v>
      </c>
      <c r="S10" s="111">
        <v>4.7E-2</v>
      </c>
      <c r="T10" s="111">
        <v>0.05</v>
      </c>
      <c r="U10" s="111">
        <v>5.1999999999999998E-2</v>
      </c>
      <c r="V10" s="111">
        <v>5.5E-2</v>
      </c>
      <c r="W10" s="23"/>
      <c r="X10" s="23"/>
    </row>
    <row r="11" spans="1:2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13"/>
      <c r="L11" s="113"/>
      <c r="M11" s="113"/>
      <c r="N11" s="113"/>
      <c r="O11" s="113"/>
      <c r="P11" s="113"/>
      <c r="Q11" s="16"/>
    </row>
    <row r="12" spans="1:24" x14ac:dyDescent="0.25">
      <c r="B12" t="s">
        <v>354</v>
      </c>
      <c r="C12" s="16">
        <v>349</v>
      </c>
      <c r="D12" s="16">
        <f>P12</f>
        <v>367</v>
      </c>
      <c r="E12" s="16">
        <v>378</v>
      </c>
      <c r="F12" s="16"/>
      <c r="G12" s="16"/>
      <c r="H12" s="16"/>
      <c r="I12" s="16"/>
      <c r="J12" s="16">
        <v>367</v>
      </c>
      <c r="K12" s="16">
        <v>305</v>
      </c>
      <c r="L12" s="16">
        <v>324</v>
      </c>
      <c r="M12" s="16">
        <v>313</v>
      </c>
      <c r="N12" s="16">
        <v>330</v>
      </c>
      <c r="O12" s="16">
        <v>347</v>
      </c>
      <c r="P12" s="16">
        <v>367</v>
      </c>
      <c r="Q12" s="16">
        <v>379</v>
      </c>
      <c r="R12" s="16">
        <v>408</v>
      </c>
      <c r="S12" s="16">
        <v>428</v>
      </c>
      <c r="T12" s="16">
        <v>448</v>
      </c>
      <c r="U12" s="16">
        <v>468</v>
      </c>
      <c r="V12" s="16">
        <v>488</v>
      </c>
    </row>
    <row r="13" spans="1:24" x14ac:dyDescent="0.25">
      <c r="B13" t="s">
        <v>390</v>
      </c>
      <c r="C13" s="16">
        <v>293</v>
      </c>
      <c r="D13" s="16">
        <f t="shared" ref="D13:D16" si="10">P13</f>
        <v>316</v>
      </c>
      <c r="E13" s="16">
        <v>326</v>
      </c>
      <c r="F13" s="16"/>
      <c r="G13" s="16"/>
      <c r="H13" s="16"/>
      <c r="I13" s="16"/>
      <c r="J13" s="16">
        <v>219</v>
      </c>
      <c r="K13" s="16">
        <v>212</v>
      </c>
      <c r="L13" s="16">
        <v>228</v>
      </c>
      <c r="M13" s="16">
        <v>229</v>
      </c>
      <c r="N13" s="16">
        <v>251</v>
      </c>
      <c r="O13" s="16">
        <v>278</v>
      </c>
      <c r="P13" s="16">
        <v>316</v>
      </c>
      <c r="Q13" s="16">
        <v>329</v>
      </c>
      <c r="R13" s="16">
        <v>345</v>
      </c>
      <c r="S13" s="16">
        <v>363</v>
      </c>
      <c r="T13" s="16">
        <v>376</v>
      </c>
      <c r="U13" s="16">
        <v>393</v>
      </c>
      <c r="V13" s="16">
        <v>408</v>
      </c>
    </row>
    <row r="14" spans="1:24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>
        <v>260</v>
      </c>
      <c r="K14" s="23">
        <v>213</v>
      </c>
      <c r="L14" s="23">
        <v>220</v>
      </c>
      <c r="M14" s="23">
        <v>228</v>
      </c>
      <c r="N14" s="23">
        <v>233</v>
      </c>
      <c r="O14" s="23">
        <v>239</v>
      </c>
      <c r="P14" s="23">
        <v>238</v>
      </c>
      <c r="Q14" s="23">
        <v>241</v>
      </c>
      <c r="R14" s="23">
        <v>224</v>
      </c>
      <c r="S14" s="23">
        <v>218</v>
      </c>
      <c r="T14" s="23">
        <v>214</v>
      </c>
      <c r="U14" s="23">
        <v>213</v>
      </c>
      <c r="V14" s="23">
        <v>212</v>
      </c>
    </row>
    <row r="15" spans="1:24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>
        <v>0</v>
      </c>
      <c r="K15" s="23">
        <v>0</v>
      </c>
      <c r="L15" s="23">
        <v>0</v>
      </c>
      <c r="M15" s="23">
        <v>0</v>
      </c>
      <c r="N15" s="23">
        <v>625</v>
      </c>
      <c r="O15" s="23">
        <v>662</v>
      </c>
      <c r="P15" s="23">
        <v>698</v>
      </c>
      <c r="Q15" s="23">
        <v>708</v>
      </c>
      <c r="R15" s="23">
        <v>731</v>
      </c>
      <c r="S15" s="23">
        <v>751</v>
      </c>
      <c r="T15" s="23">
        <v>779</v>
      </c>
      <c r="U15" s="23">
        <v>799</v>
      </c>
      <c r="V15" s="23">
        <v>819</v>
      </c>
    </row>
    <row r="16" spans="1:24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>
        <v>542</v>
      </c>
      <c r="K16" s="23">
        <v>548</v>
      </c>
      <c r="L16" s="23">
        <v>609</v>
      </c>
      <c r="M16" s="23">
        <v>663</v>
      </c>
      <c r="N16" s="23">
        <v>120</v>
      </c>
      <c r="O16" s="23">
        <v>137</v>
      </c>
      <c r="P16" s="23">
        <v>152</v>
      </c>
      <c r="Q16" s="23">
        <v>156</v>
      </c>
      <c r="R16" s="23">
        <v>179</v>
      </c>
      <c r="S16" s="23">
        <v>194</v>
      </c>
      <c r="T16" s="23">
        <v>209</v>
      </c>
      <c r="U16" s="23">
        <v>221</v>
      </c>
      <c r="V16" s="23">
        <v>236</v>
      </c>
    </row>
    <row r="17" spans="2:60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>
        <f t="shared" ref="J17:O17" si="11">+SUM(J12:J16)</f>
        <v>1388</v>
      </c>
      <c r="K17" s="23">
        <f t="shared" si="11"/>
        <v>1278</v>
      </c>
      <c r="L17" s="23">
        <f t="shared" si="11"/>
        <v>1381</v>
      </c>
      <c r="M17" s="23">
        <f t="shared" si="11"/>
        <v>1433</v>
      </c>
      <c r="N17" s="23">
        <f t="shared" si="11"/>
        <v>1559</v>
      </c>
      <c r="O17" s="23">
        <f t="shared" si="11"/>
        <v>1663</v>
      </c>
      <c r="P17" s="23">
        <f>+SUM(P12:P16)</f>
        <v>1771</v>
      </c>
      <c r="Q17" s="23">
        <f t="shared" ref="Q17:V17" si="12">+SUM(Q12:Q16)</f>
        <v>1813</v>
      </c>
      <c r="R17" s="23">
        <f t="shared" si="12"/>
        <v>1887</v>
      </c>
      <c r="S17" s="23">
        <f t="shared" si="12"/>
        <v>1954</v>
      </c>
      <c r="T17" s="23">
        <f t="shared" si="12"/>
        <v>2026</v>
      </c>
      <c r="U17" s="23">
        <f t="shared" si="12"/>
        <v>2094</v>
      </c>
      <c r="V17" s="23">
        <f t="shared" si="12"/>
        <v>2163</v>
      </c>
    </row>
    <row r="18" spans="2:60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4">
        <f t="shared" ref="J18:V18" si="13">J26/J17</f>
        <v>8.3633105187319892</v>
      </c>
      <c r="K18" s="24">
        <f t="shared" si="13"/>
        <v>8.2333364632237878</v>
      </c>
      <c r="L18" s="24">
        <f t="shared" si="13"/>
        <v>8.9711296162201304</v>
      </c>
      <c r="M18" s="24">
        <f t="shared" si="13"/>
        <v>6.9272854152128396</v>
      </c>
      <c r="N18" s="24">
        <f t="shared" si="13"/>
        <v>8.8402180885182808</v>
      </c>
      <c r="O18" s="24">
        <f t="shared" si="13"/>
        <v>9.6253758268190026</v>
      </c>
      <c r="P18" s="24">
        <f t="shared" si="13"/>
        <v>8.7216261998870692</v>
      </c>
      <c r="Q18" s="24">
        <f>Q26/Q17</f>
        <v>7.2076337562051851</v>
      </c>
      <c r="R18" s="24">
        <f t="shared" si="13"/>
        <v>8.7180772030964455</v>
      </c>
      <c r="S18" s="24">
        <f t="shared" si="13"/>
        <v>9.281757047609025</v>
      </c>
      <c r="T18" s="24">
        <f t="shared" si="13"/>
        <v>9.9074646418983132</v>
      </c>
      <c r="U18" s="24">
        <f t="shared" si="13"/>
        <v>10.348663292540323</v>
      </c>
      <c r="V18" s="24">
        <f t="shared" si="13"/>
        <v>10.983792845692856</v>
      </c>
    </row>
    <row r="19" spans="2:6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spans="2:60" x14ac:dyDescent="0.25">
      <c r="B20" t="s">
        <v>360</v>
      </c>
      <c r="C20" s="23">
        <v>3710</v>
      </c>
      <c r="D20" s="23">
        <f>P20-C20</f>
        <v>3138</v>
      </c>
      <c r="E20" s="23">
        <v>2897</v>
      </c>
      <c r="F20" s="23"/>
      <c r="G20" s="23"/>
      <c r="H20" s="23"/>
      <c r="I20" s="23"/>
      <c r="J20" s="23">
        <v>4184.8</v>
      </c>
      <c r="K20" s="23">
        <v>4420.3</v>
      </c>
      <c r="L20" s="23">
        <v>5421.6</v>
      </c>
      <c r="M20" s="23">
        <v>4975.7</v>
      </c>
      <c r="N20" s="23">
        <v>6695.4</v>
      </c>
      <c r="O20" s="23">
        <v>6568</v>
      </c>
      <c r="P20" s="23">
        <v>6848</v>
      </c>
      <c r="Q20" s="23">
        <f>30%*Q44</f>
        <v>5158.2</v>
      </c>
      <c r="R20" s="23">
        <f>36%*R44</f>
        <v>7496.6635514018681</v>
      </c>
      <c r="S20" s="23">
        <f>38%*S44</f>
        <v>8614.8628037383169</v>
      </c>
      <c r="T20" s="23">
        <f>38%*T44</f>
        <v>9534.4485981308408</v>
      </c>
      <c r="U20" s="23">
        <f>39%*U44</f>
        <v>10564.174205607475</v>
      </c>
      <c r="V20" s="23">
        <f t="shared" ref="V20" si="14">40%*V44</f>
        <v>11878.971962616823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2:60" x14ac:dyDescent="0.25">
      <c r="B21" t="s">
        <v>361</v>
      </c>
      <c r="C21" s="23">
        <v>2739</v>
      </c>
      <c r="D21" s="23">
        <f t="shared" ref="D21:D27" si="15">P21-C21</f>
        <v>2666</v>
      </c>
      <c r="E21" s="23">
        <v>2555</v>
      </c>
      <c r="F21" s="23"/>
      <c r="G21" s="23"/>
      <c r="H21" s="23"/>
      <c r="I21" s="23"/>
      <c r="J21" s="23">
        <v>5077.1000000000004</v>
      </c>
      <c r="K21" s="23">
        <v>4471.5</v>
      </c>
      <c r="L21" s="23">
        <v>5120.2</v>
      </c>
      <c r="M21" s="23">
        <v>3657.1</v>
      </c>
      <c r="N21" s="23">
        <v>4945</v>
      </c>
      <c r="O21" s="23">
        <v>5566</v>
      </c>
      <c r="P21" s="23">
        <v>5405</v>
      </c>
      <c r="Q21" s="23">
        <f>29%*Q44</f>
        <v>4986.2599999999993</v>
      </c>
      <c r="R21" s="23">
        <f>27%*R44</f>
        <v>5622.4976635514022</v>
      </c>
      <c r="S21" s="23">
        <f>26%*S44</f>
        <v>5894.3798130841114</v>
      </c>
      <c r="T21" s="23">
        <f>26%*T44</f>
        <v>6523.5700934579436</v>
      </c>
      <c r="U21" s="23">
        <f t="shared" ref="U21" si="16">26%*U44</f>
        <v>7042.7828037383169</v>
      </c>
      <c r="V21" s="23">
        <f>26%*V44</f>
        <v>7721.3317757009336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2:60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>
        <v>3306</v>
      </c>
      <c r="K22" s="23">
        <v>2704.7</v>
      </c>
      <c r="L22" s="23">
        <v>3039.7</v>
      </c>
      <c r="M22" s="23">
        <v>2742.4</v>
      </c>
      <c r="N22" s="23">
        <v>4685.3</v>
      </c>
      <c r="O22" s="23">
        <v>5547</v>
      </c>
      <c r="P22" s="23">
        <v>4500</v>
      </c>
      <c r="Q22" s="23">
        <f>24%*Q44</f>
        <v>4126.5599999999995</v>
      </c>
      <c r="R22" s="23">
        <f>23%*R44</f>
        <v>4789.5350467289718</v>
      </c>
      <c r="S22" s="23">
        <f t="shared" ref="S22:U22" si="17">23%*S44</f>
        <v>5214.2590654205605</v>
      </c>
      <c r="T22" s="23">
        <f t="shared" si="17"/>
        <v>5770.8504672897197</v>
      </c>
      <c r="U22" s="23">
        <f t="shared" si="17"/>
        <v>6230.1540186915881</v>
      </c>
      <c r="V22" s="23">
        <f>22%*V44</f>
        <v>6533.434579439252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spans="2:60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>
        <v>1291.2</v>
      </c>
      <c r="K23" s="23">
        <v>1157.5</v>
      </c>
      <c r="L23" s="23">
        <v>1309.8</v>
      </c>
      <c r="M23" s="23">
        <v>931.1</v>
      </c>
      <c r="N23" s="23">
        <v>1059.4000000000001</v>
      </c>
      <c r="O23" s="23">
        <v>1244</v>
      </c>
      <c r="P23" s="23">
        <v>1400</v>
      </c>
      <c r="Q23" s="23">
        <f>8%*Q44</f>
        <v>1375.52</v>
      </c>
      <c r="R23" s="23">
        <f>6%*R44</f>
        <v>1249.4439252336447</v>
      </c>
      <c r="S23" s="23">
        <f>5%*S44</f>
        <v>1133.5345794392522</v>
      </c>
      <c r="T23" s="23">
        <f>5%*T44</f>
        <v>1254.532710280374</v>
      </c>
      <c r="U23" s="23">
        <f>5%*U44</f>
        <v>1354.3813084112148</v>
      </c>
      <c r="V23" s="23">
        <f>5%*V44</f>
        <v>1484.8714953271028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spans="2:60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>
        <f>1032.9+594.7</f>
        <v>1627.6000000000001</v>
      </c>
      <c r="K24" s="23">
        <f>725.1+186.1</f>
        <v>911.2</v>
      </c>
      <c r="L24" s="23">
        <f>770.2+222.1</f>
        <v>992.30000000000007</v>
      </c>
      <c r="M24" s="23">
        <v>793.9</v>
      </c>
      <c r="N24" s="23">
        <v>1160.0999999999999</v>
      </c>
      <c r="O24" s="23">
        <v>1425</v>
      </c>
      <c r="P24" s="23">
        <v>1413</v>
      </c>
      <c r="Q24" s="23">
        <f>9%*Q44</f>
        <v>1547.46</v>
      </c>
      <c r="R24" s="23">
        <f t="shared" ref="R24:V24" si="18">8%*R44</f>
        <v>1665.9252336448596</v>
      </c>
      <c r="S24" s="23">
        <f t="shared" si="18"/>
        <v>1813.6553271028035</v>
      </c>
      <c r="T24" s="23">
        <f t="shared" si="18"/>
        <v>2007.252336448598</v>
      </c>
      <c r="U24" s="23">
        <f t="shared" si="18"/>
        <v>2167.0100934579436</v>
      </c>
      <c r="V24" s="23">
        <f t="shared" si="18"/>
        <v>2375.7943925233644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spans="2:60" x14ac:dyDescent="0.25">
      <c r="C25" s="23"/>
      <c r="D25" s="23"/>
      <c r="E25" s="23"/>
      <c r="F25" s="23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2:60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>
        <f>0.75*J44</f>
        <v>11608.275000000001</v>
      </c>
      <c r="K26" s="23">
        <f>0.77*K44</f>
        <v>10522.204000000002</v>
      </c>
      <c r="L26" s="23">
        <f>0.78*L44</f>
        <v>12389.130000000001</v>
      </c>
      <c r="M26" s="23">
        <v>9926.7999999999993</v>
      </c>
      <c r="N26" s="23">
        <v>13781.9</v>
      </c>
      <c r="O26" s="23">
        <v>16007</v>
      </c>
      <c r="P26" s="23">
        <v>15446</v>
      </c>
      <c r="Q26" s="23">
        <f>76%*Q44</f>
        <v>13067.44</v>
      </c>
      <c r="R26" s="23">
        <f t="shared" ref="R26" si="19">79%*R44</f>
        <v>16451.011682242992</v>
      </c>
      <c r="S26" s="23">
        <f>80%*S44</f>
        <v>18136.553271028035</v>
      </c>
      <c r="T26" s="23">
        <f t="shared" ref="T26:V26" si="20">80%*T44</f>
        <v>20072.523364485984</v>
      </c>
      <c r="U26" s="23">
        <f t="shared" si="20"/>
        <v>21670.100934579437</v>
      </c>
      <c r="V26" s="23">
        <f t="shared" si="20"/>
        <v>23757.943925233645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2:60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>
        <f>0.75*J45</f>
        <v>4008.5249999999996</v>
      </c>
      <c r="K27" s="23">
        <f>0.23*K44</f>
        <v>3142.9960000000001</v>
      </c>
      <c r="L27" s="23">
        <f>0.22*L44</f>
        <v>3494.37</v>
      </c>
      <c r="M27" s="23">
        <v>3173.4</v>
      </c>
      <c r="N27" s="23">
        <v>3863.3</v>
      </c>
      <c r="O27" s="23">
        <v>4344</v>
      </c>
      <c r="P27" s="23">
        <v>4120</v>
      </c>
      <c r="Q27" s="23">
        <f>+Q44-Q26</f>
        <v>4126.5599999999995</v>
      </c>
      <c r="R27" s="23">
        <f t="shared" ref="R27:V27" si="21">+R44-R26</f>
        <v>4373.0537383177543</v>
      </c>
      <c r="S27" s="23">
        <f t="shared" si="21"/>
        <v>4534.1383177570096</v>
      </c>
      <c r="T27" s="23">
        <f t="shared" si="21"/>
        <v>5018.1308411214923</v>
      </c>
      <c r="U27" s="23">
        <f t="shared" si="21"/>
        <v>5417.5252336448575</v>
      </c>
      <c r="V27" s="23">
        <f t="shared" si="21"/>
        <v>5939.4859813084076</v>
      </c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2:6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spans="2:60" x14ac:dyDescent="0.25">
      <c r="B29" t="s">
        <v>367</v>
      </c>
      <c r="C29" s="23">
        <v>536</v>
      </c>
      <c r="D29" s="23">
        <f>P29</f>
        <v>538</v>
      </c>
      <c r="E29" s="23">
        <v>536</v>
      </c>
      <c r="F29" s="23"/>
      <c r="G29" s="23"/>
      <c r="H29" s="23"/>
      <c r="I29" s="23"/>
      <c r="J29" s="23">
        <v>529</v>
      </c>
      <c r="K29" s="23">
        <v>469</v>
      </c>
      <c r="L29" s="23">
        <v>487</v>
      </c>
      <c r="M29" s="23">
        <v>483</v>
      </c>
      <c r="N29" s="23">
        <v>501</v>
      </c>
      <c r="O29" s="23">
        <v>528</v>
      </c>
      <c r="P29" s="23">
        <v>538</v>
      </c>
      <c r="Q29" s="23">
        <v>529</v>
      </c>
      <c r="R29" s="23">
        <v>540</v>
      </c>
      <c r="S29" s="23">
        <v>550</v>
      </c>
      <c r="T29" s="23">
        <v>560</v>
      </c>
      <c r="U29" s="23">
        <v>570</v>
      </c>
      <c r="V29" s="23">
        <v>580</v>
      </c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spans="2:60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4">
        <f>0.85*J38/J29</f>
        <v>9.9798676748582213</v>
      </c>
      <c r="K30" s="24">
        <f>0.85*K38/K29</f>
        <v>15.01545842217484</v>
      </c>
      <c r="L30" s="24">
        <f>0.85*L38/L29</f>
        <v>16.805215605749485</v>
      </c>
      <c r="M30" s="24">
        <f>0.87*M38/M29</f>
        <v>13.40232298136646</v>
      </c>
      <c r="N30" s="24">
        <f>0.91*N38/N29</f>
        <v>17.675069860279443</v>
      </c>
      <c r="O30" s="24">
        <f>0.91*O38/O29</f>
        <v>18.074185606060606</v>
      </c>
      <c r="P30" s="24">
        <f>0.91*P38/P29</f>
        <v>16.699684014869888</v>
      </c>
      <c r="Q30" s="24">
        <f t="shared" ref="Q30:V30" si="22">0.91*Q38/Q29</f>
        <v>13.159735349716446</v>
      </c>
      <c r="R30" s="24">
        <f t="shared" si="22"/>
        <v>16.844355140186916</v>
      </c>
      <c r="S30" s="24">
        <f t="shared" si="22"/>
        <v>17.254457271028038</v>
      </c>
      <c r="T30" s="24">
        <f t="shared" si="22"/>
        <v>17.939817757009347</v>
      </c>
      <c r="U30" s="24">
        <f t="shared" si="22"/>
        <v>18.162966178061975</v>
      </c>
      <c r="V30" s="24">
        <f t="shared" si="22"/>
        <v>19.103639824363515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2:60" x14ac:dyDescent="0.25">
      <c r="B31" t="s">
        <v>371</v>
      </c>
      <c r="C31" s="23">
        <v>288</v>
      </c>
      <c r="D31" s="23">
        <f>P31</f>
        <v>308</v>
      </c>
      <c r="E31" s="23">
        <v>320</v>
      </c>
      <c r="F31" s="23"/>
      <c r="G31" s="23"/>
      <c r="H31" s="23"/>
      <c r="I31" s="23"/>
      <c r="J31" s="23">
        <v>184</v>
      </c>
      <c r="K31" s="23">
        <v>194</v>
      </c>
      <c r="L31" s="23">
        <v>222</v>
      </c>
      <c r="M31" s="23">
        <v>239</v>
      </c>
      <c r="N31" s="23">
        <v>268</v>
      </c>
      <c r="O31" s="23">
        <v>280</v>
      </c>
      <c r="P31" s="23">
        <v>308</v>
      </c>
      <c r="Q31" s="23">
        <v>318</v>
      </c>
      <c r="R31" s="23">
        <v>335</v>
      </c>
      <c r="S31" s="23">
        <v>350</v>
      </c>
      <c r="T31" s="23">
        <v>367</v>
      </c>
      <c r="U31" s="23">
        <v>386</v>
      </c>
      <c r="V31" s="23">
        <v>405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spans="2:60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4">
        <f>0.69*J39/J31</f>
        <v>5.6324999999999994</v>
      </c>
      <c r="K32" s="24">
        <f>0.68*K39/K31</f>
        <v>6.1129896907216494</v>
      </c>
      <c r="L32" s="24">
        <f>0.69*L39/L31</f>
        <v>6.3688243243243239</v>
      </c>
      <c r="M32" s="24">
        <f>0.69*M39/M31</f>
        <v>5.0361338912133888</v>
      </c>
      <c r="N32" s="24">
        <f>0.74*N39/N31</f>
        <v>6.9609701492537308</v>
      </c>
      <c r="O32" s="24">
        <f>0.77*O39/O31</f>
        <v>9.0749999999999993</v>
      </c>
      <c r="P32" s="24">
        <f>0.81*P39/P31</f>
        <v>8.3603571428571435</v>
      </c>
      <c r="Q32" s="24">
        <f>0.82*Q39/Q31</f>
        <v>7.4289937106918238</v>
      </c>
      <c r="R32" s="24">
        <f t="shared" ref="R32:V32" si="23">0.81*R39/R31</f>
        <v>8.5596233086901936</v>
      </c>
      <c r="S32" s="24">
        <f t="shared" si="23"/>
        <v>8.9192978050734322</v>
      </c>
      <c r="T32" s="24">
        <f t="shared" si="23"/>
        <v>9.4141228449922334</v>
      </c>
      <c r="U32" s="24">
        <f t="shared" si="23"/>
        <v>9.6631246719287205</v>
      </c>
      <c r="V32" s="24">
        <f t="shared" si="23"/>
        <v>10.69107476635514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spans="2:60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>
        <v>270</v>
      </c>
      <c r="K33" s="23">
        <v>255</v>
      </c>
      <c r="L33" s="23">
        <v>268</v>
      </c>
      <c r="M33" s="23">
        <v>261</v>
      </c>
      <c r="N33" s="23">
        <v>263</v>
      </c>
      <c r="O33" s="23">
        <v>271</v>
      </c>
      <c r="P33" s="23">
        <v>288</v>
      </c>
      <c r="Q33" s="23">
        <v>307</v>
      </c>
      <c r="R33" s="23">
        <v>318</v>
      </c>
      <c r="S33" s="23">
        <v>330</v>
      </c>
      <c r="T33" s="23">
        <v>342</v>
      </c>
      <c r="U33" s="23">
        <v>354</v>
      </c>
      <c r="V33" s="23">
        <v>364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2:60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4">
        <f>0.83*J40/J33</f>
        <v>3.6151111111111107</v>
      </c>
      <c r="K34" s="24">
        <f>0.82*K40/K33</f>
        <v>3.5661960784313727</v>
      </c>
      <c r="L34" s="24">
        <f>0.81*L40/L33</f>
        <v>3.5289402985074627</v>
      </c>
      <c r="M34" s="24">
        <f>0.73*M40/M33</f>
        <v>3.3851302681992332</v>
      </c>
      <c r="N34" s="24">
        <f>0.75*N40/N33</f>
        <v>4.2861216730038025</v>
      </c>
      <c r="O34" s="24">
        <f>0.78*O40/O33</f>
        <v>5.0081180811808119</v>
      </c>
      <c r="P34" s="24">
        <f>0.82*P40/P33</f>
        <v>4.6836805555555552</v>
      </c>
      <c r="Q34" s="24">
        <f>0.85*Q40/Q33</f>
        <v>4.7428338762214981</v>
      </c>
      <c r="R34" s="24">
        <f t="shared" ref="R34:V34" si="24">0.82*R40/R33</f>
        <v>4.2957820490213354</v>
      </c>
      <c r="S34" s="24">
        <f t="shared" si="24"/>
        <v>3.9433263551401869</v>
      </c>
      <c r="T34" s="24">
        <f t="shared" si="24"/>
        <v>4.2111214953271032</v>
      </c>
      <c r="U34" s="24">
        <f t="shared" si="24"/>
        <v>3.7647209250752405</v>
      </c>
      <c r="V34" s="24">
        <f t="shared" si="24"/>
        <v>4.0140482181370025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2:60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>
        <v>405</v>
      </c>
      <c r="K35" s="23">
        <v>360</v>
      </c>
      <c r="L35" s="23">
        <v>404</v>
      </c>
      <c r="M35" s="23">
        <v>450</v>
      </c>
      <c r="N35" s="23">
        <v>533</v>
      </c>
      <c r="O35" s="23">
        <v>584</v>
      </c>
      <c r="P35" s="23">
        <v>618</v>
      </c>
      <c r="Q35" s="23">
        <v>640</v>
      </c>
      <c r="R35" s="23">
        <v>655</v>
      </c>
      <c r="S35" s="23">
        <v>680</v>
      </c>
      <c r="T35" s="23">
        <v>705</v>
      </c>
      <c r="U35" s="23">
        <v>730</v>
      </c>
      <c r="V35" s="23">
        <v>755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2:60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4">
        <f>0.45*J41/J35</f>
        <v>1.8044444444444445</v>
      </c>
      <c r="K36" s="24">
        <f>0.51*K41/K35</f>
        <v>2.9877499999999997</v>
      </c>
      <c r="L36" s="24">
        <f>0.56*L41/L35</f>
        <v>3.517326732673268</v>
      </c>
      <c r="M36" s="24">
        <f>0.58*M41/M35</f>
        <v>2.9403422222222222</v>
      </c>
      <c r="N36" s="24">
        <f>0.59*N41/N35</f>
        <v>3.6363039399624761</v>
      </c>
      <c r="O36" s="24">
        <f>0.66*O41/O35</f>
        <v>4.3781506849315068</v>
      </c>
      <c r="P36" s="24">
        <f>0.72*P41/P35</f>
        <v>4.0939805825242717</v>
      </c>
      <c r="Q36" s="24">
        <f>0.75*Q41/Q35</f>
        <v>3.7746093749999998</v>
      </c>
      <c r="R36" s="24">
        <f t="shared" ref="R36:V36" si="25">0.72*R41/R35</f>
        <v>4.5781151458942713</v>
      </c>
      <c r="S36" s="24">
        <f t="shared" si="25"/>
        <v>4.8008523364485978</v>
      </c>
      <c r="T36" s="24">
        <f t="shared" si="25"/>
        <v>5.1248995824219534</v>
      </c>
      <c r="U36" s="24">
        <f t="shared" si="25"/>
        <v>5.3433125592113679</v>
      </c>
      <c r="V36" s="24">
        <f t="shared" si="25"/>
        <v>5.6641455715788824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spans="2:60" x14ac:dyDescent="0.25">
      <c r="C37" s="23"/>
      <c r="D37" s="23"/>
      <c r="E37" s="23"/>
      <c r="F37" s="23"/>
      <c r="G37" s="23"/>
      <c r="H37" s="23"/>
      <c r="I37" s="23"/>
      <c r="J37" s="23"/>
      <c r="K37" s="111"/>
      <c r="L37" s="111"/>
      <c r="M37" s="111"/>
      <c r="N37" s="111"/>
      <c r="O37" s="111"/>
      <c r="P37" s="11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spans="2:60" x14ac:dyDescent="0.25">
      <c r="B38" s="12" t="s">
        <v>11</v>
      </c>
      <c r="C38" s="23">
        <v>5128</v>
      </c>
      <c r="D38" s="23">
        <f>P38-C38</f>
        <v>4745</v>
      </c>
      <c r="E38" s="23">
        <v>4085</v>
      </c>
      <c r="F38" s="23"/>
      <c r="G38" s="23"/>
      <c r="H38" s="23"/>
      <c r="I38" s="23"/>
      <c r="J38" s="23">
        <v>6211</v>
      </c>
      <c r="K38" s="23">
        <v>8285</v>
      </c>
      <c r="L38" s="23">
        <v>9628.4</v>
      </c>
      <c r="M38" s="23">
        <v>7440.6</v>
      </c>
      <c r="N38" s="23">
        <v>9731</v>
      </c>
      <c r="O38" s="23">
        <v>10487</v>
      </c>
      <c r="P38" s="23">
        <v>9873</v>
      </c>
      <c r="Q38" s="23">
        <v>7650</v>
      </c>
      <c r="R38" s="23">
        <f>+R44*48%</f>
        <v>9995.5514018691574</v>
      </c>
      <c r="S38" s="13">
        <f>+S44*46%</f>
        <v>10428.518130841121</v>
      </c>
      <c r="T38" s="13">
        <f>+T44*44%</f>
        <v>11039.88785046729</v>
      </c>
      <c r="U38" s="13">
        <f>+U44*42%</f>
        <v>11376.802990654203</v>
      </c>
      <c r="V38" s="13">
        <f>+V44*41%</f>
        <v>12175.94626168224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spans="2:60" x14ac:dyDescent="0.25">
      <c r="B39" s="12" t="s">
        <v>12</v>
      </c>
      <c r="C39" s="23">
        <v>1576</v>
      </c>
      <c r="D39" s="23">
        <f t="shared" ref="D39:D65" si="26">P39-C39</f>
        <v>1603</v>
      </c>
      <c r="E39" s="23">
        <v>1441</v>
      </c>
      <c r="F39" s="23"/>
      <c r="G39" s="23"/>
      <c r="H39" s="23"/>
      <c r="I39" s="23"/>
      <c r="J39" s="23">
        <v>1502</v>
      </c>
      <c r="K39" s="23">
        <v>1744</v>
      </c>
      <c r="L39" s="23">
        <v>2049.1</v>
      </c>
      <c r="M39" s="23">
        <v>1744.4</v>
      </c>
      <c r="N39" s="23">
        <v>2521</v>
      </c>
      <c r="O39" s="23">
        <v>3300</v>
      </c>
      <c r="P39" s="23">
        <v>3179</v>
      </c>
      <c r="Q39" s="23">
        <v>2881</v>
      </c>
      <c r="R39" s="23">
        <f>+R44*17%</f>
        <v>3540.0911214953271</v>
      </c>
      <c r="S39" s="23">
        <f t="shared" ref="S39:U39" si="27">+S44*17%</f>
        <v>3854.0175700934578</v>
      </c>
      <c r="T39" s="23">
        <f t="shared" si="27"/>
        <v>4265.4112149532712</v>
      </c>
      <c r="U39" s="23">
        <f t="shared" si="27"/>
        <v>4604.8964485981305</v>
      </c>
      <c r="V39" s="23">
        <f>+V44*18%</f>
        <v>5345.5373831775696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2:60" x14ac:dyDescent="0.25">
      <c r="B40" s="12" t="s">
        <v>31</v>
      </c>
      <c r="C40" s="23">
        <v>833</v>
      </c>
      <c r="D40" s="23">
        <f t="shared" si="26"/>
        <v>812</v>
      </c>
      <c r="E40" s="23">
        <v>836</v>
      </c>
      <c r="F40" s="23"/>
      <c r="G40" s="23"/>
      <c r="H40" s="23"/>
      <c r="I40" s="23"/>
      <c r="J40" s="23">
        <v>1176</v>
      </c>
      <c r="K40" s="23">
        <v>1109</v>
      </c>
      <c r="L40" s="23">
        <v>1167.5999999999999</v>
      </c>
      <c r="M40" s="23">
        <v>1210.3</v>
      </c>
      <c r="N40" s="23">
        <v>1503</v>
      </c>
      <c r="O40" s="23">
        <v>1740</v>
      </c>
      <c r="P40" s="23">
        <v>1645</v>
      </c>
      <c r="Q40" s="23">
        <v>1713</v>
      </c>
      <c r="R40" s="23">
        <f>+R44*8%</f>
        <v>1665.9252336448596</v>
      </c>
      <c r="S40" s="23">
        <f>+S44*7%</f>
        <v>1586.9484112149532</v>
      </c>
      <c r="T40" s="23">
        <f>+T44*7%</f>
        <v>1756.3457943925234</v>
      </c>
      <c r="U40" s="23">
        <f>+U44*6%</f>
        <v>1625.2575700934576</v>
      </c>
      <c r="V40" s="23">
        <f>+V44*6%</f>
        <v>1781.8457943925232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spans="2:60" x14ac:dyDescent="0.25">
      <c r="B41" s="12" t="s">
        <v>32</v>
      </c>
      <c r="C41" s="23">
        <v>1856</v>
      </c>
      <c r="D41" s="23">
        <f t="shared" si="26"/>
        <v>1658</v>
      </c>
      <c r="E41" s="23">
        <v>1717</v>
      </c>
      <c r="F41" s="23"/>
      <c r="G41" s="23"/>
      <c r="H41" s="23"/>
      <c r="I41" s="23"/>
      <c r="J41" s="23">
        <v>1624</v>
      </c>
      <c r="K41" s="23">
        <v>2109</v>
      </c>
      <c r="L41" s="23">
        <v>2537.5</v>
      </c>
      <c r="M41" s="23">
        <v>2281.3000000000002</v>
      </c>
      <c r="N41" s="23">
        <v>3285</v>
      </c>
      <c r="O41" s="23">
        <v>3874</v>
      </c>
      <c r="P41" s="23">
        <v>3514</v>
      </c>
      <c r="Q41" s="23">
        <v>3221</v>
      </c>
      <c r="R41" s="23">
        <f>20%*R44</f>
        <v>4164.8130841121492</v>
      </c>
      <c r="S41" s="23">
        <f t="shared" ref="S41:V41" si="28">20%*S44</f>
        <v>4534.1383177570087</v>
      </c>
      <c r="T41" s="23">
        <f t="shared" si="28"/>
        <v>5018.1308411214959</v>
      </c>
      <c r="U41" s="23">
        <f t="shared" si="28"/>
        <v>5417.5252336448593</v>
      </c>
      <c r="V41" s="23">
        <f t="shared" si="28"/>
        <v>5939.4859813084113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spans="2:60" x14ac:dyDescent="0.25">
      <c r="B42" s="12" t="s">
        <v>14</v>
      </c>
      <c r="C42" s="23">
        <v>869</v>
      </c>
      <c r="D42" s="23">
        <f t="shared" si="26"/>
        <v>699</v>
      </c>
      <c r="E42" s="23">
        <v>1067</v>
      </c>
      <c r="F42" s="23"/>
      <c r="G42" s="23"/>
      <c r="H42" s="23"/>
      <c r="I42" s="23"/>
      <c r="J42" s="23">
        <v>302.10000000000002</v>
      </c>
      <c r="K42" s="23">
        <v>418.2</v>
      </c>
      <c r="L42" s="23">
        <v>500.9</v>
      </c>
      <c r="M42" s="23">
        <v>423.6</v>
      </c>
      <c r="N42" s="23">
        <v>733</v>
      </c>
      <c r="O42" s="23">
        <v>1139</v>
      </c>
      <c r="P42" s="23">
        <v>1568</v>
      </c>
      <c r="Q42" s="23">
        <v>1941</v>
      </c>
      <c r="R42" s="23">
        <f>+R44*13%</f>
        <v>2707.1285046728972</v>
      </c>
      <c r="S42" s="13">
        <f>+S44*15%</f>
        <v>3400.6037383177568</v>
      </c>
      <c r="T42" s="13">
        <f>+T44*16%</f>
        <v>4014.5046728971961</v>
      </c>
      <c r="U42" s="13">
        <f t="shared" ref="U42:V42" si="29">+U44*16%</f>
        <v>4334.0201869158873</v>
      </c>
      <c r="V42" s="13">
        <f t="shared" si="29"/>
        <v>4751.5887850467288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spans="2:60" x14ac:dyDescent="0.25">
      <c r="B43" s="12" t="s">
        <v>33</v>
      </c>
      <c r="C43" s="23">
        <v>-127</v>
      </c>
      <c r="D43" s="23">
        <f t="shared" si="26"/>
        <v>-86</v>
      </c>
      <c r="E43" s="23">
        <v>-128</v>
      </c>
      <c r="F43" s="23"/>
      <c r="G43" s="23"/>
      <c r="H43" s="23"/>
      <c r="I43" s="23"/>
      <c r="J43" s="23">
        <v>0</v>
      </c>
      <c r="K43" s="23">
        <v>0</v>
      </c>
      <c r="L43" s="23">
        <v>0</v>
      </c>
      <c r="M43" s="23">
        <v>0</v>
      </c>
      <c r="N43" s="23">
        <v>-128</v>
      </c>
      <c r="O43" s="23">
        <v>-189</v>
      </c>
      <c r="P43" s="23">
        <v>-213</v>
      </c>
      <c r="Q43" s="23">
        <v>-212</v>
      </c>
      <c r="R43" s="23">
        <f>-1%*R44</f>
        <v>-208.24065420560746</v>
      </c>
      <c r="S43" s="23">
        <f t="shared" ref="S43:V43" si="30">-1%*S44</f>
        <v>-226.70691588785044</v>
      </c>
      <c r="T43" s="23">
        <f t="shared" si="30"/>
        <v>-250.90654205607476</v>
      </c>
      <c r="U43" s="23">
        <f t="shared" si="30"/>
        <v>-270.87626168224295</v>
      </c>
      <c r="V43" s="23">
        <f t="shared" si="30"/>
        <v>-296.97429906542055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spans="2:60" x14ac:dyDescent="0.25">
      <c r="B44" s="1" t="s">
        <v>34</v>
      </c>
      <c r="C44" s="25">
        <f t="shared" ref="C44:H44" si="31">SUM(C38:C43)</f>
        <v>10135</v>
      </c>
      <c r="D44" s="25">
        <f t="shared" si="31"/>
        <v>9431</v>
      </c>
      <c r="E44" s="25">
        <f t="shared" si="31"/>
        <v>9018</v>
      </c>
      <c r="F44" s="25">
        <f t="shared" si="31"/>
        <v>0</v>
      </c>
      <c r="G44" s="25">
        <f t="shared" si="31"/>
        <v>0</v>
      </c>
      <c r="H44" s="25">
        <f t="shared" si="31"/>
        <v>0</v>
      </c>
      <c r="I44" s="23"/>
      <c r="J44" s="25">
        <v>15477.7</v>
      </c>
      <c r="K44" s="25">
        <f>SUM(K38:K43)</f>
        <v>13665.2</v>
      </c>
      <c r="L44" s="25">
        <f t="shared" ref="L44:Q44" si="32">SUM(L38:L43)</f>
        <v>15883.5</v>
      </c>
      <c r="M44" s="25">
        <f t="shared" si="32"/>
        <v>13100.199999999999</v>
      </c>
      <c r="N44" s="25">
        <f t="shared" si="32"/>
        <v>17645</v>
      </c>
      <c r="O44" s="25">
        <f t="shared" si="32"/>
        <v>20351</v>
      </c>
      <c r="P44" s="25">
        <f t="shared" si="32"/>
        <v>19566</v>
      </c>
      <c r="Q44" s="25">
        <f t="shared" si="32"/>
        <v>17194</v>
      </c>
      <c r="R44" s="25">
        <f>+R9/Main!$H$19</f>
        <v>20824.065420560746</v>
      </c>
      <c r="S44" s="25">
        <f>+S9/Main!$H$19</f>
        <v>22670.691588785045</v>
      </c>
      <c r="T44" s="25">
        <f>+T9/Main!$H$19</f>
        <v>25090.654205607476</v>
      </c>
      <c r="U44" s="25">
        <f>+U9/Main!$H$19</f>
        <v>27087.626168224295</v>
      </c>
      <c r="V44" s="25">
        <f>+V9/Main!$H$19</f>
        <v>29697.429906542053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2:60" x14ac:dyDescent="0.25">
      <c r="B45" t="s">
        <v>43</v>
      </c>
      <c r="C45" s="23">
        <v>2405</v>
      </c>
      <c r="D45" s="23">
        <f t="shared" si="26"/>
        <v>2234</v>
      </c>
      <c r="E45" s="23">
        <v>2310</v>
      </c>
      <c r="F45" s="23"/>
      <c r="G45" s="23"/>
      <c r="H45" s="23"/>
      <c r="I45" s="23"/>
      <c r="J45" s="23">
        <v>5344.7</v>
      </c>
      <c r="K45" s="23">
        <v>3467</v>
      </c>
      <c r="L45" s="23">
        <v>4108.5</v>
      </c>
      <c r="M45" s="23">
        <v>3590.6</v>
      </c>
      <c r="N45" s="23">
        <v>4577</v>
      </c>
      <c r="O45" s="23">
        <v>5153</v>
      </c>
      <c r="P45" s="23">
        <v>4639</v>
      </c>
      <c r="Q45" s="23">
        <v>4513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spans="2:60" x14ac:dyDescent="0.25">
      <c r="B46" t="s">
        <v>44</v>
      </c>
      <c r="C46" s="23">
        <f t="shared" ref="C46" si="33">+C44-C45</f>
        <v>7730</v>
      </c>
      <c r="D46" s="23">
        <f>+D44-D45</f>
        <v>7197</v>
      </c>
      <c r="E46" s="23">
        <f t="shared" ref="E46:H46" si="34">+E44-E45</f>
        <v>6708</v>
      </c>
      <c r="F46" s="23">
        <f t="shared" si="34"/>
        <v>0</v>
      </c>
      <c r="G46" s="23">
        <f t="shared" si="34"/>
        <v>0</v>
      </c>
      <c r="H46" s="23">
        <f t="shared" si="34"/>
        <v>0</v>
      </c>
      <c r="I46" s="23"/>
      <c r="J46" s="23">
        <f t="shared" ref="J46:N46" si="35">J44-J45</f>
        <v>10133</v>
      </c>
      <c r="K46" s="23">
        <f t="shared" si="35"/>
        <v>10198.200000000001</v>
      </c>
      <c r="L46" s="23">
        <f t="shared" si="35"/>
        <v>11775</v>
      </c>
      <c r="M46" s="23">
        <f t="shared" si="35"/>
        <v>9509.5999999999985</v>
      </c>
      <c r="N46" s="23">
        <f t="shared" si="35"/>
        <v>13068</v>
      </c>
      <c r="O46" s="23">
        <f>O44-O45</f>
        <v>15198</v>
      </c>
      <c r="P46" s="23">
        <f>P44-P45</f>
        <v>14927</v>
      </c>
      <c r="Q46" s="23">
        <f>Q44-Q45</f>
        <v>12681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spans="2:60" x14ac:dyDescent="0.25">
      <c r="B47" t="s">
        <v>328</v>
      </c>
      <c r="C47" s="23">
        <v>1505</v>
      </c>
      <c r="D47" s="23">
        <f t="shared" si="26"/>
        <v>1477</v>
      </c>
      <c r="E47" s="23">
        <v>1547</v>
      </c>
      <c r="F47" s="23"/>
      <c r="G47" s="23"/>
      <c r="H47" s="23"/>
      <c r="I47" s="23"/>
      <c r="J47" s="23">
        <v>2443.6</v>
      </c>
      <c r="K47" s="23">
        <v>2080.4</v>
      </c>
      <c r="L47" s="23">
        <v>2290.8000000000002</v>
      </c>
      <c r="M47" s="23">
        <v>2070</v>
      </c>
      <c r="N47" s="23">
        <v>2444</v>
      </c>
      <c r="O47" s="23">
        <v>2840</v>
      </c>
      <c r="P47" s="23">
        <v>2982</v>
      </c>
      <c r="Q47" s="23">
        <v>3017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2:60" x14ac:dyDescent="0.25">
      <c r="B48" t="s">
        <v>329</v>
      </c>
      <c r="C48" s="23">
        <v>3486</v>
      </c>
      <c r="D48" s="23">
        <f t="shared" si="26"/>
        <v>3713</v>
      </c>
      <c r="E48" s="23">
        <v>3579</v>
      </c>
      <c r="F48" s="23"/>
      <c r="G48" s="23"/>
      <c r="H48" s="23"/>
      <c r="I48" s="23"/>
      <c r="J48" s="23">
        <v>4741.3999999999996</v>
      </c>
      <c r="K48" s="23">
        <v>4174</v>
      </c>
      <c r="L48" s="23">
        <v>4705.8999999999996</v>
      </c>
      <c r="M48" s="23">
        <v>4304.3999999999996</v>
      </c>
      <c r="N48" s="23">
        <v>5607</v>
      </c>
      <c r="O48" s="23">
        <v>6779</v>
      </c>
      <c r="P48" s="23">
        <v>7199</v>
      </c>
      <c r="Q48" s="23">
        <v>7110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2:60" x14ac:dyDescent="0.25">
      <c r="B49" t="s">
        <v>330</v>
      </c>
      <c r="C49" s="23">
        <f t="shared" ref="C49" si="36">+SUM(C47:C48)</f>
        <v>4991</v>
      </c>
      <c r="D49" s="23">
        <f>+SUM(D47:D48)</f>
        <v>5190</v>
      </c>
      <c r="E49" s="23">
        <f t="shared" ref="E49:H49" si="37">+SUM(E47:E48)</f>
        <v>5126</v>
      </c>
      <c r="F49" s="23">
        <f t="shared" si="37"/>
        <v>0</v>
      </c>
      <c r="G49" s="23">
        <f t="shared" si="37"/>
        <v>0</v>
      </c>
      <c r="H49" s="23">
        <f t="shared" si="37"/>
        <v>0</v>
      </c>
      <c r="I49" s="23"/>
      <c r="J49" s="23">
        <f t="shared" ref="J49:N49" si="38">SUM(J47:J48)</f>
        <v>7185</v>
      </c>
      <c r="K49" s="23">
        <f t="shared" si="38"/>
        <v>6254.4</v>
      </c>
      <c r="L49" s="23">
        <f t="shared" si="38"/>
        <v>6996.7</v>
      </c>
      <c r="M49" s="23">
        <f t="shared" si="38"/>
        <v>6374.4</v>
      </c>
      <c r="N49" s="23">
        <f t="shared" si="38"/>
        <v>8051</v>
      </c>
      <c r="O49" s="23">
        <f>SUM(O47:O48)</f>
        <v>9619</v>
      </c>
      <c r="P49" s="23">
        <f>SUM(P47:P48)</f>
        <v>10181</v>
      </c>
      <c r="Q49" s="23">
        <f>SUM(Q47:Q48)</f>
        <v>10127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spans="2:60" x14ac:dyDescent="0.25">
      <c r="B50" s="12" t="s">
        <v>327</v>
      </c>
      <c r="C50" s="23">
        <v>1810</v>
      </c>
      <c r="D50" s="23">
        <f t="shared" si="26"/>
        <v>1454</v>
      </c>
      <c r="E50" s="23">
        <v>1007</v>
      </c>
      <c r="F50" s="23"/>
      <c r="G50" s="23"/>
      <c r="H50" s="23"/>
      <c r="I50" s="23"/>
      <c r="J50" s="23">
        <v>2124</v>
      </c>
      <c r="K50" s="23">
        <v>3275</v>
      </c>
      <c r="L50" s="23">
        <v>3946.9</v>
      </c>
      <c r="M50" s="23">
        <v>2614.5</v>
      </c>
      <c r="N50" s="23">
        <v>3715</v>
      </c>
      <c r="O50" s="23">
        <v>3732</v>
      </c>
      <c r="P50" s="23">
        <v>3264</v>
      </c>
      <c r="Q50" s="23">
        <v>1605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spans="2:60" x14ac:dyDescent="0.25">
      <c r="B51" s="12" t="s">
        <v>326</v>
      </c>
      <c r="C51" s="23">
        <v>481</v>
      </c>
      <c r="D51" s="23">
        <f t="shared" si="26"/>
        <v>488</v>
      </c>
      <c r="E51" s="23">
        <v>316</v>
      </c>
      <c r="F51" s="23"/>
      <c r="G51" s="23"/>
      <c r="H51" s="23"/>
      <c r="I51" s="23"/>
      <c r="J51" s="23">
        <v>377</v>
      </c>
      <c r="K51" s="23">
        <v>459</v>
      </c>
      <c r="L51" s="23">
        <v>562.20000000000005</v>
      </c>
      <c r="M51" s="23">
        <v>400</v>
      </c>
      <c r="N51" s="23">
        <v>715</v>
      </c>
      <c r="O51" s="23">
        <v>1019</v>
      </c>
      <c r="P51" s="23">
        <v>969</v>
      </c>
      <c r="Q51" s="23">
        <v>593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spans="2:60" x14ac:dyDescent="0.25">
      <c r="B52" s="12" t="s">
        <v>13</v>
      </c>
      <c r="C52" s="23">
        <v>169</v>
      </c>
      <c r="D52" s="23">
        <f t="shared" si="26"/>
        <v>143</v>
      </c>
      <c r="E52" s="23">
        <v>121</v>
      </c>
      <c r="F52" s="23"/>
      <c r="G52" s="23"/>
      <c r="H52" s="23"/>
      <c r="I52" s="23"/>
      <c r="J52" s="23">
        <v>294</v>
      </c>
      <c r="K52" s="23">
        <v>242</v>
      </c>
      <c r="L52" s="23">
        <v>215.2</v>
      </c>
      <c r="M52" s="23">
        <v>172</v>
      </c>
      <c r="N52" s="23">
        <v>286</v>
      </c>
      <c r="O52" s="23">
        <v>366</v>
      </c>
      <c r="P52" s="23">
        <v>312</v>
      </c>
      <c r="Q52" s="23">
        <v>255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spans="2:60" x14ac:dyDescent="0.25">
      <c r="B53" s="12" t="s">
        <v>32</v>
      </c>
      <c r="C53" s="23">
        <v>224</v>
      </c>
      <c r="D53" s="23">
        <f t="shared" si="26"/>
        <v>-12</v>
      </c>
      <c r="E53" s="23">
        <v>44</v>
      </c>
      <c r="F53" s="23"/>
      <c r="G53" s="23"/>
      <c r="H53" s="23"/>
      <c r="I53" s="23"/>
      <c r="J53" s="23">
        <v>100</v>
      </c>
      <c r="K53" s="23">
        <v>215</v>
      </c>
      <c r="L53" s="23">
        <v>317.7</v>
      </c>
      <c r="M53" s="23">
        <v>180.6</v>
      </c>
      <c r="N53" s="23">
        <v>459</v>
      </c>
      <c r="O53" s="23">
        <v>558</v>
      </c>
      <c r="P53" s="23">
        <v>212</v>
      </c>
      <c r="Q53" s="23">
        <v>-9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spans="2:60" x14ac:dyDescent="0.25">
      <c r="B54" s="12" t="s">
        <v>325</v>
      </c>
      <c r="C54" s="23">
        <v>63</v>
      </c>
      <c r="D54" s="23">
        <f t="shared" si="26"/>
        <v>-70</v>
      </c>
      <c r="E54" s="23">
        <v>101</v>
      </c>
      <c r="F54" s="23"/>
      <c r="G54" s="23"/>
      <c r="H54" s="23"/>
      <c r="I54" s="23"/>
      <c r="J54" s="23">
        <v>-204.3</v>
      </c>
      <c r="K54" s="23">
        <v>-247.2</v>
      </c>
      <c r="L54" s="23">
        <v>-263.7</v>
      </c>
      <c r="M54" s="23">
        <v>-231.9</v>
      </c>
      <c r="N54" s="23">
        <v>-164</v>
      </c>
      <c r="O54" s="23">
        <v>-88</v>
      </c>
      <c r="P54" s="23">
        <v>-7</v>
      </c>
      <c r="Q54" s="23">
        <v>112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spans="2:60" x14ac:dyDescent="0.25">
      <c r="B55" s="12" t="s">
        <v>33</v>
      </c>
      <c r="C55" s="23">
        <v>-8</v>
      </c>
      <c r="D55" s="23">
        <f t="shared" si="26"/>
        <v>4</v>
      </c>
      <c r="E55" s="23">
        <v>-7</v>
      </c>
      <c r="F55" s="23"/>
      <c r="G55" s="23"/>
      <c r="H55" s="23"/>
      <c r="I55" s="23"/>
      <c r="J55" s="23">
        <v>0</v>
      </c>
      <c r="K55" s="23">
        <v>0</v>
      </c>
      <c r="L55" s="23">
        <v>0</v>
      </c>
      <c r="M55" s="23">
        <v>0</v>
      </c>
      <c r="N55" s="23">
        <v>6</v>
      </c>
      <c r="O55" s="23">
        <v>2</v>
      </c>
      <c r="P55" s="23">
        <f>P56-SUM(P50:P54)</f>
        <v>-4</v>
      </c>
      <c r="Q55" s="23">
        <v>-2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spans="2:60" x14ac:dyDescent="0.25">
      <c r="B56" t="s">
        <v>45</v>
      </c>
      <c r="C56" s="23">
        <f t="shared" ref="C56:D56" si="39">+SUM(C50:C55)</f>
        <v>2739</v>
      </c>
      <c r="D56" s="23">
        <f t="shared" si="39"/>
        <v>2007</v>
      </c>
      <c r="E56" s="23">
        <f>+SUM(E50:E55)</f>
        <v>1582</v>
      </c>
      <c r="F56" s="23">
        <f t="shared" ref="F56:H56" si="40">+SUM(F50:F55)</f>
        <v>0</v>
      </c>
      <c r="G56" s="23">
        <f t="shared" si="40"/>
        <v>0</v>
      </c>
      <c r="H56" s="23">
        <f t="shared" si="40"/>
        <v>0</v>
      </c>
      <c r="I56" s="23"/>
      <c r="J56" s="23">
        <v>2948</v>
      </c>
      <c r="K56" s="23">
        <v>3943.8</v>
      </c>
      <c r="L56" s="23">
        <v>4778.3</v>
      </c>
      <c r="M56" s="23">
        <v>3135.2</v>
      </c>
      <c r="N56" s="23">
        <v>5017</v>
      </c>
      <c r="O56" s="23">
        <v>5589</v>
      </c>
      <c r="P56" s="23">
        <f>P46-P49</f>
        <v>4746</v>
      </c>
      <c r="Q56" s="23">
        <f>Q46-Q49</f>
        <v>2554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spans="2:60" x14ac:dyDescent="0.25">
      <c r="B57" t="s">
        <v>331</v>
      </c>
      <c r="C57" s="23">
        <v>0</v>
      </c>
      <c r="D57" s="23">
        <f t="shared" si="26"/>
        <v>103</v>
      </c>
      <c r="E57" s="23">
        <v>13</v>
      </c>
      <c r="F57" s="23"/>
      <c r="G57" s="23"/>
      <c r="H57" s="23"/>
      <c r="I57" s="23"/>
      <c r="J57" s="23">
        <v>241.7</v>
      </c>
      <c r="K57" s="23">
        <v>222.4</v>
      </c>
      <c r="L57" s="23">
        <v>168.5</v>
      </c>
      <c r="M57" s="23">
        <v>-163</v>
      </c>
      <c r="N57" s="23">
        <v>220</v>
      </c>
      <c r="O57" s="23">
        <v>194</v>
      </c>
      <c r="P57" s="23">
        <v>103</v>
      </c>
      <c r="Q57" s="23">
        <v>242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spans="2:60" x14ac:dyDescent="0.25">
      <c r="B58" t="s">
        <v>46</v>
      </c>
      <c r="C58" s="23">
        <f>+C56-C57</f>
        <v>2739</v>
      </c>
      <c r="D58" s="23">
        <f t="shared" ref="D58:H58" si="41">+D56-D57</f>
        <v>1904</v>
      </c>
      <c r="E58" s="23">
        <f t="shared" si="41"/>
        <v>1569</v>
      </c>
      <c r="F58" s="23">
        <f t="shared" si="41"/>
        <v>0</v>
      </c>
      <c r="G58" s="23">
        <f t="shared" si="41"/>
        <v>0</v>
      </c>
      <c r="H58" s="23">
        <f t="shared" si="41"/>
        <v>0</v>
      </c>
      <c r="I58" s="23"/>
      <c r="J58" s="23">
        <f>+J56-J57</f>
        <v>2706.3</v>
      </c>
      <c r="K58" s="23">
        <v>3721.4</v>
      </c>
      <c r="L58" s="23">
        <v>4609.8</v>
      </c>
      <c r="M58" s="23">
        <v>3298.2</v>
      </c>
      <c r="N58" s="23">
        <v>4797</v>
      </c>
      <c r="O58" s="23">
        <v>5395</v>
      </c>
      <c r="P58" s="23">
        <f>P56-P57</f>
        <v>4643</v>
      </c>
      <c r="Q58" s="23">
        <f>Q56-Q57</f>
        <v>2312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spans="2:60" x14ac:dyDescent="0.25">
      <c r="B59" t="s">
        <v>47</v>
      </c>
      <c r="C59" s="23">
        <v>-204</v>
      </c>
      <c r="D59" s="23">
        <f t="shared" si="26"/>
        <v>-206</v>
      </c>
      <c r="E59" s="23">
        <v>-288</v>
      </c>
      <c r="F59" s="23"/>
      <c r="G59" s="23"/>
      <c r="H59" s="23"/>
      <c r="I59" s="23"/>
      <c r="J59" s="23">
        <v>-242.6</v>
      </c>
      <c r="K59" s="23">
        <v>-207.3</v>
      </c>
      <c r="L59" s="23">
        <v>-309.5</v>
      </c>
      <c r="M59" s="23">
        <v>-341.7</v>
      </c>
      <c r="N59" s="23">
        <v>-273</v>
      </c>
      <c r="O59" s="23">
        <v>-260</v>
      </c>
      <c r="P59" s="23">
        <v>-410</v>
      </c>
      <c r="Q59" s="23">
        <v>-614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spans="2:60" x14ac:dyDescent="0.25">
      <c r="B60" t="s">
        <v>48</v>
      </c>
      <c r="C60" s="23">
        <f t="shared" ref="C60:D60" si="42">+C58+C59</f>
        <v>2535</v>
      </c>
      <c r="D60" s="23">
        <f t="shared" si="42"/>
        <v>1698</v>
      </c>
      <c r="E60" s="23">
        <f>+E58+E59</f>
        <v>1281</v>
      </c>
      <c r="F60" s="23">
        <f t="shared" ref="F60:H60" si="43">+F58+F59</f>
        <v>0</v>
      </c>
      <c r="G60" s="23">
        <f t="shared" si="43"/>
        <v>0</v>
      </c>
      <c r="H60" s="23">
        <f t="shared" si="43"/>
        <v>0</v>
      </c>
      <c r="I60" s="23"/>
      <c r="J60" s="23">
        <f>+J58+J59</f>
        <v>2463.7000000000003</v>
      </c>
      <c r="K60" s="23">
        <v>3514.1</v>
      </c>
      <c r="L60" s="23">
        <v>4300.3</v>
      </c>
      <c r="M60" s="23">
        <v>2956.5</v>
      </c>
      <c r="N60" s="23">
        <v>4524</v>
      </c>
      <c r="O60" s="23">
        <v>5135</v>
      </c>
      <c r="P60" s="23">
        <f>P58+P59</f>
        <v>4233</v>
      </c>
      <c r="Q60" s="23">
        <f>Q58+Q59</f>
        <v>1698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2:60" x14ac:dyDescent="0.25">
      <c r="B61" t="s">
        <v>49</v>
      </c>
      <c r="C61" s="23">
        <v>692</v>
      </c>
      <c r="D61" s="23">
        <f t="shared" si="26"/>
        <v>471</v>
      </c>
      <c r="E61" s="23">
        <v>345</v>
      </c>
      <c r="F61" s="23"/>
      <c r="G61" s="23"/>
      <c r="H61" s="23"/>
      <c r="I61" s="23"/>
      <c r="J61" s="23">
        <v>591</v>
      </c>
      <c r="K61" s="23">
        <v>867.7</v>
      </c>
      <c r="L61" s="23">
        <v>2133.6999999999998</v>
      </c>
      <c r="M61" s="23">
        <v>759.2</v>
      </c>
      <c r="N61" s="23">
        <v>1280.4000000000001</v>
      </c>
      <c r="O61" s="23">
        <v>1420</v>
      </c>
      <c r="P61" s="23">
        <v>1163</v>
      </c>
      <c r="Q61" s="23">
        <v>461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spans="2:60" x14ac:dyDescent="0.25">
      <c r="B62" t="s">
        <v>337</v>
      </c>
      <c r="C62" s="23">
        <v>3</v>
      </c>
      <c r="D62" s="23">
        <f t="shared" si="26"/>
        <v>1</v>
      </c>
      <c r="E62" s="23">
        <v>4</v>
      </c>
      <c r="F62" s="23"/>
      <c r="G62" s="23"/>
      <c r="H62" s="23"/>
      <c r="I62" s="23"/>
      <c r="J62" s="23">
        <v>-2</v>
      </c>
      <c r="K62" s="23">
        <v>11.9</v>
      </c>
      <c r="L62" s="23">
        <v>41.8</v>
      </c>
      <c r="M62" s="23">
        <v>-7.6</v>
      </c>
      <c r="N62" s="23">
        <v>1</v>
      </c>
      <c r="O62" s="23">
        <v>2</v>
      </c>
      <c r="P62" s="23">
        <v>4</v>
      </c>
      <c r="Q62" s="23">
        <v>-10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spans="2:60" x14ac:dyDescent="0.25">
      <c r="B63" t="s">
        <v>332</v>
      </c>
      <c r="C63" s="23">
        <v>0</v>
      </c>
      <c r="D63" s="23">
        <f t="shared" si="26"/>
        <v>0</v>
      </c>
      <c r="E63" s="23">
        <v>0</v>
      </c>
      <c r="F63" s="23"/>
      <c r="G63" s="23"/>
      <c r="H63" s="23"/>
      <c r="I63" s="23"/>
      <c r="J63" s="23">
        <v>-5.6</v>
      </c>
      <c r="K63" s="23">
        <v>1095.2</v>
      </c>
      <c r="L63" s="23">
        <v>125.4</v>
      </c>
      <c r="M63" s="23">
        <v>-9.8000000000000007</v>
      </c>
      <c r="N63" s="23">
        <v>11</v>
      </c>
      <c r="O63" s="23">
        <v>1</v>
      </c>
      <c r="P63" s="23">
        <v>0</v>
      </c>
      <c r="Q63" s="23">
        <v>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spans="2:60" x14ac:dyDescent="0.25">
      <c r="B64" t="s">
        <v>333</v>
      </c>
      <c r="C64" s="23">
        <f t="shared" ref="C64:D64" si="44">+C60-C61+C62+C63</f>
        <v>1846</v>
      </c>
      <c r="D64" s="23">
        <f t="shared" si="44"/>
        <v>1228</v>
      </c>
      <c r="E64" s="23">
        <f>+E60-E61+E62+E63</f>
        <v>940</v>
      </c>
      <c r="F64" s="23">
        <f t="shared" ref="F64:H64" si="45">+F60-F61+F62+F63</f>
        <v>0</v>
      </c>
      <c r="G64" s="23">
        <f t="shared" si="45"/>
        <v>0</v>
      </c>
      <c r="H64" s="23">
        <f t="shared" si="45"/>
        <v>0</v>
      </c>
      <c r="I64" s="23"/>
      <c r="J64" s="23">
        <v>1865.1000000000004</v>
      </c>
      <c r="K64" s="23">
        <v>3753.5</v>
      </c>
      <c r="L64" s="23">
        <v>2333.8000000000006</v>
      </c>
      <c r="M64" s="23">
        <v>2179.9</v>
      </c>
      <c r="N64" s="23">
        <v>3256</v>
      </c>
      <c r="O64" s="23">
        <v>3718</v>
      </c>
      <c r="P64" s="23">
        <f>+P60-P61+P62+P63</f>
        <v>3074</v>
      </c>
      <c r="Q64" s="23">
        <f>+Q60-Q61+Q62+Q63</f>
        <v>1227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spans="2:60" x14ac:dyDescent="0.25">
      <c r="B65" t="s">
        <v>334</v>
      </c>
      <c r="C65" s="23">
        <v>61</v>
      </c>
      <c r="D65" s="23">
        <f t="shared" si="26"/>
        <v>30</v>
      </c>
      <c r="E65" s="23">
        <v>62</v>
      </c>
      <c r="F65" s="23"/>
      <c r="G65" s="23"/>
      <c r="H65" s="23"/>
      <c r="I65" s="23"/>
      <c r="J65" s="23">
        <v>79.5</v>
      </c>
      <c r="K65" s="23">
        <v>38.6</v>
      </c>
      <c r="L65" s="23">
        <v>25.2</v>
      </c>
      <c r="M65" s="23">
        <v>29.5</v>
      </c>
      <c r="N65" s="23">
        <v>80.2</v>
      </c>
      <c r="O65" s="23">
        <v>104</v>
      </c>
      <c r="P65" s="23">
        <v>91</v>
      </c>
      <c r="Q65" s="23">
        <v>94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spans="2:60" x14ac:dyDescent="0.25">
      <c r="B66" t="s">
        <v>335</v>
      </c>
      <c r="C66" s="23">
        <f t="shared" ref="C66:D66" si="46">+C64-C65</f>
        <v>1785</v>
      </c>
      <c r="D66" s="23">
        <f t="shared" si="46"/>
        <v>1198</v>
      </c>
      <c r="E66" s="23">
        <f>+E64-E65</f>
        <v>878</v>
      </c>
      <c r="F66" s="23">
        <f t="shared" ref="F66:H66" si="47">+F64-F65</f>
        <v>0</v>
      </c>
      <c r="G66" s="23">
        <f t="shared" si="47"/>
        <v>0</v>
      </c>
      <c r="H66" s="23">
        <f t="shared" si="47"/>
        <v>0</v>
      </c>
      <c r="I66" s="23"/>
      <c r="J66" s="23">
        <f t="shared" ref="J66:Q66" si="48">J64-J65</f>
        <v>1785.6000000000004</v>
      </c>
      <c r="K66" s="23">
        <f t="shared" si="48"/>
        <v>3714.9</v>
      </c>
      <c r="L66" s="23">
        <f t="shared" si="48"/>
        <v>2308.6000000000008</v>
      </c>
      <c r="M66" s="23">
        <f t="shared" si="48"/>
        <v>2150.4</v>
      </c>
      <c r="N66" s="23">
        <f t="shared" si="48"/>
        <v>3175.8</v>
      </c>
      <c r="O66" s="23">
        <f t="shared" si="48"/>
        <v>3614</v>
      </c>
      <c r="P66" s="23">
        <f t="shared" si="48"/>
        <v>2983</v>
      </c>
      <c r="Q66" s="23">
        <f t="shared" si="48"/>
        <v>1133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2:6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spans="2:60" x14ac:dyDescent="0.25">
      <c r="B68" t="s">
        <v>51</v>
      </c>
      <c r="C68" s="89">
        <v>14.6</v>
      </c>
      <c r="D68" s="23">
        <f>+O68-C68</f>
        <v>14.930262104363736</v>
      </c>
      <c r="E68" s="89">
        <v>7.16</v>
      </c>
      <c r="F68" s="23"/>
      <c r="G68" s="23"/>
      <c r="H68" s="23"/>
      <c r="I68" s="23"/>
      <c r="J68" s="24">
        <f t="shared" ref="J68:O68" si="49">J66/J69</f>
        <v>14.171483570281477</v>
      </c>
      <c r="K68" s="24">
        <f t="shared" si="49"/>
        <v>29.493623799122673</v>
      </c>
      <c r="L68" s="24">
        <f t="shared" si="49"/>
        <v>18.395399999391234</v>
      </c>
      <c r="M68" s="24">
        <f>M66/M69</f>
        <v>17.201556219287685</v>
      </c>
      <c r="N68" s="24">
        <f>N66/N69</f>
        <v>25.491130683028981</v>
      </c>
      <c r="O68" s="24">
        <f t="shared" si="49"/>
        <v>29.530262104363736</v>
      </c>
      <c r="P68" s="24">
        <f>P66/P69</f>
        <v>24.381573206339691</v>
      </c>
      <c r="Q68" s="24">
        <f>Q66/Q69</f>
        <v>9.2401093131844689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spans="2:60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4">
        <v>125.999511</v>
      </c>
      <c r="K69" s="24">
        <v>125.95603800000001</v>
      </c>
      <c r="L69" s="24">
        <v>125.498766</v>
      </c>
      <c r="M69" s="24">
        <v>125.011945</v>
      </c>
      <c r="N69" s="24">
        <v>124.584509</v>
      </c>
      <c r="O69" s="24">
        <v>122.38293</v>
      </c>
      <c r="P69" s="24">
        <v>122.34649400000001</v>
      </c>
      <c r="Q69" s="13">
        <v>122.617597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spans="2:6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spans="2:60" x14ac:dyDescent="0.25">
      <c r="B71" t="s">
        <v>470</v>
      </c>
      <c r="C71" s="23"/>
      <c r="D71" s="23"/>
      <c r="E71" s="23"/>
      <c r="F71" s="23"/>
      <c r="G71" s="23"/>
      <c r="H71" s="23"/>
      <c r="I71" s="23"/>
      <c r="J71" s="23"/>
      <c r="K71" s="23"/>
      <c r="L71" s="18">
        <f>+L8/K8-1</f>
        <v>6.336828658114646E-2</v>
      </c>
      <c r="M71" s="18">
        <f t="shared" ref="M71:V71" si="50">+M8/L8-1</f>
        <v>-0.15369791014891754</v>
      </c>
      <c r="N71" s="18">
        <f t="shared" si="50"/>
        <v>0.13021233808481703</v>
      </c>
      <c r="O71" s="18">
        <f t="shared" si="50"/>
        <v>6.214511866446859E-2</v>
      </c>
      <c r="P71" s="18">
        <f t="shared" si="50"/>
        <v>0.11921068190776518</v>
      </c>
      <c r="Q71" s="18">
        <f t="shared" si="50"/>
        <v>4.3186370539939789E-2</v>
      </c>
      <c r="R71" s="18">
        <f t="shared" si="50"/>
        <v>4.4774544763994673E-2</v>
      </c>
      <c r="S71" s="18">
        <f t="shared" si="50"/>
        <v>4.2350802787034292E-2</v>
      </c>
      <c r="T71" s="18">
        <f t="shared" si="50"/>
        <v>4.0339455940479052E-2</v>
      </c>
      <c r="U71" s="18">
        <f t="shared" si="50"/>
        <v>3.8067568070920377E-2</v>
      </c>
      <c r="V71" s="18">
        <f t="shared" si="50"/>
        <v>3.6545982991854853E-2</v>
      </c>
      <c r="W71" s="18"/>
      <c r="X71" s="1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spans="2:60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18">
        <f t="shared" ref="K72:P72" si="51">K17/J17-1</f>
        <v>-7.9250720461095048E-2</v>
      </c>
      <c r="L72" s="18">
        <f t="shared" si="51"/>
        <v>8.0594679186228424E-2</v>
      </c>
      <c r="M72" s="18">
        <f t="shared" si="51"/>
        <v>3.7653874004344612E-2</v>
      </c>
      <c r="N72" s="18">
        <f t="shared" si="51"/>
        <v>8.7927424982554125E-2</v>
      </c>
      <c r="O72" s="18">
        <f t="shared" si="51"/>
        <v>6.6709429121231567E-2</v>
      </c>
      <c r="P72" s="18">
        <f t="shared" si="51"/>
        <v>6.4942874323511646E-2</v>
      </c>
      <c r="Q72" s="18">
        <f t="shared" ref="Q72:V72" si="52">Q17/P17-1</f>
        <v>2.3715415019762931E-2</v>
      </c>
      <c r="R72" s="18">
        <f t="shared" si="52"/>
        <v>4.081632653061229E-2</v>
      </c>
      <c r="S72" s="18">
        <f t="shared" si="52"/>
        <v>3.5506094329623705E-2</v>
      </c>
      <c r="T72" s="18">
        <f t="shared" si="52"/>
        <v>3.6847492323439202E-2</v>
      </c>
      <c r="U72" s="18">
        <f t="shared" si="52"/>
        <v>3.3563672260612076E-2</v>
      </c>
      <c r="V72" s="18">
        <f t="shared" si="52"/>
        <v>3.2951289398280847E-2</v>
      </c>
      <c r="W72" s="18"/>
      <c r="X72" s="18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spans="2:6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3">F38/D38-1</f>
        <v>-1</v>
      </c>
      <c r="G73" s="18">
        <f t="shared" si="53"/>
        <v>-1</v>
      </c>
      <c r="H73" s="18" t="e">
        <f t="shared" si="53"/>
        <v>#DIV/0!</v>
      </c>
      <c r="I73" s="23"/>
      <c r="J73" s="23"/>
      <c r="K73" s="18">
        <f t="shared" ref="K73:P77" si="54">K38/J38-1</f>
        <v>0.33392368378682979</v>
      </c>
      <c r="L73" s="18">
        <f t="shared" si="54"/>
        <v>0.16214846107423053</v>
      </c>
      <c r="M73" s="18">
        <f t="shared" si="54"/>
        <v>-0.22722363009430424</v>
      </c>
      <c r="N73" s="18">
        <f t="shared" si="54"/>
        <v>0.30782463779802693</v>
      </c>
      <c r="O73" s="18">
        <f t="shared" si="54"/>
        <v>7.7689857157537734E-2</v>
      </c>
      <c r="P73" s="18">
        <f t="shared" si="54"/>
        <v>-5.8548679317249941E-2</v>
      </c>
      <c r="Q73" s="18">
        <f t="shared" ref="Q73:V73" si="55">Q38/P38-1</f>
        <v>-0.22515952597994526</v>
      </c>
      <c r="R73" s="18">
        <f t="shared" si="55"/>
        <v>0.30660802638812523</v>
      </c>
      <c r="S73" s="18">
        <f t="shared" si="55"/>
        <v>4.3315942419244635E-2</v>
      </c>
      <c r="T73" s="18">
        <f t="shared" si="55"/>
        <v>5.862479327893344E-2</v>
      </c>
      <c r="U73" s="18">
        <f t="shared" si="55"/>
        <v>3.0517985757677168E-2</v>
      </c>
      <c r="V73" s="18">
        <f t="shared" si="55"/>
        <v>7.0243219618421504E-2</v>
      </c>
      <c r="W73" s="18"/>
      <c r="X73" s="18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2:60" x14ac:dyDescent="0.25">
      <c r="B74" s="17" t="s">
        <v>12</v>
      </c>
      <c r="C74" s="23"/>
      <c r="D74" s="23"/>
      <c r="E74" s="18">
        <f t="shared" ref="E74:H74" si="56">E39/C39-1</f>
        <v>-8.5659898477157381E-2</v>
      </c>
      <c r="F74" s="18">
        <f t="shared" si="56"/>
        <v>-1</v>
      </c>
      <c r="G74" s="18">
        <f t="shared" si="56"/>
        <v>-1</v>
      </c>
      <c r="H74" s="18" t="e">
        <f t="shared" si="56"/>
        <v>#DIV/0!</v>
      </c>
      <c r="I74" s="23"/>
      <c r="J74" s="23"/>
      <c r="K74" s="18">
        <f t="shared" si="54"/>
        <v>0.16111850865512656</v>
      </c>
      <c r="L74" s="18">
        <f t="shared" si="54"/>
        <v>0.17494266055045871</v>
      </c>
      <c r="M74" s="18">
        <f t="shared" si="54"/>
        <v>-0.14869942901761746</v>
      </c>
      <c r="N74" s="18">
        <f t="shared" si="54"/>
        <v>0.44519605595046996</v>
      </c>
      <c r="O74" s="18">
        <f t="shared" si="54"/>
        <v>0.30900436334787784</v>
      </c>
      <c r="P74" s="18">
        <f t="shared" si="54"/>
        <v>-3.6666666666666625E-2</v>
      </c>
      <c r="Q74" s="18">
        <f t="shared" ref="Q74:V74" si="57">Q39/P39-1</f>
        <v>-9.3740169864737322E-2</v>
      </c>
      <c r="R74" s="18">
        <f t="shared" si="57"/>
        <v>0.22877164925210947</v>
      </c>
      <c r="S74" s="18">
        <f t="shared" si="57"/>
        <v>8.8677505133124557E-2</v>
      </c>
      <c r="T74" s="18">
        <f t="shared" si="57"/>
        <v>0.10674410206433937</v>
      </c>
      <c r="U74" s="18">
        <f t="shared" si="57"/>
        <v>7.9590270793757023E-2</v>
      </c>
      <c r="V74" s="18">
        <f t="shared" si="57"/>
        <v>0.16083769588454322</v>
      </c>
      <c r="W74" s="18"/>
      <c r="X74" s="18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spans="2:60" x14ac:dyDescent="0.25">
      <c r="B75" s="17" t="s">
        <v>31</v>
      </c>
      <c r="C75" s="23"/>
      <c r="D75" s="23"/>
      <c r="E75" s="18">
        <f t="shared" ref="E75:H75" si="58">E40/C40-1</f>
        <v>3.6014405762305746E-3</v>
      </c>
      <c r="F75" s="18">
        <f t="shared" si="58"/>
        <v>-1</v>
      </c>
      <c r="G75" s="18">
        <f t="shared" si="58"/>
        <v>-1</v>
      </c>
      <c r="H75" s="18" t="e">
        <f t="shared" si="58"/>
        <v>#DIV/0!</v>
      </c>
      <c r="I75" s="23"/>
      <c r="J75" s="23"/>
      <c r="K75" s="18">
        <f t="shared" si="54"/>
        <v>-5.6972789115646294E-2</v>
      </c>
      <c r="L75" s="18">
        <f t="shared" si="54"/>
        <v>5.2840396753832231E-2</v>
      </c>
      <c r="M75" s="18">
        <f t="shared" si="54"/>
        <v>3.6570743405275774E-2</v>
      </c>
      <c r="N75" s="18">
        <f t="shared" si="54"/>
        <v>0.24184086590101628</v>
      </c>
      <c r="O75" s="18">
        <f t="shared" si="54"/>
        <v>0.1576846307385229</v>
      </c>
      <c r="P75" s="18">
        <f t="shared" si="54"/>
        <v>-5.4597701149425304E-2</v>
      </c>
      <c r="Q75" s="18">
        <f t="shared" ref="Q75:V75" si="59">Q40/P40-1</f>
        <v>4.133738601823711E-2</v>
      </c>
      <c r="R75" s="18">
        <f t="shared" si="59"/>
        <v>-2.7480891042113487E-2</v>
      </c>
      <c r="S75" s="18">
        <f t="shared" si="59"/>
        <v>-4.7407183008515874E-2</v>
      </c>
      <c r="T75" s="18">
        <f t="shared" si="59"/>
        <v>0.10674410206433937</v>
      </c>
      <c r="U75" s="18">
        <f t="shared" si="59"/>
        <v>-7.4636910748208329E-2</v>
      </c>
      <c r="V75" s="18">
        <f t="shared" si="59"/>
        <v>9.6346712779846522E-2</v>
      </c>
      <c r="W75" s="18"/>
      <c r="X75" s="1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spans="2:60" x14ac:dyDescent="0.25">
      <c r="B76" s="17" t="s">
        <v>32</v>
      </c>
      <c r="C76" s="23"/>
      <c r="D76" s="23"/>
      <c r="E76" s="18">
        <f t="shared" ref="E76:H76" si="60">E41/C41-1</f>
        <v>-7.4892241379310387E-2</v>
      </c>
      <c r="F76" s="18">
        <f t="shared" si="60"/>
        <v>-1</v>
      </c>
      <c r="G76" s="18">
        <f t="shared" si="60"/>
        <v>-1</v>
      </c>
      <c r="H76" s="18" t="e">
        <f t="shared" si="60"/>
        <v>#DIV/0!</v>
      </c>
      <c r="I76" s="23"/>
      <c r="J76" s="23"/>
      <c r="K76" s="18">
        <f t="shared" si="54"/>
        <v>0.29864532019704426</v>
      </c>
      <c r="L76" s="18">
        <f t="shared" si="54"/>
        <v>0.20317686107159783</v>
      </c>
      <c r="M76" s="18">
        <f t="shared" si="54"/>
        <v>-0.10096551724137925</v>
      </c>
      <c r="N76" s="18">
        <f t="shared" si="54"/>
        <v>0.43996843904791105</v>
      </c>
      <c r="O76" s="18">
        <f t="shared" si="54"/>
        <v>0.17929984779299857</v>
      </c>
      <c r="P76" s="18">
        <f t="shared" si="54"/>
        <v>-9.2927207021166747E-2</v>
      </c>
      <c r="Q76" s="18">
        <f t="shared" ref="Q76:V76" si="61">Q41/P41-1</f>
        <v>-8.3380762663631147E-2</v>
      </c>
      <c r="R76" s="18">
        <f t="shared" si="61"/>
        <v>0.29301865386903114</v>
      </c>
      <c r="S76" s="18">
        <f t="shared" si="61"/>
        <v>8.8677505133124557E-2</v>
      </c>
      <c r="T76" s="18">
        <f t="shared" si="61"/>
        <v>0.1067441020643396</v>
      </c>
      <c r="U76" s="18">
        <f t="shared" si="61"/>
        <v>7.9590270793757023E-2</v>
      </c>
      <c r="V76" s="18">
        <f t="shared" si="61"/>
        <v>9.6346712779846522E-2</v>
      </c>
      <c r="W76" s="18"/>
      <c r="X76" s="18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spans="2:60" x14ac:dyDescent="0.25">
      <c r="B77" s="17" t="s">
        <v>14</v>
      </c>
      <c r="C77" s="23"/>
      <c r="D77" s="23"/>
      <c r="E77" s="18">
        <f t="shared" ref="E77:H77" si="62">E42/C42-1</f>
        <v>0.22784810126582289</v>
      </c>
      <c r="F77" s="18">
        <f t="shared" si="62"/>
        <v>-1</v>
      </c>
      <c r="G77" s="18">
        <f t="shared" si="62"/>
        <v>-1</v>
      </c>
      <c r="H77" s="18" t="e">
        <f t="shared" si="62"/>
        <v>#DIV/0!</v>
      </c>
      <c r="I77" s="23"/>
      <c r="J77" s="23"/>
      <c r="K77" s="18">
        <f t="shared" si="54"/>
        <v>0.38430983118172768</v>
      </c>
      <c r="L77" s="18">
        <f t="shared" si="54"/>
        <v>0.19775227164036346</v>
      </c>
      <c r="M77" s="18">
        <f t="shared" si="54"/>
        <v>-0.15432222000399276</v>
      </c>
      <c r="N77" s="18">
        <f t="shared" si="54"/>
        <v>0.73040604343720483</v>
      </c>
      <c r="O77" s="18">
        <f t="shared" si="54"/>
        <v>0.55388813096862211</v>
      </c>
      <c r="P77" s="18">
        <f t="shared" si="54"/>
        <v>0.3766461808604038</v>
      </c>
      <c r="Q77" s="18">
        <f t="shared" ref="Q77:V77" si="63">Q42/P42-1</f>
        <v>0.23788265306122458</v>
      </c>
      <c r="R77" s="18">
        <f t="shared" si="63"/>
        <v>0.3947081425414205</v>
      </c>
      <c r="S77" s="18">
        <f t="shared" si="63"/>
        <v>0.25616635207668215</v>
      </c>
      <c r="T77" s="18">
        <f t="shared" si="63"/>
        <v>0.18052704220196203</v>
      </c>
      <c r="U77" s="18">
        <f t="shared" si="63"/>
        <v>7.9590270793757023E-2</v>
      </c>
      <c r="V77" s="18">
        <f t="shared" si="63"/>
        <v>9.6346712779846522E-2</v>
      </c>
      <c r="W77" s="18"/>
      <c r="X77" s="18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spans="2:60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0">
        <f t="shared" ref="K78:P78" si="64">K44/J44-1</f>
        <v>-0.11710396247504473</v>
      </c>
      <c r="L78" s="20">
        <f t="shared" si="64"/>
        <v>0.16233205514738169</v>
      </c>
      <c r="M78" s="20">
        <f t="shared" si="64"/>
        <v>-0.17523215915887558</v>
      </c>
      <c r="N78" s="20">
        <f t="shared" si="64"/>
        <v>0.34692600112975391</v>
      </c>
      <c r="O78" s="20">
        <f t="shared" si="64"/>
        <v>0.15335789175403791</v>
      </c>
      <c r="P78" s="20">
        <f t="shared" si="64"/>
        <v>-3.8573043093705461E-2</v>
      </c>
      <c r="Q78" s="20">
        <f t="shared" ref="Q78" si="65">Q44/P44-1</f>
        <v>-0.12123070632730248</v>
      </c>
      <c r="R78" s="20">
        <f t="shared" ref="R78" si="66">R44/Q44-1</f>
        <v>0.21112396304296532</v>
      </c>
      <c r="S78" s="20">
        <f t="shared" ref="S78" si="67">S44/R44-1</f>
        <v>8.8677505133124557E-2</v>
      </c>
      <c r="T78" s="20">
        <f t="shared" ref="T78" si="68">T44/S44-1</f>
        <v>0.10674410206433937</v>
      </c>
      <c r="U78" s="20">
        <f t="shared" ref="U78" si="69">U44/T44-1</f>
        <v>7.9590270793757023E-2</v>
      </c>
      <c r="V78" s="20">
        <f t="shared" ref="V78" si="70">V44/U44-1</f>
        <v>9.6346712779846522E-2</v>
      </c>
      <c r="W78" s="18"/>
      <c r="X78" s="18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2:60" x14ac:dyDescent="0.25">
      <c r="B79" s="17" t="s">
        <v>55</v>
      </c>
      <c r="C79" s="18">
        <f t="shared" ref="C79:D79" si="71">C46/C44</f>
        <v>0.76270350271336951</v>
      </c>
      <c r="D79" s="18">
        <f t="shared" si="71"/>
        <v>0.7631216201887393</v>
      </c>
      <c r="E79" s="18">
        <f>E46/E44</f>
        <v>0.74384564204923487</v>
      </c>
      <c r="F79" s="18" t="e">
        <f t="shared" ref="F79:H79" si="72">F46/F44</f>
        <v>#DIV/0!</v>
      </c>
      <c r="G79" s="18" t="e">
        <f t="shared" si="72"/>
        <v>#DIV/0!</v>
      </c>
      <c r="H79" s="18" t="e">
        <f t="shared" si="72"/>
        <v>#DIV/0!</v>
      </c>
      <c r="I79" s="23"/>
      <c r="J79" s="18">
        <f t="shared" ref="J79" si="73">J46/J44</f>
        <v>0.65468383545358799</v>
      </c>
      <c r="K79" s="18">
        <f t="shared" ref="K79:P79" si="74">K46/K44</f>
        <v>0.74628984573954282</v>
      </c>
      <c r="L79" s="18">
        <f t="shared" si="74"/>
        <v>0.74133534800264422</v>
      </c>
      <c r="M79" s="18">
        <f t="shared" si="74"/>
        <v>0.72591258148730553</v>
      </c>
      <c r="N79" s="18">
        <f t="shared" si="74"/>
        <v>0.74060640408047607</v>
      </c>
      <c r="O79" s="18">
        <f t="shared" si="74"/>
        <v>0.74679376934794361</v>
      </c>
      <c r="P79" s="18">
        <f t="shared" si="74"/>
        <v>0.76290503935398135</v>
      </c>
      <c r="Q79" s="18">
        <f t="shared" ref="Q79:V79" si="75">Q46/Q44</f>
        <v>0.73752471792485752</v>
      </c>
      <c r="R79" s="18">
        <f t="shared" si="75"/>
        <v>0</v>
      </c>
      <c r="S79" s="18">
        <f t="shared" si="75"/>
        <v>0</v>
      </c>
      <c r="T79" s="18">
        <f t="shared" si="75"/>
        <v>0</v>
      </c>
      <c r="U79" s="18">
        <f t="shared" si="75"/>
        <v>0</v>
      </c>
      <c r="V79" s="18">
        <f t="shared" si="75"/>
        <v>0</v>
      </c>
      <c r="W79" s="18"/>
      <c r="X79" s="18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2:60" x14ac:dyDescent="0.25">
      <c r="B80" s="17" t="s">
        <v>11</v>
      </c>
      <c r="C80" s="18">
        <f t="shared" ref="C80:D80" si="76">C50/C38</f>
        <v>0.35296411856474258</v>
      </c>
      <c r="D80" s="18">
        <f t="shared" si="76"/>
        <v>0.30642781875658587</v>
      </c>
      <c r="E80" s="18">
        <f>E50/E38</f>
        <v>0.24651162790697675</v>
      </c>
      <c r="F80" s="18" t="e">
        <f t="shared" ref="F80:H80" si="77">F50/F38</f>
        <v>#DIV/0!</v>
      </c>
      <c r="G80" s="18" t="e">
        <f t="shared" si="77"/>
        <v>#DIV/0!</v>
      </c>
      <c r="H80" s="18" t="e">
        <f t="shared" si="77"/>
        <v>#DIV/0!</v>
      </c>
      <c r="I80" s="23"/>
      <c r="J80" s="18">
        <f t="shared" ref="J80" si="78">J50/J38</f>
        <v>0.34197391724360005</v>
      </c>
      <c r="K80" s="18">
        <f t="shared" ref="K80:P84" si="79">K50/K38</f>
        <v>0.39529269764634883</v>
      </c>
      <c r="L80" s="18">
        <f t="shared" si="79"/>
        <v>0.4099227285945744</v>
      </c>
      <c r="M80" s="18">
        <f t="shared" si="79"/>
        <v>0.35138295298766226</v>
      </c>
      <c r="N80" s="18">
        <f t="shared" si="79"/>
        <v>0.3817696023019217</v>
      </c>
      <c r="O80" s="18">
        <f t="shared" si="79"/>
        <v>0.35586917135501095</v>
      </c>
      <c r="P80" s="18">
        <f t="shared" si="79"/>
        <v>0.33059860224855669</v>
      </c>
      <c r="Q80" s="18">
        <f t="shared" ref="Q80:V80" si="80">Q50/Q38</f>
        <v>0.20980392156862746</v>
      </c>
      <c r="R80" s="18">
        <f t="shared" si="80"/>
        <v>0</v>
      </c>
      <c r="S80" s="18">
        <f t="shared" si="80"/>
        <v>0</v>
      </c>
      <c r="T80" s="18">
        <f t="shared" si="80"/>
        <v>0</v>
      </c>
      <c r="U80" s="18">
        <f t="shared" si="80"/>
        <v>0</v>
      </c>
      <c r="V80" s="18">
        <f t="shared" si="80"/>
        <v>0</v>
      </c>
      <c r="W80" s="18"/>
      <c r="X80" s="18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spans="1:60" x14ac:dyDescent="0.25">
      <c r="B81" s="17" t="s">
        <v>12</v>
      </c>
      <c r="C81" s="18">
        <f t="shared" ref="C81:D84" si="81">C51/C39</f>
        <v>0.30520304568527917</v>
      </c>
      <c r="D81" s="18">
        <f t="shared" si="81"/>
        <v>0.30442919525888956</v>
      </c>
      <c r="E81" s="18">
        <f>E51/E39</f>
        <v>0.21929215822345594</v>
      </c>
      <c r="F81" s="18" t="e">
        <f t="shared" ref="F81:H84" si="82">F51/F39</f>
        <v>#DIV/0!</v>
      </c>
      <c r="G81" s="18" t="e">
        <f t="shared" si="82"/>
        <v>#DIV/0!</v>
      </c>
      <c r="H81" s="18" t="e">
        <f t="shared" si="82"/>
        <v>#DIV/0!</v>
      </c>
      <c r="I81" s="23"/>
      <c r="J81" s="18">
        <f t="shared" ref="J81" si="83">J51/J39</f>
        <v>0.25099866844207724</v>
      </c>
      <c r="K81" s="18">
        <f t="shared" si="79"/>
        <v>0.2631880733944954</v>
      </c>
      <c r="L81" s="18">
        <f t="shared" si="79"/>
        <v>0.27436435508271928</v>
      </c>
      <c r="M81" s="18">
        <f t="shared" si="79"/>
        <v>0.22930520522815867</v>
      </c>
      <c r="N81" s="18">
        <f t="shared" si="79"/>
        <v>0.28361761205870684</v>
      </c>
      <c r="O81" s="18">
        <f t="shared" si="79"/>
        <v>0.30878787878787878</v>
      </c>
      <c r="P81" s="18">
        <f t="shared" si="79"/>
        <v>0.30481283422459893</v>
      </c>
      <c r="Q81" s="18">
        <f t="shared" ref="Q81:V81" si="84">Q51/Q39</f>
        <v>0.205831308573412</v>
      </c>
      <c r="R81" s="18">
        <f t="shared" si="84"/>
        <v>0</v>
      </c>
      <c r="S81" s="18">
        <f t="shared" si="84"/>
        <v>0</v>
      </c>
      <c r="T81" s="18">
        <f t="shared" si="84"/>
        <v>0</v>
      </c>
      <c r="U81" s="18">
        <f t="shared" si="84"/>
        <v>0</v>
      </c>
      <c r="V81" s="18">
        <f t="shared" si="84"/>
        <v>0</v>
      </c>
      <c r="W81" s="18"/>
      <c r="X81" s="18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spans="1:60" x14ac:dyDescent="0.25">
      <c r="B82" s="17" t="s">
        <v>31</v>
      </c>
      <c r="C82" s="18">
        <f t="shared" si="81"/>
        <v>0.2028811524609844</v>
      </c>
      <c r="D82" s="18">
        <f t="shared" si="81"/>
        <v>0.17610837438423646</v>
      </c>
      <c r="E82" s="18">
        <f>E52/E40</f>
        <v>0.14473684210526316</v>
      </c>
      <c r="F82" s="18" t="e">
        <f t="shared" si="82"/>
        <v>#DIV/0!</v>
      </c>
      <c r="G82" s="18" t="e">
        <f t="shared" si="82"/>
        <v>#DIV/0!</v>
      </c>
      <c r="H82" s="18" t="e">
        <f t="shared" si="82"/>
        <v>#DIV/0!</v>
      </c>
      <c r="I82" s="23"/>
      <c r="J82" s="18">
        <f t="shared" ref="J82" si="85">J52/J40</f>
        <v>0.25</v>
      </c>
      <c r="K82" s="18">
        <f t="shared" si="79"/>
        <v>0.218214607754734</v>
      </c>
      <c r="L82" s="18">
        <f t="shared" si="79"/>
        <v>0.18430969510106202</v>
      </c>
      <c r="M82" s="18">
        <f t="shared" si="79"/>
        <v>0.14211352557217219</v>
      </c>
      <c r="N82" s="18">
        <f t="shared" si="79"/>
        <v>0.19028609447771125</v>
      </c>
      <c r="O82" s="18">
        <f t="shared" si="79"/>
        <v>0.2103448275862069</v>
      </c>
      <c r="P82" s="18">
        <f t="shared" si="79"/>
        <v>0.18966565349544073</v>
      </c>
      <c r="Q82" s="18">
        <f t="shared" ref="Q82:V82" si="86">Q52/Q40</f>
        <v>0.14886164623467601</v>
      </c>
      <c r="R82" s="18">
        <f t="shared" si="86"/>
        <v>0</v>
      </c>
      <c r="S82" s="18">
        <f t="shared" si="86"/>
        <v>0</v>
      </c>
      <c r="T82" s="18">
        <f t="shared" si="86"/>
        <v>0</v>
      </c>
      <c r="U82" s="18">
        <f t="shared" si="86"/>
        <v>0</v>
      </c>
      <c r="V82" s="18">
        <f t="shared" si="86"/>
        <v>0</v>
      </c>
      <c r="W82" s="18"/>
      <c r="X82" s="18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spans="1:60" x14ac:dyDescent="0.25">
      <c r="B83" s="17" t="s">
        <v>32</v>
      </c>
      <c r="C83" s="18">
        <f t="shared" si="81"/>
        <v>0.1206896551724138</v>
      </c>
      <c r="D83" s="18">
        <f t="shared" si="81"/>
        <v>-7.2376357056694813E-3</v>
      </c>
      <c r="E83" s="18">
        <f>E53/E41</f>
        <v>2.5626092020966801E-2</v>
      </c>
      <c r="F83" s="18" t="e">
        <f t="shared" si="82"/>
        <v>#DIV/0!</v>
      </c>
      <c r="G83" s="18" t="e">
        <f t="shared" si="82"/>
        <v>#DIV/0!</v>
      </c>
      <c r="H83" s="18" t="e">
        <f t="shared" si="82"/>
        <v>#DIV/0!</v>
      </c>
      <c r="I83" s="23"/>
      <c r="J83" s="18">
        <f t="shared" ref="J83" si="87">J53/J41</f>
        <v>6.1576354679802957E-2</v>
      </c>
      <c r="K83" s="18">
        <f t="shared" si="79"/>
        <v>0.10194404931247036</v>
      </c>
      <c r="L83" s="18">
        <f t="shared" si="79"/>
        <v>0.12520197044334974</v>
      </c>
      <c r="M83" s="18">
        <f t="shared" si="79"/>
        <v>7.9165388155876024E-2</v>
      </c>
      <c r="N83" s="18">
        <f t="shared" si="79"/>
        <v>0.13972602739726028</v>
      </c>
      <c r="O83" s="18">
        <f t="shared" si="79"/>
        <v>0.14403717088280846</v>
      </c>
      <c r="P83" s="18">
        <f t="shared" si="79"/>
        <v>6.033010813887308E-2</v>
      </c>
      <c r="Q83" s="18">
        <f t="shared" ref="Q83:V83" si="88">Q53/Q41</f>
        <v>-2.7941633033219497E-3</v>
      </c>
      <c r="R83" s="18">
        <f t="shared" si="88"/>
        <v>0</v>
      </c>
      <c r="S83" s="18">
        <f t="shared" si="88"/>
        <v>0</v>
      </c>
      <c r="T83" s="18">
        <f t="shared" si="88"/>
        <v>0</v>
      </c>
      <c r="U83" s="18">
        <f t="shared" si="88"/>
        <v>0</v>
      </c>
      <c r="V83" s="18">
        <f t="shared" si="88"/>
        <v>0</v>
      </c>
      <c r="W83" s="18"/>
      <c r="X83" s="18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x14ac:dyDescent="0.25">
      <c r="B84" s="17" t="s">
        <v>14</v>
      </c>
      <c r="C84" s="18">
        <f t="shared" si="81"/>
        <v>7.2497123130034521E-2</v>
      </c>
      <c r="D84" s="18">
        <f t="shared" si="81"/>
        <v>-0.10014306151645208</v>
      </c>
      <c r="E84" s="18">
        <f>E54/E42</f>
        <v>9.4657919400187446E-2</v>
      </c>
      <c r="F84" s="18" t="e">
        <f t="shared" si="82"/>
        <v>#DIV/0!</v>
      </c>
      <c r="G84" s="18" t="e">
        <f t="shared" si="82"/>
        <v>#DIV/0!</v>
      </c>
      <c r="H84" s="18" t="e">
        <f t="shared" si="82"/>
        <v>#DIV/0!</v>
      </c>
      <c r="I84" s="23"/>
      <c r="J84" s="18">
        <f t="shared" ref="J84" si="89">J54/J42</f>
        <v>-0.67626613704071503</v>
      </c>
      <c r="K84" s="18">
        <f t="shared" si="79"/>
        <v>-0.5911047345767575</v>
      </c>
      <c r="L84" s="18">
        <f t="shared" si="79"/>
        <v>-0.52645238570572972</v>
      </c>
      <c r="M84" s="18">
        <f t="shared" si="79"/>
        <v>-0.5474504249291785</v>
      </c>
      <c r="N84" s="18">
        <f t="shared" si="79"/>
        <v>-0.22373806275579808</v>
      </c>
      <c r="O84" s="18">
        <f t="shared" si="79"/>
        <v>-7.7260755048287971E-2</v>
      </c>
      <c r="P84" s="18">
        <f t="shared" si="79"/>
        <v>-4.464285714285714E-3</v>
      </c>
      <c r="Q84" s="18">
        <f t="shared" ref="Q84:V84" si="90">Q54/Q42</f>
        <v>5.7702215352910868E-2</v>
      </c>
      <c r="R84" s="18">
        <f t="shared" si="90"/>
        <v>0</v>
      </c>
      <c r="S84" s="18">
        <f t="shared" si="90"/>
        <v>0</v>
      </c>
      <c r="T84" s="18">
        <f t="shared" si="90"/>
        <v>0</v>
      </c>
      <c r="U84" s="18">
        <f t="shared" si="90"/>
        <v>0</v>
      </c>
      <c r="V84" s="18">
        <f t="shared" si="90"/>
        <v>0</v>
      </c>
      <c r="W84" s="18"/>
      <c r="X84" s="18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spans="1:60" x14ac:dyDescent="0.25">
      <c r="B85" s="19" t="s">
        <v>56</v>
      </c>
      <c r="C85" s="18">
        <f t="shared" ref="C85:D85" si="91">C56/C44</f>
        <v>0.27025160335471138</v>
      </c>
      <c r="D85" s="18">
        <f t="shared" si="91"/>
        <v>0.21280882197009862</v>
      </c>
      <c r="E85" s="18">
        <f>E56/E44</f>
        <v>0.17542692392991793</v>
      </c>
      <c r="F85" s="18" t="e">
        <f t="shared" ref="F85:H85" si="92">F56/F44</f>
        <v>#DIV/0!</v>
      </c>
      <c r="G85" s="18" t="e">
        <f t="shared" si="92"/>
        <v>#DIV/0!</v>
      </c>
      <c r="H85" s="18" t="e">
        <f t="shared" si="92"/>
        <v>#DIV/0!</v>
      </c>
      <c r="I85" s="23"/>
      <c r="J85" s="18">
        <f t="shared" ref="J85" si="93">J56/J44</f>
        <v>0.19046757593182448</v>
      </c>
      <c r="K85" s="18">
        <f t="shared" ref="K85:P85" si="94">K56/K44</f>
        <v>0.28860170359745924</v>
      </c>
      <c r="L85" s="18">
        <f t="shared" si="94"/>
        <v>0.30083419901155289</v>
      </c>
      <c r="M85" s="18">
        <f t="shared" si="94"/>
        <v>0.23932459046426774</v>
      </c>
      <c r="N85" s="18">
        <f t="shared" si="94"/>
        <v>0.28432983848115612</v>
      </c>
      <c r="O85" s="18">
        <f t="shared" si="94"/>
        <v>0.27463023930028008</v>
      </c>
      <c r="P85" s="18">
        <f t="shared" si="94"/>
        <v>0.24256363078810181</v>
      </c>
      <c r="Q85" s="18">
        <f t="shared" ref="Q85:V85" si="95">Q56/Q44</f>
        <v>0.14854018843782715</v>
      </c>
      <c r="R85" s="18">
        <f t="shared" si="95"/>
        <v>0</v>
      </c>
      <c r="S85" s="18">
        <f t="shared" si="95"/>
        <v>0</v>
      </c>
      <c r="T85" s="18">
        <f t="shared" si="95"/>
        <v>0</v>
      </c>
      <c r="U85" s="18">
        <f t="shared" si="95"/>
        <v>0</v>
      </c>
      <c r="V85" s="18">
        <f t="shared" si="95"/>
        <v>0</v>
      </c>
      <c r="W85" s="18"/>
      <c r="X85" s="1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spans="1:60" x14ac:dyDescent="0.25">
      <c r="B86" s="17" t="s">
        <v>57</v>
      </c>
      <c r="C86" s="18">
        <f t="shared" ref="C86:D86" si="96">C61/C60</f>
        <v>0.27297830374753451</v>
      </c>
      <c r="D86" s="18">
        <f t="shared" si="96"/>
        <v>0.27738515901060068</v>
      </c>
      <c r="E86" s="18">
        <f>E61/E60</f>
        <v>0.26932084309133492</v>
      </c>
      <c r="F86" s="18" t="e">
        <f t="shared" ref="F86:H86" si="97">F61/F60</f>
        <v>#DIV/0!</v>
      </c>
      <c r="G86" s="18" t="e">
        <f t="shared" si="97"/>
        <v>#DIV/0!</v>
      </c>
      <c r="H86" s="18" t="e">
        <f t="shared" si="97"/>
        <v>#DIV/0!</v>
      </c>
      <c r="I86" s="23"/>
      <c r="J86" s="18">
        <f t="shared" ref="J86" si="98">J61/J60</f>
        <v>0.23988310265048501</v>
      </c>
      <c r="K86" s="18">
        <f t="shared" ref="K86:P86" si="99">K61/K60</f>
        <v>0.24691955265928689</v>
      </c>
      <c r="L86" s="18">
        <f t="shared" si="99"/>
        <v>0.49617468548705895</v>
      </c>
      <c r="M86" s="18">
        <f t="shared" si="99"/>
        <v>0.25679012345679014</v>
      </c>
      <c r="N86" s="18">
        <f t="shared" si="99"/>
        <v>0.28302387267904511</v>
      </c>
      <c r="O86" s="18">
        <f t="shared" si="99"/>
        <v>0.2765335929892892</v>
      </c>
      <c r="P86" s="18">
        <f t="shared" si="99"/>
        <v>0.27474604299551147</v>
      </c>
      <c r="Q86" s="18">
        <f t="shared" ref="Q86:V86" si="100">Q61/Q60</f>
        <v>0.27149587750294463</v>
      </c>
      <c r="R86" s="18" t="e">
        <f t="shared" si="100"/>
        <v>#DIV/0!</v>
      </c>
      <c r="S86" s="18" t="e">
        <f t="shared" si="100"/>
        <v>#DIV/0!</v>
      </c>
      <c r="T86" s="18" t="e">
        <f t="shared" si="100"/>
        <v>#DIV/0!</v>
      </c>
      <c r="U86" s="18" t="e">
        <f t="shared" si="100"/>
        <v>#DIV/0!</v>
      </c>
      <c r="V86" s="18" t="e">
        <f t="shared" si="100"/>
        <v>#DIV/0!</v>
      </c>
      <c r="W86" s="18"/>
      <c r="X86" s="18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spans="1:6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spans="1:60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spans="1:60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spans="1:60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spans="1:60" x14ac:dyDescent="0.25">
      <c r="B91" t="s">
        <v>59</v>
      </c>
      <c r="C91" s="23"/>
      <c r="D91" s="23"/>
      <c r="E91" s="23">
        <v>7090</v>
      </c>
      <c r="F91" s="23"/>
      <c r="G91" s="23"/>
      <c r="H91" s="23"/>
      <c r="I91" s="23"/>
      <c r="J91" s="23">
        <v>3421.2</v>
      </c>
      <c r="K91" s="23">
        <v>2399.1999999999998</v>
      </c>
      <c r="L91" s="23">
        <v>2525.9</v>
      </c>
      <c r="M91" s="23">
        <v>2452.1999999999998</v>
      </c>
      <c r="N91" s="23">
        <v>2891</v>
      </c>
      <c r="O91" s="23">
        <v>4053</v>
      </c>
      <c r="P91" s="23">
        <v>7112</v>
      </c>
      <c r="Q91" s="23">
        <v>6277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spans="1:60" x14ac:dyDescent="0.25">
      <c r="B92" t="s">
        <v>336</v>
      </c>
      <c r="C92" s="23"/>
      <c r="D92" s="23"/>
      <c r="E92" s="23">
        <v>8185</v>
      </c>
      <c r="F92" s="23"/>
      <c r="G92" s="23"/>
      <c r="H92" s="23"/>
      <c r="I92" s="23"/>
      <c r="J92" s="23">
        <v>11159</v>
      </c>
      <c r="K92" s="23">
        <v>7393.6</v>
      </c>
      <c r="L92" s="23">
        <v>7260.5</v>
      </c>
      <c r="M92" s="23">
        <v>6985.8</v>
      </c>
      <c r="N92" s="23">
        <v>7032</v>
      </c>
      <c r="O92" s="23">
        <v>7357</v>
      </c>
      <c r="P92" s="23">
        <v>8178</v>
      </c>
      <c r="Q92" s="23">
        <v>9287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spans="1:60" x14ac:dyDescent="0.25">
      <c r="B93" t="s">
        <v>60</v>
      </c>
      <c r="C93" s="23"/>
      <c r="D93" s="23"/>
      <c r="E93" s="23">
        <v>5098</v>
      </c>
      <c r="F93" s="23"/>
      <c r="G93" s="23"/>
      <c r="H93" s="23"/>
      <c r="I93" s="23"/>
      <c r="J93" s="23">
        <v>0</v>
      </c>
      <c r="K93" s="23">
        <v>0</v>
      </c>
      <c r="L93" s="23">
        <v>4246.7</v>
      </c>
      <c r="M93" s="23">
        <v>3956.8</v>
      </c>
      <c r="N93" s="23">
        <v>4302</v>
      </c>
      <c r="O93" s="23">
        <v>4929</v>
      </c>
      <c r="P93" s="23">
        <v>4984</v>
      </c>
      <c r="Q93" s="23">
        <v>5615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spans="1:60" x14ac:dyDescent="0.25">
      <c r="B94" t="s">
        <v>61</v>
      </c>
      <c r="C94" s="23"/>
      <c r="D94" s="23"/>
      <c r="E94" s="23">
        <v>6314</v>
      </c>
      <c r="F94" s="23"/>
      <c r="G94" s="23"/>
      <c r="H94" s="23"/>
      <c r="I94" s="23"/>
      <c r="J94" s="23">
        <v>2267.6</v>
      </c>
      <c r="K94" s="23">
        <v>2228.5</v>
      </c>
      <c r="L94" s="23">
        <v>2619.3000000000002</v>
      </c>
      <c r="M94" s="23">
        <v>2670.2</v>
      </c>
      <c r="N94" s="23">
        <v>2967</v>
      </c>
      <c r="O94" s="23">
        <v>3388</v>
      </c>
      <c r="P94" s="23">
        <v>5341</v>
      </c>
      <c r="Q94" s="23">
        <v>6537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spans="1:60" x14ac:dyDescent="0.25">
      <c r="B95" t="s">
        <v>337</v>
      </c>
      <c r="C95" s="23"/>
      <c r="D95" s="23"/>
      <c r="E95" s="23">
        <v>1775</v>
      </c>
      <c r="F95" s="23"/>
      <c r="G95" s="23"/>
      <c r="H95" s="23"/>
      <c r="I95" s="23"/>
      <c r="J95" s="23">
        <v>48.6</v>
      </c>
      <c r="K95" s="23">
        <v>1074.7</v>
      </c>
      <c r="L95" s="23">
        <v>1105.3</v>
      </c>
      <c r="M95" s="23">
        <v>36.200000000000003</v>
      </c>
      <c r="N95" s="23">
        <v>31</v>
      </c>
      <c r="O95" s="23">
        <v>49</v>
      </c>
      <c r="P95" s="23">
        <v>1750</v>
      </c>
      <c r="Q95" s="23">
        <v>1762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spans="1:60" x14ac:dyDescent="0.25">
      <c r="B96" t="s">
        <v>62</v>
      </c>
      <c r="C96" s="23"/>
      <c r="D96" s="23"/>
      <c r="E96" s="23">
        <v>483</v>
      </c>
      <c r="F96" s="23"/>
      <c r="G96" s="23"/>
      <c r="H96" s="23"/>
      <c r="I96" s="23"/>
      <c r="J96" s="23">
        <v>364.3</v>
      </c>
      <c r="K96" s="23">
        <v>336.3</v>
      </c>
      <c r="L96" s="23">
        <v>458.4</v>
      </c>
      <c r="M96" s="23">
        <v>1688.6</v>
      </c>
      <c r="N96" s="23">
        <v>1054</v>
      </c>
      <c r="O96" s="23">
        <v>855</v>
      </c>
      <c r="P96" s="23">
        <v>536</v>
      </c>
      <c r="Q96" s="23">
        <v>492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spans="2:60" x14ac:dyDescent="0.25">
      <c r="B97" t="s">
        <v>63</v>
      </c>
      <c r="C97" s="23"/>
      <c r="D97" s="23"/>
      <c r="E97" s="23">
        <v>1507</v>
      </c>
      <c r="F97" s="23"/>
      <c r="G97" s="23"/>
      <c r="H97" s="23"/>
      <c r="I97" s="23"/>
      <c r="J97" s="23">
        <v>964.6</v>
      </c>
      <c r="K97" s="23">
        <v>830.1</v>
      </c>
      <c r="L97" s="23">
        <v>1367.6</v>
      </c>
      <c r="M97" s="23">
        <v>1177.4000000000001</v>
      </c>
      <c r="N97" s="23">
        <v>1352</v>
      </c>
      <c r="O97" s="23">
        <v>1640</v>
      </c>
      <c r="P97" s="23">
        <v>1520</v>
      </c>
      <c r="Q97" s="23">
        <v>1651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spans="2:60" x14ac:dyDescent="0.25">
      <c r="B98" t="s">
        <v>64</v>
      </c>
      <c r="C98" s="23"/>
      <c r="D98" s="23"/>
      <c r="E98" s="23">
        <v>35</v>
      </c>
      <c r="F98" s="23"/>
      <c r="G98" s="23"/>
      <c r="H98" s="23"/>
      <c r="I98" s="23"/>
      <c r="J98" s="23">
        <v>35.4</v>
      </c>
      <c r="K98" s="23">
        <v>34.200000000000003</v>
      </c>
      <c r="L98" s="23">
        <v>18.8</v>
      </c>
      <c r="M98" s="23">
        <v>17.399999999999999</v>
      </c>
      <c r="N98" s="23">
        <v>6</v>
      </c>
      <c r="O98" s="23">
        <v>8</v>
      </c>
      <c r="P98" s="23">
        <v>16</v>
      </c>
      <c r="Q98" s="23">
        <v>27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spans="2:60" x14ac:dyDescent="0.25">
      <c r="B99" s="1" t="s">
        <v>65</v>
      </c>
      <c r="C99" s="25">
        <f t="shared" ref="C99:D99" si="101">+SUM(C91:C98)</f>
        <v>0</v>
      </c>
      <c r="D99" s="25">
        <f t="shared" si="101"/>
        <v>0</v>
      </c>
      <c r="E99" s="25">
        <f>+SUM(E91:E98)</f>
        <v>30487</v>
      </c>
      <c r="F99" s="25">
        <f t="shared" ref="F99:H99" si="102">+SUM(F91:F98)</f>
        <v>0</v>
      </c>
      <c r="G99" s="25">
        <f t="shared" si="102"/>
        <v>0</v>
      </c>
      <c r="H99" s="25">
        <f t="shared" si="102"/>
        <v>0</v>
      </c>
      <c r="I99" s="23"/>
      <c r="J99" s="25">
        <v>18260.699999999997</v>
      </c>
      <c r="K99" s="25">
        <v>14296.6</v>
      </c>
      <c r="L99" s="25">
        <v>19602.499999999996</v>
      </c>
      <c r="M99" s="25">
        <v>18984.600000000002</v>
      </c>
      <c r="N99" s="25">
        <v>19635</v>
      </c>
      <c r="O99" s="25">
        <v>22279</v>
      </c>
      <c r="P99" s="25">
        <f>SUM(P91:P98)</f>
        <v>29437</v>
      </c>
      <c r="Q99" s="25">
        <f>SUM(Q91:Q98)</f>
        <v>31648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spans="2:60" x14ac:dyDescent="0.25">
      <c r="B100" t="s">
        <v>66</v>
      </c>
      <c r="C100" s="23"/>
      <c r="D100" s="23"/>
      <c r="E100" s="23">
        <v>4346</v>
      </c>
      <c r="F100" s="23"/>
      <c r="G100" s="23"/>
      <c r="H100" s="23"/>
      <c r="I100" s="23"/>
      <c r="J100" s="23">
        <v>2699.1</v>
      </c>
      <c r="K100" s="23">
        <v>2414.6999999999998</v>
      </c>
      <c r="L100" s="23">
        <v>2959.2</v>
      </c>
      <c r="M100" s="23">
        <v>2845.5</v>
      </c>
      <c r="N100" s="23">
        <v>3369</v>
      </c>
      <c r="O100" s="23">
        <v>4465</v>
      </c>
      <c r="P100" s="23">
        <v>4550</v>
      </c>
      <c r="Q100" s="23">
        <v>3992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spans="2:60" x14ac:dyDescent="0.25">
      <c r="B101" t="s">
        <v>338</v>
      </c>
      <c r="C101" s="23"/>
      <c r="D101" s="23"/>
      <c r="E101" s="23">
        <v>1155</v>
      </c>
      <c r="F101" s="23"/>
      <c r="G101" s="23"/>
      <c r="H101" s="23"/>
      <c r="I101" s="23"/>
      <c r="J101" s="23">
        <v>1366.5</v>
      </c>
      <c r="K101" s="23">
        <v>849.5</v>
      </c>
      <c r="L101" s="23">
        <v>996</v>
      </c>
      <c r="M101" s="23">
        <v>824.2</v>
      </c>
      <c r="N101" s="23">
        <v>977</v>
      </c>
      <c r="O101" s="23">
        <v>1180</v>
      </c>
      <c r="P101" s="23">
        <v>1151</v>
      </c>
      <c r="Q101" s="23">
        <v>1003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spans="2:60" x14ac:dyDescent="0.25">
      <c r="B102" t="s">
        <v>67</v>
      </c>
      <c r="C102" s="23"/>
      <c r="D102" s="23"/>
      <c r="E102" s="23">
        <v>762</v>
      </c>
      <c r="F102" s="23"/>
      <c r="G102" s="23"/>
      <c r="H102" s="23"/>
      <c r="I102" s="23"/>
      <c r="J102" s="23">
        <v>78.599999999999994</v>
      </c>
      <c r="K102" s="23">
        <v>90.6</v>
      </c>
      <c r="L102" s="23">
        <v>280.7</v>
      </c>
      <c r="M102" s="23">
        <v>600.5</v>
      </c>
      <c r="N102" s="23">
        <v>822</v>
      </c>
      <c r="O102" s="23">
        <v>378</v>
      </c>
      <c r="P102" s="23">
        <v>765</v>
      </c>
      <c r="Q102" s="23">
        <v>680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spans="2:60" x14ac:dyDescent="0.25">
      <c r="B103" t="s">
        <v>68</v>
      </c>
      <c r="C103" s="23"/>
      <c r="D103" s="23"/>
      <c r="E103" s="23">
        <v>64</v>
      </c>
      <c r="F103" s="23"/>
      <c r="G103" s="23"/>
      <c r="H103" s="23"/>
      <c r="I103" s="23"/>
      <c r="J103" s="23">
        <v>155.6</v>
      </c>
      <c r="K103" s="23">
        <v>60.9</v>
      </c>
      <c r="L103" s="23">
        <v>38.4</v>
      </c>
      <c r="M103" s="23">
        <v>158</v>
      </c>
      <c r="N103" s="23">
        <v>22</v>
      </c>
      <c r="O103" s="23">
        <v>167</v>
      </c>
      <c r="P103" s="23">
        <v>136</v>
      </c>
      <c r="Q103" s="23">
        <v>42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spans="2:60" x14ac:dyDescent="0.25">
      <c r="B104" t="s">
        <v>69</v>
      </c>
      <c r="C104" s="23"/>
      <c r="D104" s="23"/>
      <c r="E104" s="23">
        <v>1404</v>
      </c>
      <c r="F104" s="23"/>
      <c r="G104" s="23"/>
      <c r="H104" s="23"/>
      <c r="I104" s="23"/>
      <c r="J104" s="23">
        <v>880.3</v>
      </c>
      <c r="K104" s="23">
        <v>899.5</v>
      </c>
      <c r="L104" s="23">
        <v>979.4</v>
      </c>
      <c r="M104" s="23">
        <v>1149.0999999999999</v>
      </c>
      <c r="N104" s="23">
        <v>975</v>
      </c>
      <c r="O104" s="23">
        <v>1136</v>
      </c>
      <c r="P104" s="23">
        <v>1406</v>
      </c>
      <c r="Q104" s="23">
        <v>1388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spans="2:60" x14ac:dyDescent="0.25">
      <c r="B105" t="s">
        <v>70</v>
      </c>
      <c r="C105" s="23"/>
      <c r="D105" s="23"/>
      <c r="E105" s="23">
        <v>3934</v>
      </c>
      <c r="F105" s="23"/>
      <c r="G105" s="23"/>
      <c r="H105" s="23"/>
      <c r="I105" s="23"/>
      <c r="J105" s="23">
        <v>2136.6</v>
      </c>
      <c r="K105" s="23">
        <v>2755.7</v>
      </c>
      <c r="L105" s="23">
        <v>2292</v>
      </c>
      <c r="M105" s="23">
        <v>3443.5</v>
      </c>
      <c r="N105" s="23">
        <v>5268</v>
      </c>
      <c r="O105" s="23">
        <v>4336</v>
      </c>
      <c r="P105" s="23">
        <v>3922</v>
      </c>
      <c r="Q105" s="23">
        <v>3518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spans="2:60" x14ac:dyDescent="0.25">
      <c r="B106" s="1" t="s">
        <v>71</v>
      </c>
      <c r="C106" s="25">
        <f t="shared" ref="C106:H106" si="103">+SUM(C100:C105)</f>
        <v>0</v>
      </c>
      <c r="D106" s="25">
        <f t="shared" si="103"/>
        <v>0</v>
      </c>
      <c r="E106" s="25">
        <f t="shared" si="103"/>
        <v>11665</v>
      </c>
      <c r="F106" s="25">
        <f t="shared" si="103"/>
        <v>0</v>
      </c>
      <c r="G106" s="25">
        <f t="shared" si="103"/>
        <v>0</v>
      </c>
      <c r="H106" s="25">
        <f t="shared" si="103"/>
        <v>0</v>
      </c>
      <c r="I106" s="23"/>
      <c r="J106" s="25">
        <v>7316.7000000000007</v>
      </c>
      <c r="K106" s="25">
        <v>7070.9</v>
      </c>
      <c r="L106" s="25">
        <v>7545.6999999999989</v>
      </c>
      <c r="M106" s="25">
        <v>9020.7999999999993</v>
      </c>
      <c r="N106" s="25">
        <v>11433</v>
      </c>
      <c r="O106" s="25">
        <v>11662</v>
      </c>
      <c r="P106" s="25">
        <f>SUM(P100:P105)</f>
        <v>11930</v>
      </c>
      <c r="Q106" s="25">
        <f>SUM(Q100:Q105)</f>
        <v>10623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spans="2:60" x14ac:dyDescent="0.25">
      <c r="B107" t="s">
        <v>493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/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1075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spans="2:60" x14ac:dyDescent="0.25">
      <c r="B108" s="1" t="s">
        <v>88</v>
      </c>
      <c r="C108" s="25">
        <f>+C106+C99+C107</f>
        <v>0</v>
      </c>
      <c r="D108" s="25">
        <f t="shared" ref="D108:H108" si="104">+D106+D99+D107</f>
        <v>0</v>
      </c>
      <c r="E108" s="25">
        <f t="shared" si="104"/>
        <v>42152</v>
      </c>
      <c r="F108" s="25">
        <f t="shared" si="104"/>
        <v>0</v>
      </c>
      <c r="G108" s="25">
        <f t="shared" si="104"/>
        <v>0</v>
      </c>
      <c r="H108" s="25">
        <f t="shared" si="104"/>
        <v>0</v>
      </c>
      <c r="I108" s="23"/>
      <c r="J108" s="25">
        <f t="shared" ref="J108" si="105">+J106+J99+J107</f>
        <v>25577.399999999998</v>
      </c>
      <c r="K108" s="25">
        <f t="shared" ref="K108" si="106">+K106+K99+K107</f>
        <v>21367.5</v>
      </c>
      <c r="L108" s="25">
        <f t="shared" ref="L108" si="107">+L106+L99+L107</f>
        <v>27148.199999999997</v>
      </c>
      <c r="M108" s="25">
        <f t="shared" ref="M108" si="108">+M106+M99+M107</f>
        <v>28005.4</v>
      </c>
      <c r="N108" s="25">
        <f t="shared" ref="N108" si="109">+N106+N99+N107</f>
        <v>31068</v>
      </c>
      <c r="O108" s="25">
        <f t="shared" ref="O108" si="110">+O106+O99+O107</f>
        <v>33941</v>
      </c>
      <c r="P108" s="25">
        <f t="shared" ref="P108" si="111">+P106+P99+P107</f>
        <v>41367</v>
      </c>
      <c r="Q108" s="25">
        <f t="shared" ref="Q108" si="112">+Q106+Q99+Q107</f>
        <v>43346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spans="2:60" x14ac:dyDescent="0.25">
      <c r="B109" s="1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spans="2:60" x14ac:dyDescent="0.25">
      <c r="B110" t="s">
        <v>340</v>
      </c>
      <c r="C110" s="23"/>
      <c r="D110" s="23"/>
      <c r="E110" s="23">
        <v>14901</v>
      </c>
      <c r="F110" s="23"/>
      <c r="G110" s="23"/>
      <c r="H110" s="23"/>
      <c r="I110" s="23"/>
      <c r="J110" s="23">
        <v>11948.2</v>
      </c>
      <c r="K110" s="23">
        <v>9905.9</v>
      </c>
      <c r="L110" s="23">
        <v>10278.1</v>
      </c>
      <c r="M110" s="23">
        <v>11820.9</v>
      </c>
      <c r="N110" s="23">
        <v>13347</v>
      </c>
      <c r="O110" s="23">
        <v>13998</v>
      </c>
      <c r="P110" s="23">
        <v>15212</v>
      </c>
      <c r="Q110" s="23">
        <v>14904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spans="2:60" x14ac:dyDescent="0.25">
      <c r="B111" t="s">
        <v>339</v>
      </c>
      <c r="C111" s="23"/>
      <c r="D111" s="23"/>
      <c r="E111" s="23">
        <v>849</v>
      </c>
      <c r="F111" s="23"/>
      <c r="G111" s="23"/>
      <c r="H111" s="23"/>
      <c r="I111" s="23"/>
      <c r="J111" s="23">
        <v>678.2</v>
      </c>
      <c r="K111" s="23">
        <v>155.69999999999999</v>
      </c>
      <c r="L111" s="23">
        <v>160.5</v>
      </c>
      <c r="M111" s="23">
        <v>214.1</v>
      </c>
      <c r="N111" s="23">
        <v>389</v>
      </c>
      <c r="O111" s="23">
        <v>785</v>
      </c>
      <c r="P111" s="23">
        <v>798</v>
      </c>
      <c r="Q111" s="23">
        <v>826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spans="2:60" x14ac:dyDescent="0.25">
      <c r="B112" s="1" t="s">
        <v>72</v>
      </c>
      <c r="C112" s="25">
        <f t="shared" ref="C112:D112" si="113">+SUM(C110:C111)</f>
        <v>0</v>
      </c>
      <c r="D112" s="25">
        <f t="shared" si="113"/>
        <v>0</v>
      </c>
      <c r="E112" s="25">
        <f>+SUM(E110:E111)</f>
        <v>15750</v>
      </c>
      <c r="F112" s="25">
        <f t="shared" ref="F112:H112" si="114">+SUM(F110:F111)</f>
        <v>0</v>
      </c>
      <c r="G112" s="25">
        <f t="shared" si="114"/>
        <v>0</v>
      </c>
      <c r="H112" s="25">
        <f t="shared" si="114"/>
        <v>0</v>
      </c>
      <c r="I112" s="23"/>
      <c r="J112" s="25">
        <v>12626.400000000001</v>
      </c>
      <c r="K112" s="25">
        <v>10061.6</v>
      </c>
      <c r="L112" s="25">
        <v>10438.6</v>
      </c>
      <c r="M112" s="25">
        <v>12035</v>
      </c>
      <c r="N112" s="25">
        <v>13736</v>
      </c>
      <c r="O112" s="25">
        <v>14783</v>
      </c>
      <c r="P112" s="25">
        <f>SUM(P110:P111)</f>
        <v>16010</v>
      </c>
      <c r="Q112" s="25">
        <f>SUM(Q110:Q111)</f>
        <v>15730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spans="2:60" x14ac:dyDescent="0.25">
      <c r="B113" t="s">
        <v>73</v>
      </c>
      <c r="C113" s="23"/>
      <c r="D113" s="23"/>
      <c r="E113" s="23">
        <v>11018</v>
      </c>
      <c r="F113" s="23"/>
      <c r="G113" s="23"/>
      <c r="H113" s="23"/>
      <c r="I113" s="23"/>
      <c r="J113" s="23">
        <v>4245.5</v>
      </c>
      <c r="K113" s="23">
        <v>3171.6</v>
      </c>
      <c r="L113" s="23">
        <v>3122.2</v>
      </c>
      <c r="M113" s="23">
        <v>3815.4</v>
      </c>
      <c r="N113" s="23">
        <v>2976</v>
      </c>
      <c r="O113" s="23">
        <v>4347</v>
      </c>
      <c r="P113" s="23">
        <v>10026</v>
      </c>
      <c r="Q113" s="23">
        <v>10556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spans="2:60" x14ac:dyDescent="0.25">
      <c r="B114" t="s">
        <v>74</v>
      </c>
      <c r="C114" s="23"/>
      <c r="D114" s="23"/>
      <c r="E114" s="23">
        <v>4593</v>
      </c>
      <c r="F114" s="23"/>
      <c r="G114" s="23"/>
      <c r="H114" s="23"/>
      <c r="I114" s="23"/>
      <c r="J114" s="23">
        <v>0.7</v>
      </c>
      <c r="K114" s="23">
        <v>3</v>
      </c>
      <c r="L114" s="23">
        <v>3598.6</v>
      </c>
      <c r="M114" s="23">
        <v>3545.8</v>
      </c>
      <c r="N114" s="23">
        <v>3826</v>
      </c>
      <c r="O114" s="23">
        <v>4420</v>
      </c>
      <c r="P114" s="23">
        <v>4511</v>
      </c>
      <c r="Q114" s="23">
        <v>5056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spans="2:60" x14ac:dyDescent="0.25">
      <c r="B115" t="s">
        <v>75</v>
      </c>
      <c r="C115" s="23"/>
      <c r="D115" s="23"/>
      <c r="E115" s="23">
        <v>7</v>
      </c>
      <c r="F115" s="23"/>
      <c r="G115" s="23"/>
      <c r="H115" s="23"/>
      <c r="I115" s="23"/>
      <c r="J115" s="23">
        <v>0</v>
      </c>
      <c r="K115" s="23">
        <v>0</v>
      </c>
      <c r="L115" s="23">
        <v>47.9</v>
      </c>
      <c r="M115" s="23">
        <v>80</v>
      </c>
      <c r="N115" s="23">
        <v>0</v>
      </c>
      <c r="O115" s="23">
        <v>0</v>
      </c>
      <c r="P115" s="23">
        <v>13</v>
      </c>
      <c r="Q115" s="23">
        <v>13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spans="2:60" x14ac:dyDescent="0.25">
      <c r="B116" t="s">
        <v>341</v>
      </c>
      <c r="C116" s="23"/>
      <c r="D116" s="23"/>
      <c r="E116" s="23">
        <v>78</v>
      </c>
      <c r="F116" s="23"/>
      <c r="G116" s="23"/>
      <c r="H116" s="23"/>
      <c r="I116" s="23"/>
      <c r="J116" s="23">
        <v>125.7</v>
      </c>
      <c r="K116" s="23">
        <v>88</v>
      </c>
      <c r="L116" s="23">
        <v>106.5</v>
      </c>
      <c r="M116" s="23">
        <v>107.5</v>
      </c>
      <c r="N116" s="23">
        <v>89</v>
      </c>
      <c r="O116" s="23">
        <v>66</v>
      </c>
      <c r="P116" s="23">
        <v>68</v>
      </c>
      <c r="Q116" s="23">
        <v>85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spans="2:60" x14ac:dyDescent="0.25">
      <c r="B117" t="s">
        <v>76</v>
      </c>
      <c r="C117" s="23"/>
      <c r="D117" s="23"/>
      <c r="E117" s="23">
        <v>27</v>
      </c>
      <c r="F117" s="23"/>
      <c r="G117" s="23"/>
      <c r="H117" s="23"/>
      <c r="I117" s="23"/>
      <c r="J117" s="23">
        <v>55.5</v>
      </c>
      <c r="K117" s="23">
        <v>14.2</v>
      </c>
      <c r="L117" s="23">
        <v>15.1</v>
      </c>
      <c r="M117" s="23">
        <v>18.399999999999999</v>
      </c>
      <c r="N117" s="23">
        <v>16</v>
      </c>
      <c r="O117" s="23">
        <v>19</v>
      </c>
      <c r="P117" s="23">
        <v>21</v>
      </c>
      <c r="Q117" s="23">
        <v>51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spans="2:60" x14ac:dyDescent="0.25">
      <c r="B118" t="s">
        <v>77</v>
      </c>
      <c r="C118" s="23"/>
      <c r="D118" s="23"/>
      <c r="E118" s="23">
        <v>1793</v>
      </c>
      <c r="F118" s="23"/>
      <c r="G118" s="23"/>
      <c r="H118" s="23"/>
      <c r="I118" s="23"/>
      <c r="J118" s="23">
        <v>2712.2</v>
      </c>
      <c r="K118" s="23">
        <v>1578.6</v>
      </c>
      <c r="L118" s="23">
        <v>1530.4</v>
      </c>
      <c r="M118" s="23">
        <v>1485.1</v>
      </c>
      <c r="N118" s="23">
        <v>1452</v>
      </c>
      <c r="O118" s="23">
        <v>1572</v>
      </c>
      <c r="P118" s="23">
        <v>1776</v>
      </c>
      <c r="Q118" s="23">
        <v>1985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spans="2:60" x14ac:dyDescent="0.25">
      <c r="B119" t="s">
        <v>78</v>
      </c>
      <c r="C119" s="23"/>
      <c r="D119" s="23"/>
      <c r="E119" s="23">
        <v>433</v>
      </c>
      <c r="F119" s="23"/>
      <c r="G119" s="23"/>
      <c r="H119" s="23"/>
      <c r="I119" s="23"/>
      <c r="J119" s="23">
        <v>48.8</v>
      </c>
      <c r="K119" s="23">
        <v>40</v>
      </c>
      <c r="L119" s="23">
        <v>141.4</v>
      </c>
      <c r="M119" s="23">
        <v>183.6</v>
      </c>
      <c r="N119" s="23">
        <v>198</v>
      </c>
      <c r="O119" s="23">
        <v>228</v>
      </c>
      <c r="P119" s="23">
        <v>311</v>
      </c>
      <c r="Q119" s="23">
        <v>278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spans="2:60" x14ac:dyDescent="0.25">
      <c r="B120" s="1" t="s">
        <v>79</v>
      </c>
      <c r="C120" s="25">
        <f t="shared" ref="C120:D120" si="115">+SUM(C113:C119)</f>
        <v>0</v>
      </c>
      <c r="D120" s="25">
        <f t="shared" si="115"/>
        <v>0</v>
      </c>
      <c r="E120" s="25">
        <f>+SUM(E113:E119)</f>
        <v>17949</v>
      </c>
      <c r="F120" s="25">
        <f t="shared" ref="F120:H120" si="116">+SUM(F113:F119)</f>
        <v>0</v>
      </c>
      <c r="G120" s="25">
        <f t="shared" si="116"/>
        <v>0</v>
      </c>
      <c r="H120" s="25">
        <f t="shared" si="116"/>
        <v>0</v>
      </c>
      <c r="I120" s="23"/>
      <c r="J120" s="25">
        <v>7188.4</v>
      </c>
      <c r="K120" s="25">
        <v>4895.3999999999996</v>
      </c>
      <c r="L120" s="25">
        <v>8562.0999999999985</v>
      </c>
      <c r="M120" s="25">
        <v>9235.8000000000011</v>
      </c>
      <c r="N120" s="25">
        <v>8557</v>
      </c>
      <c r="O120" s="25">
        <v>10652</v>
      </c>
      <c r="P120" s="25">
        <f>SUM(P113:P119)</f>
        <v>16726</v>
      </c>
      <c r="Q120" s="25">
        <f>SUM(Q113:Q119)</f>
        <v>18024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spans="2:60" x14ac:dyDescent="0.25">
      <c r="B121" t="s">
        <v>80</v>
      </c>
      <c r="C121" s="23"/>
      <c r="D121" s="23"/>
      <c r="E121" s="23">
        <v>2838</v>
      </c>
      <c r="F121" s="23"/>
      <c r="G121" s="23"/>
      <c r="H121" s="23"/>
      <c r="I121" s="23"/>
      <c r="J121" s="23">
        <v>939.7</v>
      </c>
      <c r="K121" s="23">
        <v>756.4</v>
      </c>
      <c r="L121" s="23">
        <v>1975.9</v>
      </c>
      <c r="M121" s="23">
        <v>1776.2</v>
      </c>
      <c r="N121" s="23">
        <v>2442</v>
      </c>
      <c r="O121" s="23">
        <v>2295</v>
      </c>
      <c r="P121" s="23">
        <v>2400</v>
      </c>
      <c r="Q121" s="23">
        <v>3479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spans="2:60" x14ac:dyDescent="0.25">
      <c r="B122" t="s">
        <v>81</v>
      </c>
      <c r="C122" s="23"/>
      <c r="D122" s="23"/>
      <c r="E122" s="23">
        <v>914</v>
      </c>
      <c r="F122" s="23"/>
      <c r="G122" s="23"/>
      <c r="H122" s="23"/>
      <c r="I122" s="23"/>
      <c r="J122" s="23">
        <v>0</v>
      </c>
      <c r="K122" s="23">
        <v>0</v>
      </c>
      <c r="L122" s="23">
        <v>720</v>
      </c>
      <c r="M122" s="23">
        <v>538</v>
      </c>
      <c r="N122" s="23">
        <v>675</v>
      </c>
      <c r="O122" s="23">
        <v>812</v>
      </c>
      <c r="P122" s="23">
        <v>884</v>
      </c>
      <c r="Q122" s="23">
        <v>1051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spans="2:60" x14ac:dyDescent="0.25">
      <c r="B123" t="s">
        <v>82</v>
      </c>
      <c r="C123" s="23"/>
      <c r="D123" s="23"/>
      <c r="E123" s="23">
        <v>58</v>
      </c>
      <c r="F123" s="23"/>
      <c r="G123" s="23"/>
      <c r="H123" s="23"/>
      <c r="I123" s="23"/>
      <c r="J123" s="23">
        <v>367.6</v>
      </c>
      <c r="K123" s="23">
        <v>553.20000000000005</v>
      </c>
      <c r="L123" s="23">
        <v>503.2</v>
      </c>
      <c r="M123" s="23">
        <v>338.1</v>
      </c>
      <c r="N123" s="23">
        <v>743</v>
      </c>
      <c r="O123" s="23">
        <v>663</v>
      </c>
      <c r="P123" s="23">
        <v>588</v>
      </c>
      <c r="Q123" s="23">
        <v>343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spans="2:60" x14ac:dyDescent="0.25">
      <c r="B124" t="s">
        <v>342</v>
      </c>
      <c r="C124" s="23"/>
      <c r="D124" s="23"/>
      <c r="E124" s="23">
        <v>2132</v>
      </c>
      <c r="F124" s="23"/>
      <c r="G124" s="23"/>
      <c r="H124" s="23"/>
      <c r="I124" s="23"/>
      <c r="J124" s="23">
        <v>1240.7</v>
      </c>
      <c r="K124" s="23">
        <v>745.8</v>
      </c>
      <c r="L124" s="23">
        <v>808.7</v>
      </c>
      <c r="M124" s="23">
        <v>666</v>
      </c>
      <c r="N124" s="23">
        <v>1742</v>
      </c>
      <c r="O124" s="23">
        <v>2263</v>
      </c>
      <c r="P124" s="23">
        <v>2200</v>
      </c>
      <c r="Q124" s="23">
        <v>2098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spans="2:60" x14ac:dyDescent="0.25">
      <c r="B125" t="s">
        <v>343</v>
      </c>
      <c r="C125" s="23"/>
      <c r="D125" s="23"/>
      <c r="E125" s="23">
        <v>13</v>
      </c>
      <c r="F125" s="23"/>
      <c r="G125" s="23"/>
      <c r="H125" s="23"/>
      <c r="I125" s="23"/>
      <c r="J125" s="23">
        <v>10.7</v>
      </c>
      <c r="K125" s="23">
        <v>8.6</v>
      </c>
      <c r="L125" s="23">
        <v>8.9</v>
      </c>
      <c r="M125" s="23">
        <v>12.2</v>
      </c>
      <c r="N125" s="23">
        <v>12</v>
      </c>
      <c r="O125" s="23">
        <v>12</v>
      </c>
      <c r="P125" s="23">
        <v>12</v>
      </c>
      <c r="Q125" s="23">
        <v>13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spans="2:60" x14ac:dyDescent="0.25">
      <c r="B126" t="s">
        <v>83</v>
      </c>
      <c r="C126" s="23"/>
      <c r="D126" s="23"/>
      <c r="E126" s="23">
        <v>135</v>
      </c>
      <c r="F126" s="23"/>
      <c r="G126" s="23"/>
      <c r="H126" s="23"/>
      <c r="I126" s="23"/>
      <c r="J126" s="23">
        <v>182.4</v>
      </c>
      <c r="K126" s="23">
        <v>255.7</v>
      </c>
      <c r="L126" s="23">
        <v>216</v>
      </c>
      <c r="M126" s="23">
        <v>212.4</v>
      </c>
      <c r="N126" s="23">
        <v>138</v>
      </c>
      <c r="O126" s="23">
        <v>168</v>
      </c>
      <c r="P126" s="23">
        <v>163</v>
      </c>
      <c r="Q126" s="23">
        <v>191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spans="2:60" x14ac:dyDescent="0.25">
      <c r="B127" t="s">
        <v>84</v>
      </c>
      <c r="C127" s="23"/>
      <c r="D127" s="23"/>
      <c r="E127" s="23">
        <v>743</v>
      </c>
      <c r="F127" s="23"/>
      <c r="G127" s="23"/>
      <c r="H127" s="23"/>
      <c r="I127" s="23"/>
      <c r="J127" s="23">
        <v>815.4</v>
      </c>
      <c r="K127" s="23">
        <v>1303.3</v>
      </c>
      <c r="L127" s="23">
        <v>1361.5</v>
      </c>
      <c r="M127" s="23">
        <v>901.3</v>
      </c>
      <c r="N127" s="23">
        <v>1148</v>
      </c>
      <c r="O127" s="23">
        <v>567</v>
      </c>
      <c r="P127" s="23">
        <v>536</v>
      </c>
      <c r="Q127" s="23">
        <v>528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spans="2:60" x14ac:dyDescent="0.25">
      <c r="B128" t="s">
        <v>85</v>
      </c>
      <c r="C128" s="23"/>
      <c r="D128" s="23"/>
      <c r="E128" s="23">
        <v>1620</v>
      </c>
      <c r="F128" s="23"/>
      <c r="G128" s="23"/>
      <c r="H128" s="23"/>
      <c r="I128" s="23"/>
      <c r="J128" s="23">
        <v>2206.1</v>
      </c>
      <c r="K128" s="23">
        <v>2787.5</v>
      </c>
      <c r="L128" s="23">
        <v>2553.3000000000002</v>
      </c>
      <c r="M128" s="23">
        <v>2290.4</v>
      </c>
      <c r="N128" s="23">
        <v>1875</v>
      </c>
      <c r="O128" s="23">
        <v>1726</v>
      </c>
      <c r="P128" s="23">
        <v>1848</v>
      </c>
      <c r="Q128" s="23">
        <v>1889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spans="1:60" x14ac:dyDescent="0.25">
      <c r="B129" s="1" t="s">
        <v>86</v>
      </c>
      <c r="C129" s="25">
        <f t="shared" ref="C129:D129" si="117">+SUM(C121:C128)</f>
        <v>0</v>
      </c>
      <c r="D129" s="25">
        <f t="shared" si="117"/>
        <v>0</v>
      </c>
      <c r="E129" s="25">
        <f>+SUM(E121:E128)</f>
        <v>8453</v>
      </c>
      <c r="F129" s="25">
        <f t="shared" ref="F129:H129" si="118">+SUM(F121:F128)</f>
        <v>0</v>
      </c>
      <c r="G129" s="25">
        <f t="shared" si="118"/>
        <v>0</v>
      </c>
      <c r="H129" s="25">
        <f t="shared" si="118"/>
        <v>0</v>
      </c>
      <c r="I129" s="23"/>
      <c r="J129" s="25">
        <v>5762.6</v>
      </c>
      <c r="K129" s="25">
        <v>6410.4999999999991</v>
      </c>
      <c r="L129" s="25">
        <v>8147.5000000000009</v>
      </c>
      <c r="M129" s="25">
        <v>6734.6</v>
      </c>
      <c r="N129" s="25">
        <v>8775</v>
      </c>
      <c r="O129" s="25">
        <v>8506</v>
      </c>
      <c r="P129" s="25">
        <f>SUM(P121:P128)</f>
        <v>8631</v>
      </c>
      <c r="Q129" s="25">
        <f>SUM(Q121:Q128)</f>
        <v>9592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spans="1:60" x14ac:dyDescent="0.25">
      <c r="B130" t="s">
        <v>494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/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spans="1:60" x14ac:dyDescent="0.25">
      <c r="B131" s="1" t="s">
        <v>87</v>
      </c>
      <c r="C131" s="25">
        <f t="shared" ref="C131" si="119">C129+C120+C112+C130</f>
        <v>0</v>
      </c>
      <c r="D131" s="25">
        <f t="shared" ref="D131" si="120">D129+D120+D112+D130</f>
        <v>0</v>
      </c>
      <c r="E131" s="25">
        <f t="shared" ref="E131" si="121">E129+E120+E112+E130</f>
        <v>42152</v>
      </c>
      <c r="F131" s="25">
        <f t="shared" ref="F131" si="122">F129+F120+F112+F130</f>
        <v>0</v>
      </c>
      <c r="G131" s="25">
        <f t="shared" ref="G131" si="123">G129+G120+G112+G130</f>
        <v>0</v>
      </c>
      <c r="H131" s="25">
        <f t="shared" ref="H131" si="124">H129+H120+H112+H130</f>
        <v>0</v>
      </c>
      <c r="I131" s="23"/>
      <c r="J131" s="25">
        <f t="shared" ref="J131:P131" si="125">J129+J120+J112+J130</f>
        <v>25577.4</v>
      </c>
      <c r="K131" s="25">
        <f t="shared" si="125"/>
        <v>21367.5</v>
      </c>
      <c r="L131" s="25">
        <f t="shared" si="125"/>
        <v>27148.199999999997</v>
      </c>
      <c r="M131" s="25">
        <f t="shared" si="125"/>
        <v>28005.4</v>
      </c>
      <c r="N131" s="25">
        <f t="shared" si="125"/>
        <v>31068</v>
      </c>
      <c r="O131" s="25">
        <f t="shared" si="125"/>
        <v>33941</v>
      </c>
      <c r="P131" s="25">
        <f t="shared" si="125"/>
        <v>41367</v>
      </c>
      <c r="Q131" s="25">
        <f>Q129+Q120+Q112+Q130</f>
        <v>43346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spans="1:60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spans="1:60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spans="1:60" x14ac:dyDescent="0.25">
      <c r="A134" s="15" t="s">
        <v>52</v>
      </c>
      <c r="B134" s="14" t="s">
        <v>89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spans="1:60" x14ac:dyDescent="0.25">
      <c r="B135" t="s">
        <v>90</v>
      </c>
      <c r="C135" s="23"/>
      <c r="D135" s="23"/>
      <c r="E135" s="23">
        <v>940</v>
      </c>
      <c r="F135" s="23"/>
      <c r="G135" s="23"/>
      <c r="H135" s="23"/>
      <c r="I135" s="23"/>
      <c r="J135" s="23">
        <v>1751.9000000000003</v>
      </c>
      <c r="K135" s="23">
        <v>2658.2999999999997</v>
      </c>
      <c r="L135" s="23">
        <v>2208.4000000000005</v>
      </c>
      <c r="M135" s="23">
        <v>2189.7000000000003</v>
      </c>
      <c r="N135" s="23">
        <v>3245</v>
      </c>
      <c r="O135" s="23">
        <v>3717</v>
      </c>
      <c r="P135" s="23">
        <v>3074</v>
      </c>
      <c r="Q135" s="23">
        <v>1227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spans="1:60" x14ac:dyDescent="0.25">
      <c r="B136" t="s">
        <v>91</v>
      </c>
      <c r="C136" s="23"/>
      <c r="D136" s="23"/>
      <c r="E136" s="23">
        <v>1013</v>
      </c>
      <c r="F136" s="23"/>
      <c r="G136" s="23"/>
      <c r="H136" s="23"/>
      <c r="I136" s="23"/>
      <c r="J136" s="23">
        <v>432.1</v>
      </c>
      <c r="K136" s="23">
        <v>491.9</v>
      </c>
      <c r="L136" s="23">
        <v>1245.3</v>
      </c>
      <c r="M136" s="23">
        <v>1439</v>
      </c>
      <c r="N136" s="23">
        <v>1453</v>
      </c>
      <c r="O136" s="23">
        <v>1666</v>
      </c>
      <c r="P136" s="23">
        <v>1823</v>
      </c>
      <c r="Q136" s="23">
        <v>2113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spans="1:60" x14ac:dyDescent="0.25">
      <c r="B137" t="s">
        <v>92</v>
      </c>
      <c r="C137" s="23"/>
      <c r="D137" s="23"/>
      <c r="E137" s="23">
        <v>10</v>
      </c>
      <c r="F137" s="23"/>
      <c r="G137" s="23"/>
      <c r="H137" s="23"/>
      <c r="I137" s="23"/>
      <c r="J137" s="23">
        <v>10.3</v>
      </c>
      <c r="K137" s="23">
        <v>-6.6</v>
      </c>
      <c r="L137" s="23">
        <v>-392.4</v>
      </c>
      <c r="M137" s="23">
        <v>-282.8</v>
      </c>
      <c r="N137" s="23">
        <v>18</v>
      </c>
      <c r="O137" s="23">
        <v>-334</v>
      </c>
      <c r="P137" s="23">
        <v>94</v>
      </c>
      <c r="Q137" s="23">
        <v>57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spans="1:60" x14ac:dyDescent="0.25">
      <c r="B138" t="s">
        <v>93</v>
      </c>
      <c r="C138" s="23"/>
      <c r="D138" s="23"/>
      <c r="E138" s="23">
        <v>229</v>
      </c>
      <c r="F138" s="23"/>
      <c r="G138" s="23"/>
      <c r="H138" s="23"/>
      <c r="I138" s="23"/>
      <c r="J138" s="23">
        <v>181.4</v>
      </c>
      <c r="K138" s="23">
        <v>186.6</v>
      </c>
      <c r="L138" s="23">
        <v>277.10000000000002</v>
      </c>
      <c r="M138" s="23">
        <v>277.39999999999998</v>
      </c>
      <c r="N138" s="23">
        <v>215</v>
      </c>
      <c r="O138" s="23">
        <v>287</v>
      </c>
      <c r="P138" s="23">
        <v>300</v>
      </c>
      <c r="Q138" s="23">
        <v>559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spans="1:60" x14ac:dyDescent="0.25">
      <c r="B139" t="s">
        <v>94</v>
      </c>
      <c r="C139" s="23"/>
      <c r="D139" s="23"/>
      <c r="E139" s="23">
        <v>-2</v>
      </c>
      <c r="F139" s="23"/>
      <c r="G139" s="23"/>
      <c r="H139" s="23"/>
      <c r="I139" s="23"/>
      <c r="J139" s="23">
        <v>-0.2</v>
      </c>
      <c r="K139" s="23">
        <v>-1</v>
      </c>
      <c r="L139" s="23">
        <v>0</v>
      </c>
      <c r="M139" s="23">
        <v>0</v>
      </c>
      <c r="N139" s="23">
        <v>-2</v>
      </c>
      <c r="O139" s="23">
        <v>-7</v>
      </c>
      <c r="P139" s="23">
        <v>-9</v>
      </c>
      <c r="Q139" s="23">
        <v>-2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spans="1:60" x14ac:dyDescent="0.25">
      <c r="B140" t="s">
        <v>95</v>
      </c>
      <c r="C140" s="23"/>
      <c r="D140" s="23"/>
      <c r="E140" s="23">
        <v>312</v>
      </c>
      <c r="F140" s="23"/>
      <c r="G140" s="23"/>
      <c r="H140" s="23"/>
      <c r="I140" s="23"/>
      <c r="J140" s="23">
        <v>749.4</v>
      </c>
      <c r="K140" s="23">
        <v>1062.4000000000001</v>
      </c>
      <c r="L140" s="23">
        <v>2597.9</v>
      </c>
      <c r="M140" s="23">
        <v>657</v>
      </c>
      <c r="N140" s="23">
        <v>1458</v>
      </c>
      <c r="O140" s="23">
        <v>1597</v>
      </c>
      <c r="P140" s="23">
        <v>1007</v>
      </c>
      <c r="Q140" s="23">
        <v>526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spans="1:60" x14ac:dyDescent="0.25">
      <c r="B141" t="s">
        <v>96</v>
      </c>
      <c r="C141" s="23"/>
      <c r="D141" s="23"/>
      <c r="E141" s="23">
        <v>44</v>
      </c>
      <c r="F141" s="23"/>
      <c r="G141" s="23"/>
      <c r="H141" s="23"/>
      <c r="I141" s="23"/>
      <c r="J141" s="23">
        <v>-35.799999999999997</v>
      </c>
      <c r="K141" s="23">
        <v>-51.6</v>
      </c>
      <c r="L141" s="23">
        <v>-557.5</v>
      </c>
      <c r="M141" s="23">
        <v>44.4</v>
      </c>
      <c r="N141" s="23">
        <v>-38</v>
      </c>
      <c r="O141" s="23">
        <v>-902</v>
      </c>
      <c r="P141" s="23">
        <v>-396</v>
      </c>
      <c r="Q141" s="23">
        <v>667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spans="1:60" x14ac:dyDescent="0.25">
      <c r="B142" t="s">
        <v>97</v>
      </c>
      <c r="C142" s="23"/>
      <c r="D142" s="23"/>
      <c r="E142" s="23">
        <v>-100</v>
      </c>
      <c r="F142" s="23"/>
      <c r="G142" s="23"/>
      <c r="H142" s="23"/>
      <c r="I142" s="23"/>
      <c r="J142" s="23">
        <v>-316</v>
      </c>
      <c r="K142" s="23">
        <v>-562</v>
      </c>
      <c r="L142" s="23">
        <v>-2903.5</v>
      </c>
      <c r="M142" s="23">
        <v>-1436.1</v>
      </c>
      <c r="N142" s="23">
        <v>-1473</v>
      </c>
      <c r="O142" s="23">
        <v>-1746</v>
      </c>
      <c r="P142" s="23">
        <v>-1434</v>
      </c>
      <c r="Q142" s="23">
        <v>-438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spans="1:60" x14ac:dyDescent="0.25">
      <c r="B143" s="1" t="s">
        <v>108</v>
      </c>
      <c r="C143" s="23"/>
      <c r="D143" s="23"/>
      <c r="E143" s="25">
        <f>+SUM(E135:E142)</f>
        <v>2446</v>
      </c>
      <c r="F143" s="23"/>
      <c r="G143" s="23"/>
      <c r="H143" s="23"/>
      <c r="I143" s="23"/>
      <c r="J143" s="25">
        <v>2773.1000000000004</v>
      </c>
      <c r="K143" s="25">
        <v>3778</v>
      </c>
      <c r="L143" s="25">
        <v>2475.3000000000011</v>
      </c>
      <c r="M143" s="25">
        <v>2888.6</v>
      </c>
      <c r="N143" s="25">
        <v>4876</v>
      </c>
      <c r="O143" s="25">
        <v>4278</v>
      </c>
      <c r="P143" s="25">
        <f>+SUM(P135:P142)</f>
        <v>4459</v>
      </c>
      <c r="Q143" s="25">
        <f>+SUM(Q135:Q142)</f>
        <v>4709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spans="1:60" x14ac:dyDescent="0.25">
      <c r="B144" t="s">
        <v>182</v>
      </c>
      <c r="C144" s="23"/>
      <c r="D144" s="23"/>
      <c r="E144" s="23">
        <v>-1391</v>
      </c>
      <c r="F144" s="23"/>
      <c r="G144" s="23"/>
      <c r="H144" s="23"/>
      <c r="I144" s="23"/>
      <c r="J144" s="23">
        <v>-567.6</v>
      </c>
      <c r="K144" s="23">
        <v>-822.8</v>
      </c>
      <c r="L144" s="23">
        <v>-954.59999999999991</v>
      </c>
      <c r="M144" s="23">
        <v>-784</v>
      </c>
      <c r="N144" s="23">
        <v>-928</v>
      </c>
      <c r="O144" s="23">
        <v>-1070</v>
      </c>
      <c r="P144" s="23">
        <f>-2611+135</f>
        <v>-2476</v>
      </c>
      <c r="Q144" s="23">
        <f>-3309+32</f>
        <v>-3277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spans="2:60" x14ac:dyDescent="0.25">
      <c r="B145" t="s">
        <v>344</v>
      </c>
      <c r="C145" s="23"/>
      <c r="D145" s="23"/>
      <c r="E145" s="23">
        <v>-23</v>
      </c>
      <c r="F145" s="23"/>
      <c r="G145" s="23"/>
      <c r="H145" s="23"/>
      <c r="I145" s="23"/>
      <c r="J145" s="23">
        <v>1.6</v>
      </c>
      <c r="K145" s="23">
        <v>-15.8</v>
      </c>
      <c r="L145" s="23">
        <v>-41.6</v>
      </c>
      <c r="M145" s="23">
        <v>662.5</v>
      </c>
      <c r="N145" s="23">
        <v>-488</v>
      </c>
      <c r="O145" s="23">
        <v>-1597</v>
      </c>
      <c r="P145" s="23">
        <v>-5093</v>
      </c>
      <c r="Q145" s="23">
        <v>-35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spans="2:60" x14ac:dyDescent="0.25">
      <c r="B146" t="s">
        <v>345</v>
      </c>
      <c r="C146" s="23"/>
      <c r="D146" s="23"/>
      <c r="E146" s="23">
        <f>-35+97</f>
        <v>62</v>
      </c>
      <c r="F146" s="23"/>
      <c r="G146" s="23"/>
      <c r="H146" s="23"/>
      <c r="I146" s="23"/>
      <c r="J146" s="23">
        <v>-33.299999999999997</v>
      </c>
      <c r="K146" s="23">
        <v>-58.4</v>
      </c>
      <c r="L146" s="23">
        <v>-209.00000000000003</v>
      </c>
      <c r="M146" s="23">
        <v>-81.899999999999977</v>
      </c>
      <c r="N146" s="23">
        <v>927</v>
      </c>
      <c r="O146" s="23">
        <v>-120</v>
      </c>
      <c r="P146" s="23">
        <f>-56+251</f>
        <v>195</v>
      </c>
      <c r="Q146" s="23">
        <f>140-83</f>
        <v>57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spans="2:60" x14ac:dyDescent="0.25">
      <c r="B147" t="s">
        <v>98</v>
      </c>
      <c r="C147" s="23"/>
      <c r="D147" s="23"/>
      <c r="E147" s="23">
        <v>30</v>
      </c>
      <c r="F147" s="23"/>
      <c r="G147" s="23"/>
      <c r="H147" s="23"/>
      <c r="I147" s="23"/>
      <c r="J147" s="23">
        <v>5.2</v>
      </c>
      <c r="K147" s="23">
        <v>5.4</v>
      </c>
      <c r="L147" s="23">
        <v>19.11</v>
      </c>
      <c r="M147" s="23">
        <v>6.9</v>
      </c>
      <c r="N147" s="23">
        <v>37</v>
      </c>
      <c r="O147" s="23">
        <v>17</v>
      </c>
      <c r="P147" s="23">
        <v>76</v>
      </c>
      <c r="Q147" s="23">
        <v>70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spans="2:60" x14ac:dyDescent="0.25">
      <c r="B148" s="1" t="s">
        <v>109</v>
      </c>
      <c r="C148" s="25">
        <f t="shared" ref="C148:D148" si="126">+SUM(C144:C147)</f>
        <v>0</v>
      </c>
      <c r="D148" s="25">
        <f t="shared" si="126"/>
        <v>0</v>
      </c>
      <c r="E148" s="25">
        <f>+SUM(E144:E147)</f>
        <v>-1322</v>
      </c>
      <c r="F148" s="25">
        <f t="shared" ref="F148:H148" si="127">+SUM(F144:F147)</f>
        <v>0</v>
      </c>
      <c r="G148" s="25">
        <f t="shared" si="127"/>
        <v>0</v>
      </c>
      <c r="H148" s="25">
        <f t="shared" si="127"/>
        <v>0</v>
      </c>
      <c r="I148" s="23"/>
      <c r="J148" s="25">
        <v>-594.09999999999991</v>
      </c>
      <c r="K148" s="25">
        <v>-891.59999999999991</v>
      </c>
      <c r="L148" s="25">
        <v>-1186.0900000000001</v>
      </c>
      <c r="M148" s="25">
        <v>-196.49999999999997</v>
      </c>
      <c r="N148" s="25">
        <v>-452</v>
      </c>
      <c r="O148" s="25">
        <v>-2770</v>
      </c>
      <c r="P148" s="25">
        <f>SUM(P144:P147)</f>
        <v>-7298</v>
      </c>
      <c r="Q148" s="25">
        <f>SUM(Q144:Q147)</f>
        <v>-3185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spans="2:60" x14ac:dyDescent="0.25">
      <c r="B149" t="s">
        <v>99</v>
      </c>
      <c r="C149" s="23"/>
      <c r="D149" s="23"/>
      <c r="E149" s="23">
        <v>0</v>
      </c>
      <c r="F149" s="23"/>
      <c r="G149" s="23"/>
      <c r="H149" s="23"/>
      <c r="I149" s="23"/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38</v>
      </c>
      <c r="P149" s="23">
        <v>0</v>
      </c>
      <c r="Q149" s="23">
        <v>0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spans="2:60" x14ac:dyDescent="0.25">
      <c r="B150" t="s">
        <v>100</v>
      </c>
      <c r="C150" s="23"/>
      <c r="D150" s="23"/>
      <c r="E150" s="23">
        <f>-1716-6</f>
        <v>-1722</v>
      </c>
      <c r="F150" s="23"/>
      <c r="G150" s="23"/>
      <c r="H150" s="23"/>
      <c r="I150" s="23"/>
      <c r="J150" s="23">
        <v>-597.29999999999995</v>
      </c>
      <c r="K150" s="23">
        <v>-780.4</v>
      </c>
      <c r="L150" s="23">
        <v>-1342</v>
      </c>
      <c r="M150" s="23">
        <v>-1009.4</v>
      </c>
      <c r="N150" s="23">
        <v>-1025</v>
      </c>
      <c r="O150" s="23">
        <v>-1528</v>
      </c>
      <c r="P150" s="23">
        <f>-1712-42</f>
        <v>-1754</v>
      </c>
      <c r="Q150" s="23">
        <f>-1716-24</f>
        <v>-1740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spans="2:60" x14ac:dyDescent="0.25">
      <c r="B151" t="s">
        <v>101</v>
      </c>
      <c r="C151" s="23"/>
      <c r="D151" s="23"/>
      <c r="E151" s="23">
        <v>-3</v>
      </c>
      <c r="F151" s="23"/>
      <c r="G151" s="23"/>
      <c r="H151" s="23"/>
      <c r="I151" s="23"/>
      <c r="J151" s="23">
        <v>-27.8</v>
      </c>
      <c r="K151" s="23">
        <v>-2.7</v>
      </c>
      <c r="L151" s="23">
        <v>-19.2</v>
      </c>
      <c r="M151" s="23">
        <v>-27.5</v>
      </c>
      <c r="N151" s="23">
        <v>2</v>
      </c>
      <c r="O151" s="23">
        <v>317</v>
      </c>
      <c r="P151" s="23">
        <v>-24</v>
      </c>
      <c r="Q151" s="23">
        <v>-73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spans="2:60" x14ac:dyDescent="0.25">
      <c r="B152" t="s">
        <v>346</v>
      </c>
      <c r="C152" s="23"/>
      <c r="D152" s="23"/>
      <c r="E152" s="23">
        <v>3</v>
      </c>
      <c r="F152" s="23"/>
      <c r="G152" s="23"/>
      <c r="H152" s="23"/>
      <c r="I152" s="23"/>
      <c r="J152" s="23">
        <v>0.2</v>
      </c>
      <c r="K152" s="23">
        <v>-167.9</v>
      </c>
      <c r="L152" s="23">
        <v>-402.1</v>
      </c>
      <c r="M152" s="23">
        <v>-54.1</v>
      </c>
      <c r="N152" s="23">
        <v>-538</v>
      </c>
      <c r="O152" s="23">
        <v>-1030</v>
      </c>
      <c r="P152" s="23">
        <v>-10</v>
      </c>
      <c r="Q152" s="23">
        <v>2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spans="2:60" x14ac:dyDescent="0.25">
      <c r="B153" t="s">
        <v>102</v>
      </c>
      <c r="C153" s="23"/>
      <c r="D153" s="23"/>
      <c r="E153" s="23">
        <v>1750</v>
      </c>
      <c r="F153" s="23"/>
      <c r="G153" s="23"/>
      <c r="H153" s="23"/>
      <c r="I153" s="23"/>
      <c r="J153" s="23">
        <v>299.39999999999998</v>
      </c>
      <c r="K153" s="23">
        <v>73.099999999999994</v>
      </c>
      <c r="L153" s="23">
        <v>644.6</v>
      </c>
      <c r="M153" s="23">
        <v>1443.1</v>
      </c>
      <c r="N153" s="23">
        <v>63</v>
      </c>
      <c r="O153" s="23">
        <v>1742</v>
      </c>
      <c r="P153" s="23">
        <v>6205</v>
      </c>
      <c r="Q153" s="23">
        <v>2493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spans="2:60" x14ac:dyDescent="0.25">
      <c r="B154" t="s">
        <v>103</v>
      </c>
      <c r="C154" s="23"/>
      <c r="D154" s="23"/>
      <c r="E154" s="23">
        <v>-512</v>
      </c>
      <c r="F154" s="23"/>
      <c r="G154" s="23"/>
      <c r="H154" s="23"/>
      <c r="I154" s="23"/>
      <c r="J154" s="23">
        <v>-410.1</v>
      </c>
      <c r="K154" s="23">
        <v>-1404.5</v>
      </c>
      <c r="L154" s="23">
        <v>-287.60000000000002</v>
      </c>
      <c r="M154" s="23">
        <v>-642.29999999999995</v>
      </c>
      <c r="N154" s="23">
        <v>-583</v>
      </c>
      <c r="O154" s="23">
        <v>-904</v>
      </c>
      <c r="P154" s="23">
        <v>-957</v>
      </c>
      <c r="Q154" s="23">
        <v>-525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spans="2:60" x14ac:dyDescent="0.25">
      <c r="B155" t="s">
        <v>104</v>
      </c>
      <c r="C155" s="23"/>
      <c r="D155" s="23"/>
      <c r="E155" s="23">
        <v>153</v>
      </c>
      <c r="F155" s="23"/>
      <c r="G155" s="23"/>
      <c r="H155" s="23"/>
      <c r="I155" s="23"/>
      <c r="J155" s="23">
        <v>-364.6</v>
      </c>
      <c r="K155" s="23">
        <v>-27.9</v>
      </c>
      <c r="L155" s="23">
        <v>798.8</v>
      </c>
      <c r="M155" s="23">
        <v>-258.60000000000002</v>
      </c>
      <c r="N155" s="23">
        <v>152</v>
      </c>
      <c r="O155" s="23">
        <v>343</v>
      </c>
      <c r="P155" s="23">
        <v>174</v>
      </c>
      <c r="Q155" s="23">
        <v>-394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spans="2:60" x14ac:dyDescent="0.25">
      <c r="B156" t="s">
        <v>105</v>
      </c>
      <c r="C156" s="23"/>
      <c r="D156" s="23"/>
      <c r="E156" s="23">
        <v>-530</v>
      </c>
      <c r="F156" s="23"/>
      <c r="G156" s="23"/>
      <c r="H156" s="23"/>
      <c r="I156" s="23"/>
      <c r="J156" s="23">
        <v>0</v>
      </c>
      <c r="K156" s="23">
        <v>0</v>
      </c>
      <c r="L156" s="23">
        <v>639.6</v>
      </c>
      <c r="M156" s="23">
        <v>787.3</v>
      </c>
      <c r="N156" s="23">
        <v>776</v>
      </c>
      <c r="O156" s="23">
        <v>824</v>
      </c>
      <c r="P156" s="23">
        <v>-880</v>
      </c>
      <c r="Q156" s="23">
        <v>-1049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spans="2:60" x14ac:dyDescent="0.25">
      <c r="B157" t="s">
        <v>106</v>
      </c>
      <c r="C157" s="23"/>
      <c r="D157" s="23"/>
      <c r="E157" s="23">
        <v>-254</v>
      </c>
      <c r="F157" s="23"/>
      <c r="G157" s="23"/>
      <c r="H157" s="23"/>
      <c r="I157" s="23"/>
      <c r="J157" s="23">
        <v>184.7</v>
      </c>
      <c r="K157" s="23">
        <v>192.4</v>
      </c>
      <c r="L157" s="23">
        <v>289.89999999999998</v>
      </c>
      <c r="M157" s="23">
        <v>287</v>
      </c>
      <c r="N157" s="23">
        <v>222</v>
      </c>
      <c r="O157" s="23">
        <v>298</v>
      </c>
      <c r="P157" s="23">
        <v>-377</v>
      </c>
      <c r="Q157" s="23">
        <v>-610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spans="2:60" x14ac:dyDescent="0.25">
      <c r="B158" s="1" t="s">
        <v>110</v>
      </c>
      <c r="C158" s="23"/>
      <c r="D158" s="23"/>
      <c r="E158" s="23">
        <f>+SUM(E149:E157)</f>
        <v>-1115</v>
      </c>
      <c r="F158" s="23"/>
      <c r="G158" s="23"/>
      <c r="H158" s="23"/>
      <c r="I158" s="23"/>
      <c r="J158" s="25">
        <v>-1284.8999999999999</v>
      </c>
      <c r="K158" s="25">
        <v>-2502.7000000000003</v>
      </c>
      <c r="L158" s="25">
        <v>-1537.0000000000005</v>
      </c>
      <c r="M158" s="25">
        <v>-1623.1</v>
      </c>
      <c r="N158" s="25">
        <v>-2927</v>
      </c>
      <c r="O158" s="25">
        <v>-2144</v>
      </c>
      <c r="P158" s="25">
        <f>SUM(P149:P157)</f>
        <v>2377</v>
      </c>
      <c r="Q158" s="25">
        <f>SUM(Q149:Q157)</f>
        <v>-1896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spans="2:60" x14ac:dyDescent="0.25">
      <c r="B159" t="s">
        <v>348</v>
      </c>
      <c r="C159" s="23"/>
      <c r="D159" s="23"/>
      <c r="E159" s="23">
        <v>0</v>
      </c>
      <c r="F159" s="23"/>
      <c r="G159" s="23"/>
      <c r="H159" s="23"/>
      <c r="I159" s="23"/>
      <c r="J159" s="23">
        <v>87.7</v>
      </c>
      <c r="K159" s="23">
        <v>-379.1</v>
      </c>
      <c r="L159" s="23">
        <v>132.69999999999999</v>
      </c>
      <c r="M159" s="23">
        <v>-4.3</v>
      </c>
      <c r="N159" s="23">
        <v>-2</v>
      </c>
      <c r="O159" s="23">
        <v>-8</v>
      </c>
      <c r="P159" s="23">
        <v>0</v>
      </c>
      <c r="Q159" s="23">
        <v>0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spans="2:60" x14ac:dyDescent="0.25">
      <c r="B160" t="s">
        <v>347</v>
      </c>
      <c r="C160" s="23"/>
      <c r="D160" s="23"/>
      <c r="E160" s="23">
        <v>37</v>
      </c>
      <c r="F160" s="23"/>
      <c r="G160" s="23"/>
      <c r="H160" s="23"/>
      <c r="I160" s="23"/>
      <c r="J160" s="23">
        <v>159.80000000000001</v>
      </c>
      <c r="K160" s="23">
        <v>-67.599999999999994</v>
      </c>
      <c r="L160" s="23">
        <v>116.4</v>
      </c>
      <c r="M160" s="23">
        <v>97.8</v>
      </c>
      <c r="N160" s="23">
        <v>21</v>
      </c>
      <c r="O160" s="23">
        <v>222</v>
      </c>
      <c r="P160" s="23">
        <v>18</v>
      </c>
      <c r="Q160" s="23">
        <v>31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spans="2:60" x14ac:dyDescent="0.25">
      <c r="B161" s="1" t="s">
        <v>107</v>
      </c>
      <c r="C161" s="23"/>
      <c r="D161" s="23"/>
      <c r="E161" s="25">
        <f>+E160+E158+E148+E143</f>
        <v>46</v>
      </c>
      <c r="F161" s="23"/>
      <c r="G161" s="23"/>
      <c r="H161" s="23"/>
      <c r="I161" s="23"/>
      <c r="J161" s="23">
        <v>1141.6000000000006</v>
      </c>
      <c r="K161" s="23">
        <v>-63.000000000000199</v>
      </c>
      <c r="L161" s="23">
        <v>1.3100000000004854</v>
      </c>
      <c r="M161" s="23">
        <v>1162.5</v>
      </c>
      <c r="N161" s="23">
        <v>1516</v>
      </c>
      <c r="O161" s="23">
        <v>-422</v>
      </c>
      <c r="P161" s="23">
        <f>P143+P148+P158+P159+P160</f>
        <v>-444</v>
      </c>
      <c r="Q161" s="23">
        <f>Q143+Q148+Q158+Q159+Q160</f>
        <v>-341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spans="2:60" x14ac:dyDescent="0.25">
      <c r="B162" t="s">
        <v>349</v>
      </c>
      <c r="C162" s="23"/>
      <c r="D162" s="23"/>
      <c r="E162" s="23">
        <v>3650</v>
      </c>
      <c r="F162" s="23"/>
      <c r="G162" s="23"/>
      <c r="H162" s="23"/>
      <c r="I162" s="23"/>
      <c r="J162" s="23">
        <v>757.5</v>
      </c>
      <c r="K162" s="23">
        <v>1899.1000000000006</v>
      </c>
      <c r="L162" s="23">
        <v>1836.3</v>
      </c>
      <c r="M162" s="23">
        <v>1837.6100000000004</v>
      </c>
      <c r="N162" s="23">
        <v>3000</v>
      </c>
      <c r="O162" s="23">
        <v>4516</v>
      </c>
      <c r="P162" s="23">
        <f>O163</f>
        <v>4094</v>
      </c>
      <c r="Q162" s="23">
        <f>+P163</f>
        <v>3650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spans="2:60" x14ac:dyDescent="0.25">
      <c r="B163" t="s">
        <v>350</v>
      </c>
      <c r="C163" s="23"/>
      <c r="D163" s="23"/>
      <c r="E163" s="23">
        <f>+E161+E162</f>
        <v>3696</v>
      </c>
      <c r="F163" s="23"/>
      <c r="G163" s="23"/>
      <c r="H163" s="23"/>
      <c r="I163" s="23"/>
      <c r="J163" s="23">
        <v>1899.1000000000006</v>
      </c>
      <c r="K163" s="23">
        <v>1836.1000000000004</v>
      </c>
      <c r="L163" s="23">
        <v>1837.6100000000004</v>
      </c>
      <c r="M163" s="23">
        <v>3000.1100000000006</v>
      </c>
      <c r="N163" s="23">
        <v>4516</v>
      </c>
      <c r="O163" s="23">
        <v>4094</v>
      </c>
      <c r="P163" s="23">
        <f>P162+P161</f>
        <v>3650</v>
      </c>
      <c r="Q163" s="23">
        <f>+Q162+Q161</f>
        <v>3309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spans="2:60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spans="2:60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spans="2:60" x14ac:dyDescent="0.25"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spans="2:60" x14ac:dyDescent="0.25"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spans="2:60" x14ac:dyDescent="0.25"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</row>
    <row r="169" spans="2:60" x14ac:dyDescent="0.25"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</row>
    <row r="170" spans="2:60" x14ac:dyDescent="0.25"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</row>
    <row r="171" spans="2:60" x14ac:dyDescent="0.25"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</row>
    <row r="172" spans="2:60" x14ac:dyDescent="0.25"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</row>
    <row r="173" spans="2:60" x14ac:dyDescent="0.25"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</row>
    <row r="174" spans="2:60" x14ac:dyDescent="0.25"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</row>
    <row r="175" spans="2:60" x14ac:dyDescent="0.25"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</row>
    <row r="176" spans="2:60" x14ac:dyDescent="0.25"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</row>
    <row r="177" spans="17:59" x14ac:dyDescent="0.25"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</row>
    <row r="178" spans="17:59" x14ac:dyDescent="0.25"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</row>
    <row r="179" spans="17:59" x14ac:dyDescent="0.25"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</row>
    <row r="180" spans="17:59" x14ac:dyDescent="0.25"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</row>
    <row r="181" spans="17:59" x14ac:dyDescent="0.25"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</row>
    <row r="182" spans="17:59" x14ac:dyDescent="0.25"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</row>
    <row r="183" spans="17:59" x14ac:dyDescent="0.25"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1" sqref="O1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483</v>
      </c>
      <c r="D2" s="16" t="s">
        <v>485</v>
      </c>
      <c r="E2" s="16" t="s">
        <v>484</v>
      </c>
      <c r="F2" s="16" t="s">
        <v>486</v>
      </c>
      <c r="G2" s="16" t="s">
        <v>475</v>
      </c>
      <c r="H2" s="16" t="s">
        <v>476</v>
      </c>
      <c r="I2" s="16" t="s">
        <v>477</v>
      </c>
      <c r="J2" s="16" t="s">
        <v>478</v>
      </c>
      <c r="K2" s="16" t="s">
        <v>474</v>
      </c>
      <c r="L2" s="16" t="s">
        <v>53</v>
      </c>
      <c r="M2" s="16" t="s">
        <v>472</v>
      </c>
      <c r="N2" s="16" t="s">
        <v>479</v>
      </c>
      <c r="O2" s="16" t="s">
        <v>518</v>
      </c>
      <c r="P2" s="16" t="s">
        <v>519</v>
      </c>
      <c r="Q2" s="16" t="s">
        <v>520</v>
      </c>
      <c r="R2" s="16" t="s">
        <v>521</v>
      </c>
    </row>
    <row r="3" spans="1:38" x14ac:dyDescent="0.25">
      <c r="A3" s="27" t="s">
        <v>52</v>
      </c>
      <c r="B3" s="2" t="s">
        <v>487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+Model!O38-SUM(Quart!C4:E4)</f>
        <v>2733</v>
      </c>
      <c r="G4" s="23">
        <v>2616</v>
      </c>
      <c r="H4" s="23">
        <v>2512</v>
      </c>
      <c r="I4" s="23">
        <v>2217</v>
      </c>
      <c r="J4" s="23">
        <f>+Model!P38-SUM(Quart!G4:I4)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480</v>
      </c>
      <c r="C5" s="23">
        <v>739</v>
      </c>
      <c r="D5" s="23">
        <v>742</v>
      </c>
      <c r="E5" s="23">
        <v>916</v>
      </c>
      <c r="F5" s="23">
        <f>+Model!O39-SUM(Quart!C5:E5)</f>
        <v>903</v>
      </c>
      <c r="G5" s="23">
        <v>806</v>
      </c>
      <c r="H5" s="23">
        <v>770</v>
      </c>
      <c r="I5" s="23">
        <v>768</v>
      </c>
      <c r="J5" s="23">
        <f>+Model!P39-SUM(Quart!G5:I5)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+Model!O40-SUM(Quart!C6:E6)</f>
        <v>469</v>
      </c>
      <c r="G6" s="23">
        <v>395</v>
      </c>
      <c r="H6" s="23">
        <v>438</v>
      </c>
      <c r="I6" s="23">
        <v>381</v>
      </c>
      <c r="J6" s="23">
        <f>+Model!P40-SUM(Quart!G6:I6)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+Model!O41-SUM(Quart!C7:E7)</f>
        <v>924</v>
      </c>
      <c r="G7" s="23">
        <v>890</v>
      </c>
      <c r="H7" s="23">
        <v>966</v>
      </c>
      <c r="I7" s="23">
        <v>805</v>
      </c>
      <c r="J7" s="23">
        <f>+Model!P41-SUM(Quart!G7:I7)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+Model!O42-SUM(Quart!C8:E8)</f>
        <v>295</v>
      </c>
      <c r="G8" s="23">
        <v>433</v>
      </c>
      <c r="H8" s="23">
        <v>436</v>
      </c>
      <c r="I8" s="23">
        <v>333</v>
      </c>
      <c r="J8" s="23">
        <f>+Model!P42-SUM(Quart!G8:I8)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473</v>
      </c>
      <c r="C9" s="23">
        <v>-51</v>
      </c>
      <c r="D9" s="23">
        <v>-53</v>
      </c>
      <c r="E9" s="23">
        <v>-45</v>
      </c>
      <c r="F9" s="23">
        <f>+Model!O43-SUM(Quart!C9:E9)</f>
        <v>-40</v>
      </c>
      <c r="G9" s="23">
        <v>-63</v>
      </c>
      <c r="H9" s="23">
        <v>-64</v>
      </c>
      <c r="I9" s="23">
        <v>-40</v>
      </c>
      <c r="J9" s="23">
        <f>+Model!P43-SUM(Quart!G9:I9)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488</v>
      </c>
      <c r="C12" s="23"/>
      <c r="D12" s="23"/>
      <c r="E12" s="23"/>
      <c r="F12" s="23"/>
      <c r="G12" s="111">
        <f t="shared" ref="G12:H18" si="6">+G4/C4-1</f>
        <v>9.6487842531840506E-3</v>
      </c>
      <c r="H12" s="111">
        <f t="shared" si="6"/>
        <v>-2.7110766847405099E-2</v>
      </c>
      <c r="I12" s="111">
        <f>+I4/E4-1</f>
        <v>-0.14103060829135994</v>
      </c>
      <c r="J12" s="111">
        <f t="shared" ref="J12:L18" si="7">+J4/F4-1</f>
        <v>-7.5009147457006931E-2</v>
      </c>
      <c r="K12" s="111">
        <f t="shared" si="7"/>
        <v>-0.20527522935779818</v>
      </c>
      <c r="L12" s="111">
        <f t="shared" si="7"/>
        <v>-0.20143312101910826</v>
      </c>
      <c r="M12" s="111">
        <f>+M4/I4-1</f>
        <v>-0.2598105548037889</v>
      </c>
      <c r="N12" s="111">
        <f>+N4/J4-1</f>
        <v>-0.23892405063291144</v>
      </c>
      <c r="O12" s="111">
        <f>+O4/K4-1</f>
        <v>-0.24434824434824431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11">
        <f t="shared" si="6"/>
        <v>9.0663058186738921E-2</v>
      </c>
      <c r="H13" s="111">
        <f t="shared" si="6"/>
        <v>3.7735849056603765E-2</v>
      </c>
      <c r="I13" s="111">
        <f t="shared" ref="I13:I18" si="8">+I5/E5-1</f>
        <v>-0.16157205240174677</v>
      </c>
      <c r="J13" s="111">
        <f t="shared" si="7"/>
        <v>-7.5304540420819466E-2</v>
      </c>
      <c r="K13" s="111">
        <f t="shared" si="7"/>
        <v>-8.1885856079404462E-2</v>
      </c>
      <c r="L13" s="111">
        <f t="shared" si="7"/>
        <v>-8.9610389610389585E-2</v>
      </c>
      <c r="M13" s="111">
        <f t="shared" ref="M13:N18" si="9">+M5/I5-1</f>
        <v>-0.12760416666666663</v>
      </c>
      <c r="N13" s="111">
        <f t="shared" si="9"/>
        <v>-7.7844311377245456E-2</v>
      </c>
      <c r="O13" s="111">
        <f t="shared" ref="O13:O17" si="10">+O5/K5-1</f>
        <v>-8.2432432432432479E-2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480</v>
      </c>
      <c r="C14" s="23"/>
      <c r="D14" s="23"/>
      <c r="E14" s="23"/>
      <c r="F14" s="23"/>
      <c r="G14" s="111">
        <f t="shared" si="6"/>
        <v>-2.525252525252486E-3</v>
      </c>
      <c r="H14" s="111">
        <f t="shared" si="6"/>
        <v>0</v>
      </c>
      <c r="I14" s="111">
        <f t="shared" si="8"/>
        <v>-0.12814645308924488</v>
      </c>
      <c r="J14" s="111">
        <f t="shared" si="7"/>
        <v>-8.102345415778256E-2</v>
      </c>
      <c r="K14" s="111">
        <f t="shared" si="7"/>
        <v>-1.7721518987341756E-2</v>
      </c>
      <c r="L14" s="111">
        <f t="shared" si="7"/>
        <v>2.2831050228310446E-2</v>
      </c>
      <c r="M14" s="111">
        <f t="shared" si="9"/>
        <v>4.1994750656167978E-2</v>
      </c>
      <c r="N14" s="111">
        <f t="shared" si="9"/>
        <v>0.11368909512761016</v>
      </c>
      <c r="O14" s="111">
        <f t="shared" si="10"/>
        <v>4.3814432989690788E-2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11">
        <f t="shared" si="6"/>
        <v>-8.5303186022610444E-2</v>
      </c>
      <c r="H15" s="111">
        <f t="shared" si="6"/>
        <v>-1.6293279022403295E-2</v>
      </c>
      <c r="I15" s="111">
        <f t="shared" si="8"/>
        <v>-0.19095477386934678</v>
      </c>
      <c r="J15" s="111">
        <f t="shared" si="7"/>
        <v>-7.6839826839826819E-2</v>
      </c>
      <c r="K15" s="111">
        <f t="shared" si="7"/>
        <v>-7.415730337078652E-2</v>
      </c>
      <c r="L15" s="111">
        <f t="shared" si="7"/>
        <v>-7.556935817805388E-2</v>
      </c>
      <c r="M15" s="111">
        <f t="shared" si="9"/>
        <v>-0.14782608695652177</v>
      </c>
      <c r="N15" s="111">
        <f t="shared" si="9"/>
        <v>-4.1031652989448997E-2</v>
      </c>
      <c r="O15" s="111">
        <f t="shared" si="10"/>
        <v>-0.1104368932038835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11">
        <f t="shared" si="6"/>
        <v>0.4058441558441559</v>
      </c>
      <c r="H16" s="111">
        <f t="shared" si="6"/>
        <v>0.54063604240282692</v>
      </c>
      <c r="I16" s="111">
        <f t="shared" si="8"/>
        <v>0.3162055335968379</v>
      </c>
      <c r="J16" s="111">
        <f t="shared" si="7"/>
        <v>0.2406779661016949</v>
      </c>
      <c r="K16" s="111">
        <f t="shared" si="7"/>
        <v>0.23787528868360286</v>
      </c>
      <c r="L16" s="111">
        <f t="shared" si="7"/>
        <v>0.21788990825688082</v>
      </c>
      <c r="M16" s="111">
        <f t="shared" si="9"/>
        <v>0.3213213213213213</v>
      </c>
      <c r="N16" s="111">
        <f t="shared" si="9"/>
        <v>0.18579234972677594</v>
      </c>
      <c r="O16" s="111">
        <f t="shared" si="10"/>
        <v>4.1044776119403048E-2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11">
        <f t="shared" si="6"/>
        <v>0.23529411764705888</v>
      </c>
      <c r="H17" s="111">
        <f t="shared" si="6"/>
        <v>0.20754716981132071</v>
      </c>
      <c r="I17" s="111">
        <f t="shared" si="8"/>
        <v>-0.11111111111111116</v>
      </c>
      <c r="J17" s="111">
        <f t="shared" si="7"/>
        <v>0.14999999999999991</v>
      </c>
      <c r="K17" s="111">
        <f t="shared" si="7"/>
        <v>0</v>
      </c>
      <c r="L17" s="111">
        <f t="shared" si="7"/>
        <v>1.5625E-2</v>
      </c>
      <c r="M17" s="111">
        <f t="shared" si="9"/>
        <v>0.19999999999999996</v>
      </c>
      <c r="N17" s="111">
        <f t="shared" si="9"/>
        <v>-0.21739130434782605</v>
      </c>
      <c r="O17" s="111">
        <f t="shared" si="10"/>
        <v>0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11">
        <f t="shared" si="6"/>
        <v>2.4414850686037104E-2</v>
      </c>
      <c r="H18" s="111">
        <f t="shared" si="6"/>
        <v>1.6887816646562026E-2</v>
      </c>
      <c r="I18" s="111">
        <f t="shared" si="8"/>
        <v>-0.13101031730582047</v>
      </c>
      <c r="J18" s="111">
        <f t="shared" si="7"/>
        <v>-5.9992429977289929E-2</v>
      </c>
      <c r="K18" s="111">
        <f t="shared" si="7"/>
        <v>-0.11286192633444947</v>
      </c>
      <c r="L18" s="111">
        <f t="shared" si="7"/>
        <v>-0.1075523922499011</v>
      </c>
      <c r="M18" s="111">
        <f t="shared" si="9"/>
        <v>-0.1518817204301075</v>
      </c>
      <c r="N18" s="111">
        <f t="shared" si="9"/>
        <v>-0.11616670022146169</v>
      </c>
      <c r="O18" s="111">
        <f>+O10/K10-1</f>
        <v>-0.1378774422735346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394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Model!J69</f>
        <v>125.999511</v>
      </c>
      <c r="D4" s="24">
        <f>Model!K69</f>
        <v>125.95603800000001</v>
      </c>
      <c r="E4" s="24">
        <f>Model!L69</f>
        <v>125.498766</v>
      </c>
      <c r="F4" s="24">
        <f>Model!M69</f>
        <v>125.011945</v>
      </c>
      <c r="G4" s="24">
        <f>Model!N69</f>
        <v>124.584509</v>
      </c>
      <c r="H4" s="24">
        <f>Model!O69</f>
        <v>122.38293</v>
      </c>
      <c r="I4" s="24">
        <f>Model!P69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+Model!J113+Model!J115+Model!J121+Model!J123-Model!J105-Model!J103</f>
        <v>3260.6000000000004</v>
      </c>
      <c r="D6" s="23">
        <f>+Model!K113+Model!K115+Model!K121+Model!K123-Model!K105-Model!K103</f>
        <v>1664.6</v>
      </c>
      <c r="E6" s="23">
        <f>+Model!L113+Model!L115+Model!L121+Model!L123-Model!L105-Model!L103</f>
        <v>3318.7999999999997</v>
      </c>
      <c r="F6" s="23">
        <f>+Model!M113+Model!M115+Model!M121+Model!M123-Model!M105-Model!M103</f>
        <v>2408.2000000000007</v>
      </c>
      <c r="G6" s="23">
        <f>+Model!N113+Model!N115+Model!N121+Model!N123-Model!N105-Model!N103</f>
        <v>871</v>
      </c>
      <c r="H6" s="23">
        <f>+Model!O113+Model!O115+Model!O121+Model!O123-Model!O105-Model!O103</f>
        <v>2802</v>
      </c>
      <c r="I6" s="23">
        <f>+Model!P113+Model!P115+Model!P121+Model!P123-Model!P105-Model!P103</f>
        <v>8969</v>
      </c>
      <c r="J6" s="23">
        <f>+Main!H6-Main!H5</f>
        <v>10517</v>
      </c>
      <c r="K6" s="23"/>
      <c r="L6" s="23"/>
      <c r="M6" s="23"/>
      <c r="N6" s="23">
        <f t="shared" si="1"/>
        <v>4226.3999999999996</v>
      </c>
      <c r="O6" s="23">
        <f t="shared" si="2"/>
        <v>3031.3</v>
      </c>
      <c r="P6" s="23"/>
    </row>
    <row r="7" spans="1:20" x14ac:dyDescent="0.25">
      <c r="B7" t="s">
        <v>8</v>
      </c>
      <c r="C7" s="23">
        <f t="shared" ref="C7:H7" si="4">+C6+C5</f>
        <v>49167.261837739992</v>
      </c>
      <c r="D7" s="23">
        <f t="shared" si="4"/>
        <v>52147.780030400005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62647.819629842495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+Model!J99+SUM(Model!J100:J104)-Model!J124-SUM(Model!J122,Model!J124:J128)</f>
        <v>17744.799999999996</v>
      </c>
      <c r="D10" s="23">
        <f>+Model!K99+SUM(Model!K100:K104)-Model!K124-SUM(Model!K122,Model!K124:K128)</f>
        <v>12765.1</v>
      </c>
      <c r="E10" s="23">
        <f>+Model!L99+SUM(Model!L100:L104)-Model!L124-SUM(Model!L122,Model!L124:L128)</f>
        <v>18379.099999999995</v>
      </c>
      <c r="F10" s="23">
        <f>+Model!M99+SUM(Model!M100:M104)-Model!M124-SUM(Model!M122,Model!M124:M128)</f>
        <v>19275.600000000002</v>
      </c>
      <c r="G10" s="23">
        <f>+Model!N99+SUM(Model!N100:N104)-Model!N124-SUM(Model!N122,Model!N124:N128)</f>
        <v>18468</v>
      </c>
      <c r="H10" s="23">
        <f>+Model!O99+SUM(Model!O100:O104)-Model!O124-SUM(Model!O122,Model!O124:O128)</f>
        <v>21794</v>
      </c>
      <c r="I10" s="23">
        <f>+Model!P99+SUM(Model!P100:P104)-Model!P124-SUM(Model!P122,Model!P124:P128)</f>
        <v>29602</v>
      </c>
      <c r="J10" s="23">
        <f>+Model!Q99+SUM(Model!Q100:Q104)-Model!Q124-SUM(Model!Q122,Model!Q124:Q128)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+Model!J94+Model!J91+Model!J92+Model!J97+SUM(Model!J100:J104)-SUM(Model!J124:J128)</f>
        <v>18537.2</v>
      </c>
      <c r="D11" s="23">
        <f>+Model!K94+Model!K91+Model!K92+Model!K97+SUM(Model!K100:K104)-SUM(Model!K124:K128)</f>
        <v>12065.699999999999</v>
      </c>
      <c r="E11" s="23">
        <f>+Model!L94+Model!L91+Model!L92+Model!L97+SUM(Model!L100:L104)-SUM(Model!L124:L128)</f>
        <v>14078.6</v>
      </c>
      <c r="F11" s="23">
        <f>+Model!M94+Model!M91+Model!M92+Model!M97+SUM(Model!M100:M104)-SUM(Model!M124:M128)</f>
        <v>14780.600000000002</v>
      </c>
      <c r="G11" s="23">
        <f>+Model!N94+Model!N91+Model!N92+Model!N97+SUM(Model!N100:N104)-SUM(Model!N124:N128)</f>
        <v>15492</v>
      </c>
      <c r="H11" s="23">
        <f>+Model!O94+Model!O91+Model!O92+Model!O97+SUM(Model!O100:O104)-SUM(Model!O124:O128)</f>
        <v>19028</v>
      </c>
      <c r="I11" s="23">
        <f>+Model!P94+Model!P91+Model!P92+Model!P97+SUM(Model!P100:P104)-SUM(Model!P124:P128)</f>
        <v>25400</v>
      </c>
      <c r="J11" s="23">
        <f>+Model!Q94+Model!Q91+Model!Q92+Model!Q97+SUM(Model!Q100:Q104)-SUM(Model!Q124:Q128)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393</v>
      </c>
      <c r="C12" s="23">
        <f>+Model!J94+Model!J97+SUM(Model!J100:J104)-SUM(Model!J124:J128)</f>
        <v>3956.9999999999991</v>
      </c>
      <c r="D12" s="23">
        <f>+Model!K94+Model!K97+SUM(Model!K100:K104)-SUM(Model!K124:K128)</f>
        <v>2272.8999999999996</v>
      </c>
      <c r="E12" s="23">
        <f>+Model!L94+Model!L97+SUM(Model!L100:L104)-SUM(Model!L124:L128)</f>
        <v>4292.1999999999989</v>
      </c>
      <c r="F12" s="23">
        <f>+Model!M94+Model!M97+SUM(Model!M100:M104)-SUM(Model!M124:M128)</f>
        <v>5342.5999999999995</v>
      </c>
      <c r="G12" s="23">
        <f>+Model!N94+Model!N97+SUM(Model!N100:N104)-SUM(Model!N124:N128)</f>
        <v>5569</v>
      </c>
      <c r="H12" s="23">
        <f>+Model!O94+Model!O97+SUM(Model!O100:O104)-SUM(Model!O124:O128)</f>
        <v>7618</v>
      </c>
      <c r="I12" s="23">
        <f>+Model!P94+Model!P97+SUM(Model!P100:P104)-SUM(Model!P124:P128)</f>
        <v>10110</v>
      </c>
      <c r="J12" s="23">
        <f>+Model!Q94+Model!Q97+SUM(Model!Q100:Q104)-SUM(Model!Q124:Q128)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+C11+Model!J93+Model!J95+Model!J98+Model!J105</f>
        <v>20757.8</v>
      </c>
      <c r="D13" s="23">
        <f>+D11+Model!K93+Model!K95+Model!K98+Model!K105</f>
        <v>15930.3</v>
      </c>
      <c r="E13" s="23">
        <f>+E11+Model!L93+Model!L95+Model!L98+Model!L105</f>
        <v>21741.399999999998</v>
      </c>
      <c r="F13" s="23">
        <f>+F11+Model!M93+Model!M95+Model!M98+Model!M105</f>
        <v>22234.500000000004</v>
      </c>
      <c r="G13" s="23">
        <f>+G11+Model!N93+Model!N95+Model!N98+Model!N105</f>
        <v>25099</v>
      </c>
      <c r="H13" s="23">
        <f>+H11+Model!O93+Model!O95+Model!O98+Model!O105</f>
        <v>28350</v>
      </c>
      <c r="I13" s="23">
        <f>+I11+Model!P93+Model!P95+Model!P98+Model!P105</f>
        <v>36072</v>
      </c>
      <c r="J13" s="23">
        <f>+J11+Model!Q93+Model!Q95+Model!Q98+Model!Q105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+Model!J56*(1-Model!J86)</f>
        <v>2240.8246133863699</v>
      </c>
      <c r="D14" s="23">
        <f>+Model!K56*(1-Model!K86)</f>
        <v>2969.9986682223043</v>
      </c>
      <c r="E14" s="23">
        <f>+Model!L56*(1-Model!L86)</f>
        <v>2407.4285003371861</v>
      </c>
      <c r="F14" s="23">
        <f>+Model!M56*(1-Model!M86)</f>
        <v>2330.1116049382713</v>
      </c>
      <c r="G14" s="23">
        <f>+Model!N56*(1-Model!N86)</f>
        <v>3597.0692307692311</v>
      </c>
      <c r="H14" s="23">
        <f>+Model!O56*(1-Model!O86)</f>
        <v>4043.4537487828629</v>
      </c>
      <c r="I14" s="23">
        <f>+Model!P56*(1-Model!P86)</f>
        <v>3442.0552799433021</v>
      </c>
      <c r="J14" s="23">
        <f>+Model!Q56*(1-Model!Q86)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+D14-D15+Model!K136+Model!K137</f>
        <v>5139.3986682223031</v>
      </c>
      <c r="E16" s="23">
        <f>+E14-E15+Model!L136+Model!L137</f>
        <v>1241.0285003371869</v>
      </c>
      <c r="F16" s="23">
        <f>+F14-F15+Model!M136+Model!M137</f>
        <v>2435.9116049382706</v>
      </c>
      <c r="G16" s="23">
        <f>+G14-G15+Model!N136+Model!N137</f>
        <v>4841.6692307692301</v>
      </c>
      <c r="H16" s="23">
        <f>+H14-H15+Model!O136+Model!O137</f>
        <v>3326.4537487828629</v>
      </c>
      <c r="I16" s="23">
        <f>+I14-I15+Model!P136+Model!P137</f>
        <v>2867.0552799433021</v>
      </c>
      <c r="J16" s="23">
        <f>+J14-J15+Model!Q136+Model!Q137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+Model!J44/Model!J131</f>
        <v>0.60513187423272108</v>
      </c>
      <c r="D21" s="85">
        <f>+Model!K44/Model!K131</f>
        <v>0.63953199953199957</v>
      </c>
      <c r="E21" s="85">
        <f>+Model!L44/Model!L131</f>
        <v>0.58506641324286701</v>
      </c>
      <c r="F21" s="85">
        <f>+Model!M44/Model!M131</f>
        <v>0.46777407214322947</v>
      </c>
      <c r="G21" s="85">
        <f>+Model!N44/Model!N131</f>
        <v>0.56794772756534051</v>
      </c>
      <c r="H21" s="85">
        <f>+Model!O44/Model!O131</f>
        <v>0.59959930467576084</v>
      </c>
      <c r="I21" s="85">
        <f>+Model!P44/Model!P131</f>
        <v>0.4729857132496918</v>
      </c>
      <c r="J21" s="85">
        <f>+Model!Q44/Model!Q131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+Model!K66/AVERAGE(Model!J110:K110)</f>
        <v>0.33997281974549404</v>
      </c>
      <c r="E22" s="18">
        <f>+Model!L66/AVERAGE(Model!K110:L110)</f>
        <v>0.22875544986127633</v>
      </c>
      <c r="F22" s="18">
        <f>+Model!M66/AVERAGE(Model!L110:M110)</f>
        <v>0.19461514095660437</v>
      </c>
      <c r="G22" s="18">
        <f>+Model!N66/AVERAGE(Model!M110:N110)</f>
        <v>0.25236908919695328</v>
      </c>
      <c r="H22" s="18">
        <f>+Model!O66/AVERAGE(Model!N110:O110)</f>
        <v>0.26432620223075515</v>
      </c>
      <c r="I22" s="18">
        <f>+Model!P66/AVERAGE(Model!O110:P110)</f>
        <v>0.20424512153372132</v>
      </c>
      <c r="J22" s="18">
        <f>+Model!Q66/AVERAGE(Model!P110:Q110)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+Model!K58/AVERAGE(Ratios!C10:D10)</f>
        <v>0.24394704669631831</v>
      </c>
      <c r="E23" s="18">
        <f>+Model!L58/AVERAGE(Ratios!D10:E10)</f>
        <v>0.29602943726279696</v>
      </c>
      <c r="F23" s="18">
        <f>+Model!M58/AVERAGE(Ratios!E10:F10)</f>
        <v>0.17518131866672687</v>
      </c>
      <c r="G23" s="18">
        <f>+Model!N58/AVERAGE(Ratios!F10:G10)</f>
        <v>0.25418878962261149</v>
      </c>
      <c r="H23" s="18">
        <f>+Model!O58/AVERAGE(Ratios!G10:H10)</f>
        <v>0.26799463513983407</v>
      </c>
      <c r="I23" s="18">
        <f>+Model!P58/AVERAGE(Ratios!H10:I10)</f>
        <v>0.18067553895244767</v>
      </c>
      <c r="J23" s="18">
        <f>+Model!Q58/AVERAGE(Ratios!I10:J10)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1-(-Model!K150)/Model!K66</f>
        <v>0.78992705052625911</v>
      </c>
      <c r="E28" s="18">
        <f>1-(-Model!L150)/Model!L66</f>
        <v>0.4186953131768173</v>
      </c>
      <c r="F28" s="18">
        <f>1-(-Model!M150)/Model!M66</f>
        <v>0.53059895833333337</v>
      </c>
      <c r="G28" s="18">
        <f>1-(-Model!N150)/Model!N66</f>
        <v>0.67724667800239313</v>
      </c>
      <c r="H28" s="18">
        <f>1-(-Model!O150)/Model!O66</f>
        <v>0.57719977863862759</v>
      </c>
      <c r="I28" s="18">
        <f>1-(-Model!P150)/Model!P66</f>
        <v>0.41200134093194773</v>
      </c>
      <c r="J28" s="18">
        <f>1-(-Model!Q150)/Model!Q66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-(Model!K141+Model!K144)/Ratios!D14</f>
        <v>0.29441090642756851</v>
      </c>
      <c r="E29" s="18">
        <f>-(Model!L141+Model!L144)/Ratios!E14</f>
        <v>0.6280975737340545</v>
      </c>
      <c r="F29" s="18">
        <f>-(Model!M141+Model!M144)/Ratios!F14</f>
        <v>0.31740968906062045</v>
      </c>
      <c r="G29" s="18">
        <f>-(Model!N141+Model!N144)/Ratios!G14</f>
        <v>0.26855196217433419</v>
      </c>
      <c r="H29" s="18">
        <f>-(Model!O141+Model!O144)/Ratios!H14</f>
        <v>0.48770188124288549</v>
      </c>
      <c r="I29" s="18">
        <f>-(Model!P141+Model!P144)/Ratios!I14</f>
        <v>0.83438520489052337</v>
      </c>
      <c r="J29" s="18">
        <f>-(Model!Q141+Model!Q144)/Ratios!J14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395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+Model!J112/SUM(Model!J121,Model!J123,Model!J113,Model!J115)</f>
        <v>2.2738798444028241</v>
      </c>
      <c r="D35" s="18">
        <f>+Model!K112/SUM(Model!K121,Model!K123,Model!K113,Model!K115)</f>
        <v>2.2452914397929127</v>
      </c>
      <c r="E35" s="18">
        <f>+Model!L112/SUM(Model!L121,Model!L123,Model!L113,Model!L115)</f>
        <v>1.8478014586136093</v>
      </c>
      <c r="F35" s="18">
        <f>+Model!M112/SUM(Model!M121,Model!M123,Model!M113,Model!M115)</f>
        <v>2.0025958034510873</v>
      </c>
      <c r="G35" s="18">
        <f>+Model!N112/SUM(Model!N121,Model!N123,Model!N113,Model!N115)</f>
        <v>2.2295081967213113</v>
      </c>
      <c r="H35" s="18">
        <f>+Model!O112/SUM(Model!O121,Model!O123,Model!O113,Model!O115)</f>
        <v>2.0236824093086927</v>
      </c>
      <c r="I35" s="18">
        <f>+Model!P112/SUM(Model!P121,Model!P123,Model!P113,Model!P115)</f>
        <v>1.2289859522530129</v>
      </c>
      <c r="J35" s="18">
        <f>+Model!Q112/SUM(Model!Q121,Model!Q123,Model!Q113,Model!Q115)</f>
        <v>1.0930442637759712</v>
      </c>
      <c r="N35" s="22">
        <f>+AVERAGE(C35:I35)</f>
        <v>1.9788207292204931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+C6/Model!J112</f>
        <v>0.25823671038459101</v>
      </c>
      <c r="D36" s="18">
        <f>+D6/Model!K112</f>
        <v>0.16544088415361372</v>
      </c>
      <c r="E36" s="18">
        <f>+E6/Model!L112</f>
        <v>0.31793535531584693</v>
      </c>
      <c r="F36" s="18">
        <f>+F6/Model!M112</f>
        <v>0.20009970918155387</v>
      </c>
      <c r="G36" s="18">
        <f>+G6/Model!N112</f>
        <v>6.3410017472335475E-2</v>
      </c>
      <c r="H36" s="18">
        <f>+H6/Model!O112</f>
        <v>0.18954204153419468</v>
      </c>
      <c r="I36" s="18">
        <f>+I6/Model!P112</f>
        <v>0.56021236727045598</v>
      </c>
      <c r="J36" s="18">
        <f>+J6/Model!Q112</f>
        <v>0.66859504132231407</v>
      </c>
      <c r="N36" s="22">
        <f t="shared" ref="N36:N39" si="18">+AVERAGE(C36:I36)</f>
        <v>0.25069672647322738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+Model!J58/(-Model!J59)</f>
        <v>11.155399835119539</v>
      </c>
      <c r="D37" s="18">
        <f>+Model!K58/(-Model!K59)</f>
        <v>17.951760733236853</v>
      </c>
      <c r="E37" s="18">
        <f>+Model!L58/(-Model!L59)</f>
        <v>14.894345718901455</v>
      </c>
      <c r="F37" s="18">
        <f>+Model!M58/(-Model!M59)</f>
        <v>9.6523266022827041</v>
      </c>
      <c r="G37" s="18">
        <f>+Model!N58/(-Model!N59)</f>
        <v>17.571428571428573</v>
      </c>
      <c r="H37" s="18">
        <f>+Model!O58/(-Model!O59)</f>
        <v>20.75</v>
      </c>
      <c r="I37" s="18">
        <f>+Model!P58/(-Model!P59)</f>
        <v>11.324390243902439</v>
      </c>
      <c r="J37" s="18">
        <f>+Model!Q58/(-Model!Q59)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+C6/(Model!J58+Model!J136)</f>
        <v>1.0389370379811369</v>
      </c>
      <c r="D38" s="18">
        <f>+D6/(Model!K58+Model!K136)</f>
        <v>0.39508223957468014</v>
      </c>
      <c r="E38" s="18">
        <f>+E6/(Model!L58+Model!L136)</f>
        <v>0.56682208672780987</v>
      </c>
      <c r="F38" s="18">
        <f>+F6/(Model!M58+Model!M136)</f>
        <v>0.50835936840327633</v>
      </c>
      <c r="G38" s="18">
        <f>+G6/(Model!N58+Model!N136)</f>
        <v>0.13936000000000001</v>
      </c>
      <c r="H38" s="18">
        <f>+H6/(Model!O58+Model!O136)</f>
        <v>0.39682764480951704</v>
      </c>
      <c r="I38" s="18">
        <f>+I6/(Model!P58+Model!P136)</f>
        <v>1.3871017630683575</v>
      </c>
      <c r="J38" s="18">
        <f>+J6/(Model!Q58+Model!Q136)</f>
        <v>2.3767231638418078</v>
      </c>
      <c r="K38" s="22"/>
      <c r="L38" s="22"/>
      <c r="N38" s="22">
        <f t="shared" si="18"/>
        <v>0.63321287722353969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+Model!J101/Model!J44*360</f>
        <v>31.783792165502621</v>
      </c>
      <c r="D42" s="85">
        <f>+Model!K101/Model!K44*360</f>
        <v>22.379474870473903</v>
      </c>
      <c r="E42" s="85">
        <f>+Model!L101/Model!L44*360</f>
        <v>22.57436962886014</v>
      </c>
      <c r="F42" s="85">
        <f>+Model!M101/Model!M44*360</f>
        <v>22.649425199615273</v>
      </c>
      <c r="G42" s="85">
        <f>+Model!N101/Model!N44*360</f>
        <v>19.933125531311987</v>
      </c>
      <c r="H42" s="85">
        <f>+Model!O101/Model!O44*360</f>
        <v>20.873667141663802</v>
      </c>
      <c r="I42" s="85">
        <f>+Model!P101/Model!P44*360</f>
        <v>21.177552897884084</v>
      </c>
      <c r="J42" s="85">
        <f>+Model!Q101/Model!Q44*360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+Model!J124/Model!J44*360</f>
        <v>28.857776026153758</v>
      </c>
      <c r="D43" s="85">
        <f>+Model!K124/Model!K44*360</f>
        <v>19.64757193454907</v>
      </c>
      <c r="E43" s="85">
        <f>+Model!L124/Model!L44*360</f>
        <v>18.329209557087545</v>
      </c>
      <c r="F43" s="85">
        <f>+Model!M124/Model!M44*360</f>
        <v>18.302010656325859</v>
      </c>
      <c r="G43" s="85">
        <f>+Model!N124/Model!N44*360</f>
        <v>35.540946443751771</v>
      </c>
      <c r="H43" s="85">
        <f>+Model!O124/Model!O44*360</f>
        <v>40.031448086089135</v>
      </c>
      <c r="I43" s="85">
        <f>+Model!P124/Model!P44*360</f>
        <v>40.478380864765406</v>
      </c>
      <c r="J43" s="85">
        <f>+Model!Q124/Model!Q44*360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+Model!J100/Model!J108</f>
        <v>0.10552675408759296</v>
      </c>
      <c r="D44" s="18">
        <f>+Model!K100/Model!K108</f>
        <v>0.113008073008073</v>
      </c>
      <c r="E44" s="18">
        <f>+Model!L100/Model!L108</f>
        <v>0.10900170177028312</v>
      </c>
      <c r="F44" s="18">
        <f>+Model!M100/Model!M108</f>
        <v>0.10160540467195611</v>
      </c>
      <c r="G44" s="18">
        <f>+Model!N100/Model!N108</f>
        <v>0.10843955195056006</v>
      </c>
      <c r="H44" s="18">
        <f>+Model!O100/Model!O108</f>
        <v>0.13155181049468195</v>
      </c>
      <c r="I44" s="18">
        <f>+Model!P100/Model!P108</f>
        <v>0.10999105567239587</v>
      </c>
      <c r="J44" s="18">
        <f>+Model!Q100/Model!Q108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+Model!J45/Model!J100</f>
        <v>1.9801785780445333</v>
      </c>
      <c r="D45" s="85">
        <f>+Model!K45/Model!K100</f>
        <v>1.4357891249430572</v>
      </c>
      <c r="E45" s="85">
        <f>+Model!L45/Model!L100</f>
        <v>1.3883819951338201</v>
      </c>
      <c r="F45" s="85">
        <f>+Model!M45/Model!M100</f>
        <v>1.2618520470918995</v>
      </c>
      <c r="G45" s="85">
        <f>+Model!N45/Model!N100</f>
        <v>1.3585633719204511</v>
      </c>
      <c r="H45" s="85">
        <f>+Model!O45/Model!O100</f>
        <v>1.1540873460246361</v>
      </c>
      <c r="I45" s="85">
        <f>+Model!P45/Model!P100</f>
        <v>1.0195604395604396</v>
      </c>
      <c r="J45" s="85">
        <f>+Model!Q45/Model!Q100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+C5/Model!J66</f>
        <v>25.709376029200261</v>
      </c>
      <c r="D51" s="85">
        <f>+D5/Model!K66</f>
        <v>13.589377918759592</v>
      </c>
      <c r="E51" s="85">
        <f>+E5/Model!L66</f>
        <v>31.839481610586493</v>
      </c>
      <c r="F51" s="85">
        <f>+F5/Model!M66</f>
        <v>34.177140283435634</v>
      </c>
      <c r="G51" s="85">
        <f>+G5/Model!N66</f>
        <v>27.731213997134578</v>
      </c>
      <c r="H51" s="85">
        <f>+H5/Model!O66</f>
        <v>16.254512008854455</v>
      </c>
      <c r="I51" s="85">
        <f>+I5/Model!P66</f>
        <v>16.409933707475695</v>
      </c>
      <c r="J51" s="85">
        <f>+J5/Model!Q66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+D51/(100*(Model!K64/Model!J64-1))</f>
        <v>0.13421705547700977</v>
      </c>
      <c r="E52" s="85">
        <f>+E51/(100*(Model!L64/Model!K64-1))</f>
        <v>-0.84179400031933826</v>
      </c>
      <c r="F52" s="85">
        <f>+F51/(100*(Model!M64/Model!L64-1))</f>
        <v>-5.1827556850865388</v>
      </c>
      <c r="G52" s="85">
        <f>+G51/(100*(Model!N64/Model!M64-1))</f>
        <v>0.56176260005904355</v>
      </c>
      <c r="H52" s="85">
        <f>+H51/(100*(Model!O64/Model!N64-1))</f>
        <v>1.1455560844335519</v>
      </c>
      <c r="I52" s="85">
        <f>+I51/(100*(Model!P64/Model!O64-1))</f>
        <v>-0.94739337770799126</v>
      </c>
      <c r="J52" s="85">
        <f>+J51/(100*(Model!Q64/Model!P64-1))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+C5/Model!J112</f>
        <v>3.6357680603925102</v>
      </c>
      <c r="D53" s="85">
        <f>+D5/Model!K112</f>
        <v>5.0174107528027356</v>
      </c>
      <c r="E53" s="85">
        <f>+E5/Model!L112</f>
        <v>7.041617386067097</v>
      </c>
      <c r="F53" s="85">
        <f>+F5/Model!M112</f>
        <v>6.1067322364353958</v>
      </c>
      <c r="G53" s="85">
        <f>+G5/Model!N112</f>
        <v>6.411530970595515</v>
      </c>
      <c r="H53" s="85">
        <f>+H5/Model!O112</f>
        <v>3.9737405398092402</v>
      </c>
      <c r="I53" s="85">
        <f>+I5/Model!P112</f>
        <v>3.057516068044972</v>
      </c>
      <c r="J53" s="85">
        <f>+J5/Model!Q112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+C5/(Model!J112-Model!J91-Model!J92)</f>
        <v>-23.496090612007375</v>
      </c>
      <c r="D54" s="85">
        <f>+D5/(Model!K112-Model!K91-Model!K92)</f>
        <v>187.80944951785705</v>
      </c>
      <c r="E54" s="85">
        <f>+E5/(Model!L112-Model!L91-Model!L92)</f>
        <v>112.70258700735958</v>
      </c>
      <c r="F54" s="85">
        <f>+F5/(Model!M112-Model!M91-Model!M92)</f>
        <v>28.299777614747793</v>
      </c>
      <c r="G54" s="85">
        <f>+G5/(Model!N112-Model!N91-Model!N92)</f>
        <v>23.096981225308156</v>
      </c>
      <c r="H54" s="85">
        <f>+H5/(Model!O112-Model!O91-Model!O92)</f>
        <v>17.415892795730805</v>
      </c>
      <c r="I54" s="85">
        <f>+I5/(Model!P112-Model!P91-Model!P92)</f>
        <v>67.987267013055558</v>
      </c>
      <c r="J54" s="85">
        <f>+J5/(Model!Q112-Model!Q91-Model!Q92)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+C5/Model!J143</f>
        <v>16.554275661800869</v>
      </c>
      <c r="D55" s="85">
        <f>+D5/Model!K143</f>
        <v>13.362408689888833</v>
      </c>
      <c r="E55" s="85">
        <f>+E5/Model!L143</f>
        <v>29.695239868379581</v>
      </c>
      <c r="F55" s="85">
        <f>+F5/Model!M143</f>
        <v>25.4429559182649</v>
      </c>
      <c r="G55" s="85">
        <f>+G5/Model!N143</f>
        <v>18.061687738330598</v>
      </c>
      <c r="H55" s="85">
        <f>+H5/Model!O143</f>
        <v>13.73160504908836</v>
      </c>
      <c r="I55" s="85">
        <f>+I5/Model!P143</f>
        <v>10.977984357344697</v>
      </c>
      <c r="J55" s="85">
        <f>+J5/Model!Q143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+C5/Model!J44</f>
        <v>2.9659873132144949</v>
      </c>
      <c r="D56" s="85">
        <f>+D5/Model!K44</f>
        <v>3.6942876818780555</v>
      </c>
      <c r="E56" s="85">
        <f>+E5/Model!L44</f>
        <v>4.6277348976107282</v>
      </c>
      <c r="F56" s="85">
        <f>+F5/Model!M44</f>
        <v>5.6101832388436819</v>
      </c>
      <c r="G56" s="85">
        <f>+G5/Model!N44</f>
        <v>4.9911470338396144</v>
      </c>
      <c r="H56" s="85">
        <f>+H5/Model!O44</f>
        <v>2.8865316888604982</v>
      </c>
      <c r="I56" s="85">
        <f>+I5/Model!P44</f>
        <v>2.5018313528263314</v>
      </c>
      <c r="J56" s="85">
        <f>+J5/Model!Q44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+C7/(Model!J136+Model!J58)</f>
        <v>15.666346494309199</v>
      </c>
      <c r="D58" s="85">
        <f>+D7/(Model!K136+Model!K58)</f>
        <v>12.376944445066814</v>
      </c>
      <c r="E58" s="85">
        <f>+E7/(Model!L136+Model!L58)</f>
        <v>13.120771164659869</v>
      </c>
      <c r="F58" s="85">
        <f>+F7/(Model!M136+Model!M58)</f>
        <v>16.022697472240985</v>
      </c>
      <c r="G58" s="85">
        <f>+G7/(Model!N136+Model!N58)</f>
        <v>14.230366305936</v>
      </c>
      <c r="H58" s="85">
        <f>+H7/(Model!O136+Model!O58)</f>
        <v>8.7163017136382948</v>
      </c>
      <c r="I58" s="85">
        <f>+I7/(Model!P136+Model!P58)</f>
        <v>8.9575985538818443</v>
      </c>
      <c r="J58" s="85">
        <f>+J7/(Model!Q136+Model!Q58)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+C7/Model!J58</f>
        <v>18.167705663725378</v>
      </c>
      <c r="D59" s="85">
        <f>+D7/Model!K58</f>
        <v>14.012946748642985</v>
      </c>
      <c r="E59" s="85">
        <f>+E7/Model!L58</f>
        <v>16.665240844765499</v>
      </c>
      <c r="F59" s="85">
        <f>+F7/Model!M58</f>
        <v>23.013377741040564</v>
      </c>
      <c r="G59" s="85">
        <f>+G7/Model!N58</f>
        <v>18.540710738399</v>
      </c>
      <c r="H59" s="85">
        <f>+H7/Model!O58</f>
        <v>11.407934457831326</v>
      </c>
      <c r="I59" s="85">
        <f>+I7/Model!P58</f>
        <v>12.474656956579798</v>
      </c>
      <c r="J59" s="85">
        <f>+J7/Model!Q58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-30.964776456504971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+C7/Model!J44</f>
        <v>3.1766516884123606</v>
      </c>
      <c r="D61" s="85">
        <f>+D7/Model!K44</f>
        <v>3.816100754500483</v>
      </c>
      <c r="E61" s="85">
        <f>+E7/Model!L44</f>
        <v>4.8366812885195332</v>
      </c>
      <c r="F61" s="85">
        <f>+F7/Model!M44</f>
        <v>5.7940124933588795</v>
      </c>
      <c r="G61" s="85">
        <f>+G7/Model!N44</f>
        <v>5.0405094594559365</v>
      </c>
      <c r="H61" s="85">
        <f>+H7/Model!O44</f>
        <v>3.0242153407694956</v>
      </c>
      <c r="I61" s="85">
        <f>+I7/Model!P44</f>
        <v>2.9602285724931003</v>
      </c>
      <c r="J61" s="85">
        <f>+J7/Model!Q44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topLeftCell="A6" zoomScale="200" zoomScaleNormal="200" workbookViewId="0">
      <selection activeCell="J5" sqref="J5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174</v>
      </c>
      <c r="L3" t="s">
        <v>154</v>
      </c>
      <c r="O3" s="57">
        <f>Main!H2</f>
        <v>174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471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3.113622036419823</v>
      </c>
      <c r="L5" t="s">
        <v>157</v>
      </c>
      <c r="O5" s="60">
        <f>O4/O3-1</f>
        <v>0.96126436781609215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Model!K44</f>
        <v>13665.2</v>
      </c>
      <c r="H25" s="23">
        <f>Model!L44</f>
        <v>15883.5</v>
      </c>
      <c r="I25" s="23">
        <f>Model!M44</f>
        <v>13100.199999999999</v>
      </c>
      <c r="J25" s="23">
        <f>Model!N44</f>
        <v>17645</v>
      </c>
      <c r="K25" s="23">
        <f>Model!O44</f>
        <v>20351</v>
      </c>
      <c r="L25" s="23">
        <f>Model!P44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Model!K56</f>
        <v>3943.8</v>
      </c>
      <c r="H31" s="23">
        <f>Model!L56</f>
        <v>4778.3</v>
      </c>
      <c r="I31" s="23">
        <f>Model!M56</f>
        <v>3135.2</v>
      </c>
      <c r="J31" s="23">
        <f>Model!N56</f>
        <v>5017</v>
      </c>
      <c r="K31" s="23">
        <f>Model!O56</f>
        <v>5589</v>
      </c>
      <c r="L31" s="23">
        <f>Model!P56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Model!K61</f>
        <v>867.7</v>
      </c>
      <c r="H37" s="13">
        <f>Model!L61</f>
        <v>2133.6999999999998</v>
      </c>
      <c r="I37" s="13">
        <f>Model!M61</f>
        <v>759.2</v>
      </c>
      <c r="J37" s="13">
        <f>Model!N61</f>
        <v>1280.4000000000001</v>
      </c>
      <c r="K37" s="13">
        <f>Model!O61</f>
        <v>1420</v>
      </c>
      <c r="L37" s="13">
        <f>Model!P61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Model!K136</f>
        <v>491.9</v>
      </c>
      <c r="H42" s="23">
        <f>Model!L136</f>
        <v>1245.3</v>
      </c>
      <c r="I42" s="23">
        <f>Model!M136</f>
        <v>1439</v>
      </c>
      <c r="J42" s="23">
        <f>Model!N136</f>
        <v>1453</v>
      </c>
      <c r="K42" s="23">
        <f>Model!O136</f>
        <v>1666</v>
      </c>
      <c r="L42" s="23">
        <f>Model!P136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+Model!K144</f>
        <v>-822.8</v>
      </c>
      <c r="H45" s="23">
        <f>+Model!L144</f>
        <v>-954.59999999999991</v>
      </c>
      <c r="I45" s="23">
        <f>+Model!M144</f>
        <v>-784</v>
      </c>
      <c r="J45" s="23">
        <f>+Model!N144</f>
        <v>-928</v>
      </c>
      <c r="K45" s="23">
        <f>+Model!O144</f>
        <v>-1070</v>
      </c>
      <c r="L45" s="23">
        <f>+Model!P144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Model!K141</f>
        <v>-51.6</v>
      </c>
      <c r="H48" s="23">
        <f>Model!L141</f>
        <v>-557.5</v>
      </c>
      <c r="I48" s="23">
        <f>Model!M141</f>
        <v>44.4</v>
      </c>
      <c r="J48" s="23">
        <f>Model!N141</f>
        <v>-38</v>
      </c>
      <c r="K48" s="23">
        <f>Model!O141</f>
        <v>-902</v>
      </c>
      <c r="L48" s="23">
        <f>Model!P141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+Main!H5+Model!E95+Model!E96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+Main!H6+Model!E116+Model!E117+Model!E118+Model!E119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21335.461878000002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35370.461878000002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2.8076640278432048E-2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69" bottom="1" rank="5"/>
    <cfRule type="top10" dxfId="78" priority="79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68" bottom="1" rank="5"/>
    <cfRule type="top10" dxfId="71" priority="78" rank="5"/>
  </conditionalFormatting>
  <conditionalFormatting sqref="K11">
    <cfRule type="top10" dxfId="70" priority="43" rank="10"/>
    <cfRule type="top10" dxfId="69" priority="44" bottom="1" rank="5"/>
    <cfRule type="top10" dxfId="68" priority="45" rank="5"/>
    <cfRule type="top10" dxfId="67" priority="46" percent="1" rank="10"/>
  </conditionalFormatting>
  <conditionalFormatting sqref="K15:K16">
    <cfRule type="top10" dxfId="66" priority="47" rank="10"/>
    <cfRule type="top10" dxfId="65" priority="48" bottom="1" rank="5"/>
    <cfRule type="top10" dxfId="64" priority="49" rank="5"/>
    <cfRule type="top10" dxfId="63" priority="50" percent="1" rank="10"/>
  </conditionalFormatting>
  <conditionalFormatting sqref="K6:L6">
    <cfRule type="top10" dxfId="62" priority="39" rank="10"/>
    <cfRule type="top10" dxfId="61" priority="40" bottom="1" rank="5"/>
    <cfRule type="top10" dxfId="60" priority="41" rank="5"/>
    <cfRule type="top10" dxfId="59" priority="42" percent="1" rank="10"/>
  </conditionalFormatting>
  <conditionalFormatting sqref="K18:N18">
    <cfRule type="top10" dxfId="58" priority="59" rank="10"/>
    <cfRule type="top10" dxfId="57" priority="60" bottom="1" rank="5"/>
    <cfRule type="top10" dxfId="56" priority="61" rank="5"/>
    <cfRule type="top10" dxfId="55" priority="62" percent="1" rank="10"/>
  </conditionalFormatting>
  <conditionalFormatting sqref="L7:L8 L10:L12 L14:L17 L19:L20">
    <cfRule type="cellIs" dxfId="54" priority="67" operator="between">
      <formula>0</formula>
      <formula>1.1</formula>
    </cfRule>
    <cfRule type="cellIs" dxfId="53" priority="77" operator="lessThan">
      <formula>0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0" bottom="1" rank="5"/>
    <cfRule type="top10" dxfId="42" priority="75" rank="5"/>
  </conditionalFormatting>
  <conditionalFormatting sqref="M11">
    <cfRule type="top10" dxfId="41" priority="23" rank="10"/>
    <cfRule type="top10" dxfId="40" priority="24" bottom="1" rank="5"/>
    <cfRule type="top10" dxfId="39" priority="25" rank="5"/>
    <cfRule type="top10" dxfId="38" priority="26" percent="1" rank="10"/>
  </conditionalFormatting>
  <conditionalFormatting sqref="M14">
    <cfRule type="top10" dxfId="37" priority="27" rank="10"/>
    <cfRule type="top10" dxfId="36" priority="28" bottom="1" rank="5"/>
    <cfRule type="top10" dxfId="35" priority="29" rank="5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19" rank="10"/>
    <cfRule type="top10" dxfId="26" priority="20" bottom="1" rank="5"/>
    <cfRule type="top10" dxfId="25" priority="21" rank="5"/>
    <cfRule type="top10" dxfId="24" priority="22" percent="1" rank="10"/>
  </conditionalFormatting>
  <conditionalFormatting sqref="N16">
    <cfRule type="top10" dxfId="23" priority="15" rank="10"/>
    <cfRule type="top10" dxfId="22" priority="16" bottom="1" rank="5"/>
    <cfRule type="top10" dxfId="21" priority="17" rank="5"/>
    <cfRule type="top10" dxfId="20" priority="18" percent="1" rank="10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1" rank="10"/>
    <cfRule type="top10" dxfId="12" priority="2" bottom="1" rank="5"/>
    <cfRule type="top10" dxfId="11" priority="3" rank="5"/>
    <cfRule type="top10" dxfId="10" priority="4" percent="1" rank="10"/>
  </conditionalFormatting>
  <conditionalFormatting sqref="O19">
    <cfRule type="top10" dxfId="9" priority="51" rank="10"/>
    <cfRule type="top10" dxfId="8" priority="52" bottom="1" rank="5"/>
    <cfRule type="top10" dxfId="7" priority="53" rank="5"/>
    <cfRule type="top10" dxfId="6" priority="54" percent="1" rank="10"/>
  </conditionalFormatting>
  <conditionalFormatting sqref="O6:P6">
    <cfRule type="top10" dxfId="5" priority="7" rank="10"/>
    <cfRule type="top10" dxfId="4" priority="8" bottom="1" rank="5"/>
    <cfRule type="top10" dxfId="3" priority="9" rank="5"/>
    <cfRule type="top10" dxfId="2" priority="10" percent="1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2025-06-16T16:15:53Z</dcterms:modified>
</cp:coreProperties>
</file>