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A5956AC-6674-45D1-92E9-1D205C936B47}" xr6:coauthVersionLast="47" xr6:coauthVersionMax="47" xr10:uidLastSave="{00000000-0000-0000-0000-000000000000}"/>
  <bookViews>
    <workbookView xWindow="19095" yWindow="0" windowWidth="19410" windowHeight="20925" activeTab="1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2" l="1"/>
  <c r="I41" i="2"/>
  <c r="H41" i="2"/>
  <c r="K40" i="2"/>
  <c r="I40" i="2"/>
  <c r="H40" i="2"/>
  <c r="K39" i="2"/>
  <c r="I39" i="2"/>
  <c r="H39" i="2"/>
  <c r="G41" i="2"/>
  <c r="G40" i="2"/>
  <c r="G39" i="2"/>
  <c r="J6" i="2"/>
  <c r="J5" i="2"/>
  <c r="J4" i="2"/>
  <c r="J3" i="2"/>
  <c r="J9" i="2"/>
  <c r="J10" i="2"/>
  <c r="J20" i="2"/>
  <c r="J41" i="2" s="1"/>
  <c r="J19" i="2"/>
  <c r="J40" i="2" s="1"/>
  <c r="J18" i="2"/>
  <c r="J39" i="2" s="1"/>
  <c r="F20" i="2"/>
  <c r="F19" i="2"/>
  <c r="F18" i="2"/>
  <c r="F6" i="2"/>
  <c r="F4" i="2"/>
  <c r="F3" i="2"/>
  <c r="F10" i="2"/>
  <c r="F9" i="2"/>
  <c r="F11" i="2"/>
  <c r="E11" i="2"/>
  <c r="D11" i="2"/>
  <c r="C11" i="2"/>
  <c r="N16" i="2"/>
  <c r="M16" i="2"/>
  <c r="N11" i="2"/>
  <c r="K16" i="2"/>
  <c r="K11" i="2"/>
  <c r="L16" i="2"/>
  <c r="J16" i="2"/>
  <c r="I16" i="2"/>
  <c r="H16" i="2"/>
  <c r="G16" i="2"/>
  <c r="E16" i="2"/>
  <c r="D16" i="2"/>
  <c r="C16" i="2"/>
  <c r="M11" i="2"/>
  <c r="L11" i="2"/>
  <c r="I11" i="2"/>
  <c r="H11" i="2"/>
  <c r="G11" i="2"/>
  <c r="K42" i="2"/>
  <c r="K23" i="2"/>
  <c r="K26" i="2" s="1"/>
  <c r="K29" i="2" s="1"/>
  <c r="J33" i="2"/>
  <c r="J30" i="2"/>
  <c r="J28" i="2"/>
  <c r="J27" i="2"/>
  <c r="J25" i="2"/>
  <c r="J24" i="2"/>
  <c r="J22" i="2"/>
  <c r="S42" i="2"/>
  <c r="R42" i="2"/>
  <c r="Q42" i="2"/>
  <c r="U41" i="2"/>
  <c r="T41" i="2"/>
  <c r="U40" i="2"/>
  <c r="T40" i="2"/>
  <c r="S40" i="2"/>
  <c r="R40" i="2"/>
  <c r="Q40" i="2"/>
  <c r="U39" i="2"/>
  <c r="T39" i="2"/>
  <c r="S39" i="2"/>
  <c r="R39" i="2"/>
  <c r="Q39" i="2"/>
  <c r="V41" i="2"/>
  <c r="V40" i="2"/>
  <c r="V39" i="2"/>
  <c r="U139" i="2"/>
  <c r="T139" i="2"/>
  <c r="S139" i="2"/>
  <c r="R139" i="2"/>
  <c r="Q139" i="2"/>
  <c r="P139" i="2"/>
  <c r="V139" i="2"/>
  <c r="V125" i="2"/>
  <c r="V126" i="2" s="1"/>
  <c r="V117" i="2"/>
  <c r="V106" i="2"/>
  <c r="V98" i="2"/>
  <c r="V88" i="2"/>
  <c r="V76" i="2"/>
  <c r="V83" i="2" s="1"/>
  <c r="V58" i="2"/>
  <c r="V69" i="2" s="1"/>
  <c r="V52" i="2"/>
  <c r="V57" i="2" s="1"/>
  <c r="K7" i="1"/>
  <c r="V31" i="2"/>
  <c r="J31" i="2" s="1"/>
  <c r="U16" i="2"/>
  <c r="T16" i="2"/>
  <c r="V16" i="2"/>
  <c r="V11" i="2"/>
  <c r="V21" i="2"/>
  <c r="J21" i="2" s="1"/>
  <c r="F33" i="2"/>
  <c r="F31" i="2"/>
  <c r="F30" i="2"/>
  <c r="F28" i="2"/>
  <c r="F27" i="2"/>
  <c r="F24" i="2"/>
  <c r="F22" i="2"/>
  <c r="T5" i="2"/>
  <c r="U5" i="2"/>
  <c r="F5" i="2" s="1"/>
  <c r="P5" i="2"/>
  <c r="Q5" i="2"/>
  <c r="R5" i="2"/>
  <c r="S5" i="2"/>
  <c r="P4" i="2"/>
  <c r="Q4" i="2"/>
  <c r="R4" i="2"/>
  <c r="S4" i="2"/>
  <c r="V60" i="4"/>
  <c r="V58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I44" i="4"/>
  <c r="H44" i="4"/>
  <c r="G44" i="4"/>
  <c r="L41" i="4"/>
  <c r="K41" i="4"/>
  <c r="J41" i="4"/>
  <c r="I41" i="4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J11" i="2" l="1"/>
  <c r="S3" i="2"/>
  <c r="K32" i="2"/>
  <c r="K34" i="2" s="1"/>
  <c r="K45" i="2"/>
  <c r="K43" i="2"/>
  <c r="K44" i="2"/>
  <c r="R3" i="2"/>
  <c r="I45" i="4"/>
  <c r="J45" i="4"/>
  <c r="Q3" i="2"/>
  <c r="P3" i="2"/>
  <c r="I42" i="4"/>
  <c r="J42" i="4"/>
  <c r="V71" i="2"/>
  <c r="V90" i="2"/>
  <c r="V100" i="2" s="1"/>
  <c r="V23" i="2"/>
  <c r="H45" i="4"/>
  <c r="I25" i="4"/>
  <c r="J25" i="4"/>
  <c r="H42" i="4"/>
  <c r="H25" i="4"/>
  <c r="G42" i="4"/>
  <c r="G45" i="4"/>
  <c r="K36" i="2" l="1"/>
  <c r="V26" i="2"/>
  <c r="V43" i="2"/>
  <c r="D2" i="3"/>
  <c r="E2" i="3" s="1"/>
  <c r="F2" i="3" s="1"/>
  <c r="G2" i="3" s="1"/>
  <c r="H2" i="3" s="1"/>
  <c r="I2" i="3" s="1"/>
  <c r="Q125" i="2"/>
  <c r="Q126" i="2" s="1"/>
  <c r="U11" i="2"/>
  <c r="T11" i="2"/>
  <c r="R11" i="2"/>
  <c r="Q11" i="2"/>
  <c r="P11" i="2"/>
  <c r="S11" i="2"/>
  <c r="T144" i="2"/>
  <c r="T126" i="2"/>
  <c r="S126" i="2"/>
  <c r="R126" i="2"/>
  <c r="P126" i="2"/>
  <c r="U126" i="2"/>
  <c r="T117" i="2"/>
  <c r="K47" i="4" s="1"/>
  <c r="S117" i="2"/>
  <c r="J47" i="4" s="1"/>
  <c r="J48" i="4" s="1"/>
  <c r="R117" i="2"/>
  <c r="I47" i="4" s="1"/>
  <c r="I48" i="4" s="1"/>
  <c r="Q117" i="2"/>
  <c r="H47" i="4" s="1"/>
  <c r="H48" i="4" s="1"/>
  <c r="P117" i="2"/>
  <c r="G47" i="4" s="1"/>
  <c r="G48" i="4" s="1"/>
  <c r="U117" i="2"/>
  <c r="L47" i="4" s="1"/>
  <c r="T98" i="2"/>
  <c r="S98" i="2"/>
  <c r="R98" i="2"/>
  <c r="Q98" i="2"/>
  <c r="P98" i="2"/>
  <c r="U98" i="2"/>
  <c r="T88" i="2"/>
  <c r="S88" i="2"/>
  <c r="R88" i="2"/>
  <c r="Q88" i="2"/>
  <c r="P88" i="2"/>
  <c r="U88" i="2"/>
  <c r="T76" i="2"/>
  <c r="T83" i="2" s="1"/>
  <c r="S76" i="2"/>
  <c r="S83" i="2" s="1"/>
  <c r="R76" i="2"/>
  <c r="R83" i="2" s="1"/>
  <c r="Q76" i="2"/>
  <c r="Q83" i="2" s="1"/>
  <c r="P76" i="2"/>
  <c r="P83" i="2" s="1"/>
  <c r="U76" i="2"/>
  <c r="U83" i="2" s="1"/>
  <c r="T58" i="2"/>
  <c r="T69" i="2" s="1"/>
  <c r="S58" i="2"/>
  <c r="S69" i="2" s="1"/>
  <c r="R58" i="2"/>
  <c r="R69" i="2" s="1"/>
  <c r="Q58" i="2"/>
  <c r="Q69" i="2" s="1"/>
  <c r="P58" i="2"/>
  <c r="P69" i="2" s="1"/>
  <c r="U58" i="2"/>
  <c r="U69" i="2" s="1"/>
  <c r="T52" i="2"/>
  <c r="T57" i="2" s="1"/>
  <c r="S52" i="2"/>
  <c r="S57" i="2" s="1"/>
  <c r="R52" i="2"/>
  <c r="R57" i="2" s="1"/>
  <c r="Q52" i="2"/>
  <c r="Q57" i="2" s="1"/>
  <c r="P52" i="2"/>
  <c r="P57" i="2" s="1"/>
  <c r="U52" i="2"/>
  <c r="U57" i="2" s="1"/>
  <c r="T21" i="2"/>
  <c r="T42" i="2" s="1"/>
  <c r="U21" i="2"/>
  <c r="I42" i="2"/>
  <c r="H42" i="2"/>
  <c r="G42" i="2"/>
  <c r="P24" i="2"/>
  <c r="Q24" i="2"/>
  <c r="R24" i="2"/>
  <c r="S23" i="2"/>
  <c r="S26" i="2" s="1"/>
  <c r="R23" i="2"/>
  <c r="R43" i="2" s="1"/>
  <c r="Q23" i="2"/>
  <c r="Q43" i="2" s="1"/>
  <c r="P23" i="2"/>
  <c r="E23" i="2"/>
  <c r="E26" i="2" s="1"/>
  <c r="E44" i="2" s="1"/>
  <c r="D23" i="2"/>
  <c r="D26" i="2" s="1"/>
  <c r="D44" i="2" s="1"/>
  <c r="C23" i="2"/>
  <c r="C43" i="2" s="1"/>
  <c r="J23" i="2"/>
  <c r="J26" i="2" s="1"/>
  <c r="J44" i="2" s="1"/>
  <c r="I23" i="2"/>
  <c r="I43" i="2" s="1"/>
  <c r="H23" i="2"/>
  <c r="H43" i="2" s="1"/>
  <c r="G23" i="2"/>
  <c r="G26" i="2" s="1"/>
  <c r="G44" i="2" s="1"/>
  <c r="K5" i="1"/>
  <c r="U42" i="2" l="1"/>
  <c r="V42" i="2"/>
  <c r="V44" i="2"/>
  <c r="V29" i="2"/>
  <c r="S29" i="2"/>
  <c r="S32" i="2" s="1"/>
  <c r="S34" i="2" s="1"/>
  <c r="J30" i="4"/>
  <c r="K24" i="4"/>
  <c r="K48" i="4" s="1"/>
  <c r="U23" i="2"/>
  <c r="U26" i="2" s="1"/>
  <c r="U44" i="2" s="1"/>
  <c r="L24" i="4"/>
  <c r="F21" i="2"/>
  <c r="P71" i="2"/>
  <c r="U90" i="2"/>
  <c r="U100" i="2" s="1"/>
  <c r="R71" i="2"/>
  <c r="Q90" i="2"/>
  <c r="Q100" i="2" s="1"/>
  <c r="R90" i="2"/>
  <c r="R100" i="2" s="1"/>
  <c r="S90" i="2"/>
  <c r="S100" i="2" s="1"/>
  <c r="Q71" i="2"/>
  <c r="P90" i="2"/>
  <c r="P100" i="2" s="1"/>
  <c r="U71" i="2"/>
  <c r="T71" i="2"/>
  <c r="S71" i="2"/>
  <c r="T90" i="2"/>
  <c r="T100" i="2" s="1"/>
  <c r="I26" i="2"/>
  <c r="I44" i="2" s="1"/>
  <c r="H26" i="2"/>
  <c r="H44" i="2" s="1"/>
  <c r="T23" i="2"/>
  <c r="T26" i="2" s="1"/>
  <c r="D43" i="2"/>
  <c r="J43" i="2"/>
  <c r="E43" i="2"/>
  <c r="G43" i="2"/>
  <c r="P26" i="2"/>
  <c r="P43" i="2"/>
  <c r="C26" i="2"/>
  <c r="C44" i="2" s="1"/>
  <c r="S44" i="2"/>
  <c r="Q26" i="2"/>
  <c r="S43" i="2"/>
  <c r="K8" i="1"/>
  <c r="R26" i="2"/>
  <c r="J29" i="2"/>
  <c r="D29" i="2"/>
  <c r="E29" i="2"/>
  <c r="G29" i="2"/>
  <c r="U43" i="2" l="1"/>
  <c r="S36" i="2"/>
  <c r="V32" i="2"/>
  <c r="V45" i="2"/>
  <c r="I6" i="3" s="1"/>
  <c r="S45" i="2"/>
  <c r="F6" i="3" s="1"/>
  <c r="S104" i="2"/>
  <c r="S118" i="2" s="1"/>
  <c r="S142" i="2" s="1"/>
  <c r="H30" i="4"/>
  <c r="P29" i="2"/>
  <c r="P32" i="2" s="1"/>
  <c r="G30" i="4"/>
  <c r="I30" i="4"/>
  <c r="J42" i="2"/>
  <c r="F23" i="2"/>
  <c r="T29" i="2"/>
  <c r="K30" i="4"/>
  <c r="L25" i="4"/>
  <c r="L45" i="4"/>
  <c r="L42" i="4"/>
  <c r="M24" i="4"/>
  <c r="U29" i="2"/>
  <c r="L30" i="4"/>
  <c r="L48" i="4"/>
  <c r="K31" i="4"/>
  <c r="K25" i="4"/>
  <c r="K45" i="4"/>
  <c r="K42" i="4"/>
  <c r="J39" i="4"/>
  <c r="J50" i="4" s="1"/>
  <c r="J37" i="4"/>
  <c r="J31" i="4"/>
  <c r="T44" i="2"/>
  <c r="F4" i="3"/>
  <c r="T43" i="2"/>
  <c r="I29" i="2"/>
  <c r="I45" i="2" s="1"/>
  <c r="C29" i="2"/>
  <c r="C32" i="2" s="1"/>
  <c r="C34" i="2" s="1"/>
  <c r="H29" i="2"/>
  <c r="H32" i="2" s="1"/>
  <c r="H34" i="2" s="1"/>
  <c r="P44" i="2"/>
  <c r="R29" i="2"/>
  <c r="R44" i="2"/>
  <c r="E32" i="2"/>
  <c r="E34" i="2" s="1"/>
  <c r="E45" i="2"/>
  <c r="J32" i="2"/>
  <c r="J34" i="2" s="1"/>
  <c r="J36" i="2" s="1"/>
  <c r="J45" i="2"/>
  <c r="Q29" i="2"/>
  <c r="Q44" i="2"/>
  <c r="G32" i="2"/>
  <c r="G34" i="2" s="1"/>
  <c r="G37" i="2" s="1"/>
  <c r="G45" i="2"/>
  <c r="D32" i="2"/>
  <c r="D34" i="2" s="1"/>
  <c r="D45" i="2"/>
  <c r="P45" i="2" l="1"/>
  <c r="C6" i="3" s="1"/>
  <c r="V34" i="2"/>
  <c r="I4" i="3" s="1"/>
  <c r="V104" i="2"/>
  <c r="V118" i="2" s="1"/>
  <c r="V142" i="2" s="1"/>
  <c r="H37" i="2"/>
  <c r="N24" i="4"/>
  <c r="M30" i="4"/>
  <c r="M36" i="4" s="1"/>
  <c r="M39" i="4" s="1"/>
  <c r="M41" i="4"/>
  <c r="M44" i="4"/>
  <c r="M47" i="4"/>
  <c r="K39" i="4"/>
  <c r="K50" i="4" s="1"/>
  <c r="K37" i="4"/>
  <c r="E37" i="2"/>
  <c r="L37" i="4"/>
  <c r="L31" i="4"/>
  <c r="L39" i="4"/>
  <c r="L50" i="4" s="1"/>
  <c r="U32" i="2"/>
  <c r="U45" i="2"/>
  <c r="H6" i="3" s="1"/>
  <c r="T32" i="2"/>
  <c r="T45" i="2"/>
  <c r="G6" i="3" s="1"/>
  <c r="F26" i="2"/>
  <c r="F43" i="2"/>
  <c r="D37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I32" i="2"/>
  <c r="I34" i="2" s="1"/>
  <c r="H45" i="2"/>
  <c r="C45" i="2"/>
  <c r="P34" i="2"/>
  <c r="P36" i="2" s="1"/>
  <c r="P104" i="2"/>
  <c r="P118" i="2" s="1"/>
  <c r="P142" i="2" s="1"/>
  <c r="C37" i="2"/>
  <c r="Q32" i="2"/>
  <c r="Q45" i="2"/>
  <c r="D6" i="3" s="1"/>
  <c r="R32" i="2"/>
  <c r="R45" i="2"/>
  <c r="E6" i="3" s="1"/>
  <c r="V36" i="2" l="1"/>
  <c r="C4" i="3"/>
  <c r="U34" i="2"/>
  <c r="U36" i="2" s="1"/>
  <c r="F36" i="2" s="1"/>
  <c r="U104" i="2"/>
  <c r="U118" i="2" s="1"/>
  <c r="U142" i="2" s="1"/>
  <c r="U144" i="2" s="1"/>
  <c r="V143" i="2" s="1"/>
  <c r="V144" i="2" s="1"/>
  <c r="F44" i="2"/>
  <c r="F29" i="2"/>
  <c r="T34" i="2"/>
  <c r="T36" i="2" s="1"/>
  <c r="T104" i="2"/>
  <c r="T118" i="2" s="1"/>
  <c r="T142" i="2" s="1"/>
  <c r="T143" i="2" s="1"/>
  <c r="S144" i="2" s="1"/>
  <c r="S143" i="2" s="1"/>
  <c r="R144" i="2" s="1"/>
  <c r="I37" i="2"/>
  <c r="M50" i="4"/>
  <c r="M51" i="4" s="1"/>
  <c r="N30" i="4"/>
  <c r="N36" i="4" s="1"/>
  <c r="N39" i="4" s="1"/>
  <c r="N44" i="4"/>
  <c r="O24" i="4"/>
  <c r="N41" i="4"/>
  <c r="N47" i="4"/>
  <c r="R34" i="2"/>
  <c r="R36" i="2" s="1"/>
  <c r="R104" i="2"/>
  <c r="R118" i="2" s="1"/>
  <c r="R142" i="2" s="1"/>
  <c r="R143" i="2" s="1"/>
  <c r="Q144" i="2" s="1"/>
  <c r="Q34" i="2"/>
  <c r="Q36" i="2" s="1"/>
  <c r="Q104" i="2"/>
  <c r="Q118" i="2" s="1"/>
  <c r="Q142" i="2" s="1"/>
  <c r="E4" i="3" l="1"/>
  <c r="O30" i="4"/>
  <c r="O36" i="4" s="1"/>
  <c r="O39" i="4" s="1"/>
  <c r="P24" i="4"/>
  <c r="O41" i="4"/>
  <c r="O47" i="4"/>
  <c r="O44" i="4"/>
  <c r="N50" i="4"/>
  <c r="N51" i="4" s="1"/>
  <c r="G4" i="3"/>
  <c r="F32" i="2"/>
  <c r="F34" i="2" s="1"/>
  <c r="F45" i="2"/>
  <c r="H4" i="3"/>
  <c r="D4" i="3"/>
  <c r="Q143" i="2"/>
  <c r="P144" i="2" s="1"/>
  <c r="P143" i="2" s="1"/>
  <c r="F37" i="2" l="1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31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V106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Q125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<sst xmlns="http://schemas.openxmlformats.org/spreadsheetml/2006/main" count="352" uniqueCount="264">
  <si>
    <t>Philipp Morris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</si>
  <si>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</si>
  <si>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</si>
  <si>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</si>
  <si>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</si>
  <si>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</si>
  <si>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</si>
  <si>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</si>
  <si>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</si>
  <si>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</si>
  <si>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</si>
  <si>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</si>
  <si>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</si>
  <si>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</si>
  <si>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</si>
  <si>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</si>
  <si>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</si>
  <si>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</si>
  <si>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</si>
  <si>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</si>
  <si>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</si>
  <si>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</si>
  <si>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</si>
  <si>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</si>
  <si>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</si>
  <si>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</si>
  <si>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</si>
  <si>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</si>
  <si>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</si>
  <si>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</si>
  <si>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</si>
  <si>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</si>
  <si>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</si>
  <si>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</si>
  <si>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</si>
  <si>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</si>
  <si>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</si>
  <si>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</si>
  <si>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</si>
  <si>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</si>
  <si>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>Revenue Growth</t>
  </si>
  <si>
    <t>Gross Margin</t>
  </si>
  <si>
    <t>Operating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</si>
  <si>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</si>
  <si>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</si>
  <si>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</si>
  <si>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</si>
  <si>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</si>
  <si>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</si>
  <si>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</si>
  <si>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</si>
  <si>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</si>
  <si>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</si>
  <si>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</si>
  <si>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</si>
  <si>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</si>
  <si>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</si>
  <si>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</si>
  <si>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</si>
  <si>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</si>
  <si>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</si>
  <si>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</si>
  <si>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</si>
  <si>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</si>
  <si>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</si>
  <si>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</si>
  <si>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</si>
  <si>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</si>
  <si>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</si>
  <si>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</si>
  <si>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</si>
  <si>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</si>
  <si>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</si>
  <si>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</si>
  <si>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</si>
  <si>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</si>
  <si>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</si>
  <si>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</si>
  <si>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</si>
  <si>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</si>
  <si>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</si>
  <si>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</si>
  <si>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</si>
  <si>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</si>
  <si>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</si>
  <si>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</si>
  <si>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</si>
  <si>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</si>
  <si>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</si>
  <si>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</si>
  <si>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</si>
  <si>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</si>
  <si>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</si>
  <si>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</si>
  <si>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</si>
  <si>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</si>
  <si>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</si>
  <si>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</si>
  <si>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</si>
  <si>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</si>
  <si>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</si>
  <si>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</si>
  <si>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</si>
  <si>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</si>
  <si>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</si>
  <si>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</si>
  <si>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</si>
  <si>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</si>
  <si>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</si>
  <si>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</si>
  <si>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</si>
  <si>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</si>
  <si>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</si>
  <si>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</si>
  <si>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</si>
  <si>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</si>
  <si>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</si>
  <si>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</si>
  <si>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</si>
  <si>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</si>
  <si>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</si>
  <si>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</si>
  <si>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</si>
  <si>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</si>
  <si>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</si>
  <si>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</si>
  <si>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</si>
  <si>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</si>
  <si>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</si>
  <si>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</si>
  <si>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</si>
  <si>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</si>
  <si>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</si>
  <si>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</si>
  <si>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</si>
  <si>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</si>
  <si>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</si>
  <si>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</si>
  <si>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</si>
  <si>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</si>
  <si>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</si>
  <si>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</si>
  <si>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</si>
  <si>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</si>
  <si>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</si>
  <si>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</si>
  <si>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</si>
  <si>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</si>
  <si>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</si>
  <si>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</si>
  <si>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</si>
  <si>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</si>
  <si>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</si>
  <si>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</si>
  <si>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</si>
  <si>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</si>
  <si>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</si>
  <si>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</si>
  <si>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</si>
  <si>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</si>
  <si>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</si>
  <si>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</si>
  <si>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</si>
  <si>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</si>
  <si>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</si>
  <si>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</si>
  <si>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</si>
  <si>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</si>
  <si>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</si>
  <si>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</si>
  <si>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</si>
  <si>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</si>
  <si>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</si>
  <si>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</si>
  <si>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</si>
  <si>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</si>
  <si>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</si>
  <si>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</si>
  <si>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</si>
  <si>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</si>
  <si>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</si>
  <si>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</si>
  <si>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</si>
  <si>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</si>
  <si>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</si>
  <si>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</si>
  <si>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</si>
  <si>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</si>
  <si>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</si>
  <si>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</si>
  <si>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</si>
  <si>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</si>
  <si>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</si>
  <si>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</si>
  <si>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</si>
  <si>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</si>
  <si>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</si>
  <si>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</si>
  <si>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</si>
  <si>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</si>
  <si>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</si>
  <si>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</si>
  <si>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</si>
  <si>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</si>
  <si>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</si>
  <si>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</si>
  <si>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</si>
  <si>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</si>
  <si>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</si>
  <si>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</si>
  <si>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</si>
  <si>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</si>
  <si>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</si>
  <si>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</si>
  <si>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</si>
  <si>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</si>
  <si>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</si>
  <si>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</si>
  <si>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</si>
  <si>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</si>
  <si>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</si>
  <si>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</si>
  <si>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</si>
  <si>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</si>
  <si>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</si>
  <si>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</si>
  <si>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</si>
  <si>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</si>
  <si>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</si>
  <si>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</si>
  <si>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</si>
  <si>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</si>
  <si>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</si>
  <si>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</si>
  <si>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</si>
  <si>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</si>
  <si>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</si>
  <si>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</si>
  <si>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</si>
  <si>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</si>
  <si>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</si>
  <si>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</si>
  <si>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</si>
  <si>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</si>
  <si>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</si>
  <si>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</si>
  <si>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</si>
  <si>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</si>
  <si>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Heated Tobacco</t>
  </si>
  <si>
    <t>Nicotine Pouches</t>
  </si>
  <si>
    <t xml:space="preserve">Snus </t>
  </si>
  <si>
    <t>Moist Snuff</t>
  </si>
  <si>
    <t>Other Oral Products</t>
  </si>
  <si>
    <t>Equity Investment Loss &amp; other</t>
  </si>
  <si>
    <t>n.a.</t>
  </si>
  <si>
    <t>Q125</t>
  </si>
  <si>
    <t>IR</t>
  </si>
  <si>
    <t>Q225</t>
  </si>
  <si>
    <t>Q325</t>
  </si>
  <si>
    <t>Q425</t>
  </si>
  <si>
    <t>Total Oral Products (in million cans)</t>
  </si>
  <si>
    <t>PMI Shimpment Volume</t>
  </si>
  <si>
    <t>Total (in billion units)</t>
  </si>
  <si>
    <t>TM excl. China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</si>
</sst>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  <numFmt numFmtId="173" formatCode="#,##0.00;\(#,##0.00\)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4" fillId="0" borderId="7" xfId="0" applyFont="1" applyBorder="1"/>
    <xf numFmtId="9" fontId="0" fillId="0" borderId="0" xfId="0" applyNumberFormat="1"/>
    <xf numFmtId="9" fontId="0" fillId="0" borderId="5" xfId="0" applyNumberFormat="1" applyBorder="1"/>
    <xf numFmtId="0" fontId="1" fillId="0" borderId="9" xfId="0" applyFont="1" applyBorder="1"/>
    <xf numFmtId="9" fontId="0" fillId="0" borderId="10" xfId="0" applyNumberForma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8" fontId="0" fillId="2" borderId="14" xfId="2" applyNumberFormat="1" applyFont="1" applyFill="1" applyBorder="1" applyAlignment="1">
      <alignment horizontal="center"/>
    </xf>
    <xf numFmtId="169" fontId="8" fillId="3" borderId="0" xfId="0" applyNumberFormat="1" applyFont="1" applyFill="1"/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11" fillId="0" borderId="0" xfId="0" applyFont="1"/>
    <xf numFmtId="9" fontId="11" fillId="0" borderId="0" xfId="2" applyFont="1"/>
    <xf numFmtId="168" fontId="0" fillId="2" borderId="14" xfId="2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7" fontId="1" fillId="5" borderId="3" xfId="0" applyNumberFormat="1" applyFont="1" applyFill="1" applyBorder="1"/>
    <xf numFmtId="168" fontId="11" fillId="0" borderId="0" xfId="2" applyNumberFormat="1" applyFont="1"/>
    <xf numFmtId="168" fontId="11" fillId="0" borderId="0" xfId="0" applyNumberFormat="1" applyFont="1"/>
    <xf numFmtId="167" fontId="1" fillId="5" borderId="4" xfId="0" applyNumberFormat="1" applyFont="1" applyFill="1" applyBorder="1"/>
    <xf numFmtId="167" fontId="1" fillId="5" borderId="5" xfId="0" applyNumberFormat="1" applyFont="1" applyFill="1" applyBorder="1"/>
    <xf numFmtId="167" fontId="1" fillId="5" borderId="6" xfId="0" applyNumberFormat="1" applyFont="1" applyFill="1" applyBorder="1"/>
    <xf numFmtId="167" fontId="1" fillId="5" borderId="9" xfId="0" applyNumberFormat="1" applyFont="1" applyFill="1" applyBorder="1"/>
    <xf numFmtId="167" fontId="1" fillId="5" borderId="10" xfId="0" applyNumberFormat="1" applyFont="1" applyFill="1" applyBorder="1"/>
    <xf numFmtId="167" fontId="1" fillId="5" borderId="11" xfId="0" applyNumberFormat="1" applyFont="1" applyFill="1" applyBorder="1"/>
    <xf numFmtId="167" fontId="0" fillId="0" borderId="10" xfId="0" applyNumberFormat="1" applyBorder="1"/>
    <xf numFmtId="167" fontId="0" fillId="0" borderId="2" xfId="0" applyNumberFormat="1" applyBorder="1"/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8" fontId="8" fillId="6" borderId="0" xfId="0" applyNumberFormat="1" applyFont="1" applyFill="1"/>
    <xf numFmtId="171" fontId="0" fillId="0" borderId="0" xfId="0" applyNumberFormat="1"/>
    <xf numFmtId="14" fontId="0" fillId="2" borderId="13" xfId="0" applyNumberFormat="1" applyFill="1" applyBorder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8" fontId="0" fillId="2" borderId="14" xfId="2" applyNumberFormat="1" applyFont="1" applyFill="1" applyBorder="1" applyAlignment="1">
      <alignment horizontal="right"/>
    </xf>
    <xf numFmtId="9" fontId="0" fillId="2" borderId="14" xfId="2" applyFont="1" applyFill="1" applyBorder="1" applyAlignment="1">
      <alignment horizontal="center"/>
    </xf>
    <xf numFmtId="172" fontId="0" fillId="0" borderId="0" xfId="0" applyNumberFormat="1"/>
    <xf numFmtId="172" fontId="1" fillId="0" borderId="0" xfId="0" applyNumberFormat="1" applyFont="1"/>
    <xf numFmtId="168" fontId="0" fillId="0" borderId="0" xfId="2" applyNumberFormat="1" applyFont="1"/>
    <xf numFmtId="164" fontId="0" fillId="0" borderId="0" xfId="0" applyNumberFormat="1" applyAlignment="1">
      <alignment horizontal="right"/>
    </xf>
    <xf numFmtId="173" fontId="0" fillId="0" borderId="0" xfId="0" applyNumberFormat="1"/>
    <xf numFmtId="164" fontId="1" fillId="0" borderId="0" xfId="0" applyNumberFormat="1" applyFont="1"/>
    <xf numFmtId="9" fontId="1" fillId="0" borderId="0" xfId="2" applyFont="1"/>
    <xf numFmtId="168" fontId="0" fillId="0" borderId="0" xfId="2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9" fontId="5" fillId="0" borderId="0" xfId="2" applyFo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i.com/investor-relations/over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zoomScale="200" zoomScaleNormal="200" workbookViewId="0">
      <selection activeCell="K4" sqref="K4"/>
    </sheetView>
  </sheetViews>
  <sheetFormatPr defaultRowHeight="15" x14ac:dyDescent="0.25"/>
  <cols>
    <col min="1" max="1" width="4.42578125" customWidth="1"/>
    <col min="2" max="2" width="13.85546875" bestFit="1" customWidth="1"/>
    <col min="3" max="3" width="11.5703125" customWidth="1"/>
    <col min="4" max="4" width="47.85546875" bestFit="1" customWidth="1"/>
    <col min="5" max="5" width="7.42578125" bestFit="1" customWidth="1"/>
    <col min="6" max="6" width="11.7109375" bestFit="1" customWidth="1"/>
    <col min="10" max="10" width="14.5703125" bestFit="1" customWidth="1"/>
    <col min="11" max="11" width="8.85546875" bestFit="1" customWidth="1"/>
  </cols>
  <sheetData>
    <row r="1" spans="1:12" x14ac:dyDescent="0.25">
      <c r="A1" s="1" t="s">
        <v>0</v>
      </c>
    </row>
    <row r="2" spans="1:12" x14ac:dyDescent="0.25">
      <c r="A2" t="s">
        <v>247</v>
      </c>
      <c r="J2" s="2"/>
    </row>
    <row r="3" spans="1:12" x14ac:dyDescent="0.25">
      <c r="C3" s="4" t="s">
        <v>256</v>
      </c>
      <c r="J3" t="s">
        <v>1</v>
      </c>
      <c r="K3" s="3">
        <v>170.9</v>
      </c>
    </row>
    <row r="4" spans="1:12" x14ac:dyDescent="0.25">
      <c r="B4" s="6" t="s">
        <v>44</v>
      </c>
      <c r="J4" t="s">
        <v>2</v>
      </c>
      <c r="K4" s="73">
        <v>1554.857221</v>
      </c>
      <c r="L4" s="5" t="s">
        <v>257</v>
      </c>
    </row>
    <row r="5" spans="1:12" x14ac:dyDescent="0.25">
      <c r="B5" s="9" t="s">
        <v>45</v>
      </c>
      <c r="C5" s="10" t="s">
        <v>46</v>
      </c>
      <c r="D5" s="10" t="s">
        <v>49</v>
      </c>
      <c r="E5" s="10" t="s">
        <v>59</v>
      </c>
      <c r="F5" s="11" t="s">
        <v>50</v>
      </c>
      <c r="J5" t="s">
        <v>3</v>
      </c>
      <c r="K5" s="73">
        <f>K4*K3</f>
        <v>265725.09906889999</v>
      </c>
    </row>
    <row r="6" spans="1:12" x14ac:dyDescent="0.25">
      <c r="B6" s="18" t="s">
        <v>48</v>
      </c>
      <c r="C6" s="21">
        <v>0.63</v>
      </c>
      <c r="D6" s="12" t="s">
        <v>60</v>
      </c>
      <c r="E6" s="12">
        <v>175</v>
      </c>
      <c r="F6" s="13"/>
      <c r="J6" t="s">
        <v>4</v>
      </c>
      <c r="K6" s="73">
        <v>4216</v>
      </c>
      <c r="L6" s="5" t="s">
        <v>257</v>
      </c>
    </row>
    <row r="7" spans="1:12" x14ac:dyDescent="0.25">
      <c r="B7" s="19" t="s">
        <v>58</v>
      </c>
      <c r="C7" s="20">
        <v>0.36</v>
      </c>
      <c r="D7" t="s">
        <v>61</v>
      </c>
      <c r="E7">
        <v>84</v>
      </c>
      <c r="F7" s="15"/>
      <c r="J7" t="s">
        <v>5</v>
      </c>
      <c r="K7" s="73">
        <f>137+3392+42166</f>
        <v>45695</v>
      </c>
      <c r="L7" s="5" t="s">
        <v>257</v>
      </c>
    </row>
    <row r="8" spans="1:12" x14ac:dyDescent="0.25">
      <c r="B8" s="14" t="s">
        <v>52</v>
      </c>
      <c r="D8" t="s">
        <v>62</v>
      </c>
      <c r="F8" s="15"/>
      <c r="J8" t="s">
        <v>6</v>
      </c>
      <c r="K8" s="73">
        <f>K5-K6+K7</f>
        <v>307204.09906889999</v>
      </c>
    </row>
    <row r="9" spans="1:12" x14ac:dyDescent="0.25">
      <c r="B9" s="14" t="s">
        <v>53</v>
      </c>
      <c r="D9" t="s">
        <v>57</v>
      </c>
      <c r="F9" s="15"/>
    </row>
    <row r="10" spans="1:12" x14ac:dyDescent="0.25">
      <c r="B10" s="14" t="s">
        <v>54</v>
      </c>
      <c r="D10" t="s">
        <v>56</v>
      </c>
      <c r="F10" s="15"/>
    </row>
    <row r="11" spans="1:12" x14ac:dyDescent="0.25">
      <c r="B11" s="22" t="s">
        <v>63</v>
      </c>
      <c r="C11" s="23">
        <v>0.01</v>
      </c>
      <c r="D11" s="16"/>
      <c r="E11" s="16"/>
      <c r="F11" s="17"/>
    </row>
    <row r="13" spans="1:12" x14ac:dyDescent="0.25">
      <c r="B13" t="s">
        <v>47</v>
      </c>
    </row>
    <row r="14" spans="1:12" x14ac:dyDescent="0.25">
      <c r="B14" t="s">
        <v>51</v>
      </c>
    </row>
    <row r="15" spans="1:12" x14ac:dyDescent="0.25">
      <c r="B15" t="s">
        <v>55</v>
      </c>
    </row>
    <row r="16" spans="1:12" x14ac:dyDescent="0.25">
      <c r="B16" t="s">
        <v>243</v>
      </c>
    </row>
    <row r="17" spans="2:2" x14ac:dyDescent="0.25">
      <c r="B17" t="s">
        <v>244</v>
      </c>
    </row>
    <row r="18" spans="2:2" x14ac:dyDescent="0.25">
      <c r="B18" t="s">
        <v>245</v>
      </c>
    </row>
  </sheetData>
  <hyperlinks>
    <hyperlink ref="C3" r:id="rId1" xr:uid="{E5A29510-1B7A-4CFE-9AAF-A8E01DEE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Q212"/>
  <sheetViews>
    <sheetView tabSelected="1"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4" sqref="L4:L6"/>
    </sheetView>
  </sheetViews>
  <sheetFormatPr defaultRowHeight="15" x14ac:dyDescent="0.25"/>
  <cols>
    <col min="1" max="1" width="4.7109375" bestFit="1" customWidth="1"/>
    <col min="2" max="2" width="30.140625" bestFit="1" customWidth="1"/>
    <col min="16" max="18" width="9.28515625" bestFit="1" customWidth="1"/>
    <col min="19" max="19" width="9.7109375" bestFit="1" customWidth="1"/>
    <col min="20" max="21" width="9.28515625" bestFit="1" customWidth="1"/>
  </cols>
  <sheetData>
    <row r="1" spans="1:37" x14ac:dyDescent="0.25">
      <c r="A1" s="4" t="s">
        <v>7</v>
      </c>
    </row>
    <row r="2" spans="1:37" x14ac:dyDescent="0.25"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255</v>
      </c>
      <c r="L2" s="5" t="s">
        <v>257</v>
      </c>
      <c r="M2" s="5" t="s">
        <v>258</v>
      </c>
      <c r="N2" s="5" t="s">
        <v>259</v>
      </c>
      <c r="O2" s="5"/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  <c r="V2" s="5" t="s">
        <v>38</v>
      </c>
    </row>
    <row r="3" spans="1:37" x14ac:dyDescent="0.25">
      <c r="B3" t="s">
        <v>263</v>
      </c>
      <c r="C3" s="5">
        <v>614.20000000000005</v>
      </c>
      <c r="D3" s="5">
        <v>647.20000000000005</v>
      </c>
      <c r="E3" s="5">
        <v>553.1</v>
      </c>
      <c r="F3" s="76">
        <f>+U3-SUM(C3:E3)</f>
        <v>765.40000000000009</v>
      </c>
      <c r="G3" s="3">
        <v>618.79999999999995</v>
      </c>
      <c r="H3" s="3">
        <v>657.2</v>
      </c>
      <c r="I3" s="3">
        <v>568.1</v>
      </c>
      <c r="J3" s="73">
        <f>+V3-SUM(G3:I3)</f>
        <v>773.90000000000009</v>
      </c>
      <c r="K3" s="3">
        <v>615.20000000000005</v>
      </c>
      <c r="L3" s="3">
        <v>654.5</v>
      </c>
      <c r="M3" s="3"/>
      <c r="N3" s="3"/>
      <c r="O3" s="3"/>
      <c r="P3" s="3">
        <f t="shared" ref="P3:R3" si="0">P9*(1/P4)+(P10*(P5/1))</f>
        <v>2773.3773078052436</v>
      </c>
      <c r="Q3" s="3">
        <f t="shared" si="0"/>
        <v>2698.6749394198469</v>
      </c>
      <c r="R3" s="3">
        <f t="shared" si="0"/>
        <v>2271.3013805415167</v>
      </c>
      <c r="S3" s="3">
        <f>S9*(1/S4)+(S10*(S5/1))</f>
        <v>2291.4054489051632</v>
      </c>
      <c r="T3" s="3">
        <v>2621.5</v>
      </c>
      <c r="U3" s="3">
        <v>2579.9</v>
      </c>
      <c r="V3" s="3">
        <v>2618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5">
      <c r="B4" t="s">
        <v>144</v>
      </c>
      <c r="C4" s="80">
        <v>0.22700000000000001</v>
      </c>
      <c r="D4" s="80">
        <v>0.23400000000000001</v>
      </c>
      <c r="E4" s="80">
        <v>0.23699999999999999</v>
      </c>
      <c r="F4" s="75">
        <f>+U4</f>
        <v>0.23699999999999999</v>
      </c>
      <c r="G4" s="75">
        <v>0.22800000000000001</v>
      </c>
      <c r="H4" s="75">
        <v>0.23200000000000001</v>
      </c>
      <c r="I4" s="75">
        <v>0.23599999999999999</v>
      </c>
      <c r="J4" s="75">
        <f>+V4</f>
        <v>0.23499999999999999</v>
      </c>
      <c r="K4" s="75">
        <v>0.23</v>
      </c>
      <c r="L4" s="75">
        <v>0.23400000000000001</v>
      </c>
      <c r="M4" s="3"/>
      <c r="N4" s="3"/>
      <c r="O4" s="3"/>
      <c r="P4" s="75">
        <f>26.7/100</f>
        <v>0.26700000000000002</v>
      </c>
      <c r="Q4" s="75">
        <f>26.2/100</f>
        <v>0.26200000000000001</v>
      </c>
      <c r="R4" s="75">
        <f>27.7/100</f>
        <v>0.27699999999999997</v>
      </c>
      <c r="S4" s="75">
        <f>27.31/100</f>
        <v>0.27310000000000001</v>
      </c>
      <c r="T4" s="75">
        <v>0.27700000000000002</v>
      </c>
      <c r="U4" s="75">
        <v>0.23699999999999999</v>
      </c>
      <c r="V4" s="75">
        <v>0.23499999999999999</v>
      </c>
    </row>
    <row r="5" spans="1:37" x14ac:dyDescent="0.25">
      <c r="B5" t="s">
        <v>145</v>
      </c>
      <c r="C5" s="80">
        <v>4.4999999999999998E-2</v>
      </c>
      <c r="D5" s="80">
        <v>4.5999999999999999E-2</v>
      </c>
      <c r="E5" s="80">
        <v>4.5999999999999999E-2</v>
      </c>
      <c r="F5" s="75">
        <f>+U5</f>
        <v>4.7E-2</v>
      </c>
      <c r="G5" s="75">
        <v>5.0999999999999997E-2</v>
      </c>
      <c r="H5" s="75">
        <v>51</v>
      </c>
      <c r="I5" s="75">
        <v>5.1999999999999998E-2</v>
      </c>
      <c r="J5" s="75">
        <f t="shared" ref="J5:J6" si="1">+V5</f>
        <v>5.1999999999999998E-2</v>
      </c>
      <c r="K5" s="75">
        <v>5.7000000000000002E-2</v>
      </c>
      <c r="L5" s="75">
        <v>5.7000000000000002E-2</v>
      </c>
      <c r="M5" s="3"/>
      <c r="N5" s="3"/>
      <c r="O5" s="3"/>
      <c r="P5" s="75">
        <f>1.6/100</f>
        <v>1.6E-2</v>
      </c>
      <c r="Q5" s="75">
        <f>2.2/100</f>
        <v>2.2000000000000002E-2</v>
      </c>
      <c r="R5" s="75">
        <f>3/100</f>
        <v>0.03</v>
      </c>
      <c r="S5" s="75">
        <f>3.5/100</f>
        <v>3.5000000000000003E-2</v>
      </c>
      <c r="T5" s="75">
        <f>4.1/100</f>
        <v>4.0999999999999995E-2</v>
      </c>
      <c r="U5" s="75">
        <f>4.7/100</f>
        <v>4.7E-2</v>
      </c>
      <c r="V5" s="75">
        <v>5.1999999999999998E-2</v>
      </c>
      <c r="X5" s="29"/>
    </row>
    <row r="6" spans="1:37" x14ac:dyDescent="0.25">
      <c r="B6" t="s">
        <v>146</v>
      </c>
      <c r="C6" s="80">
        <v>0.27200000000000002</v>
      </c>
      <c r="D6" s="80">
        <v>0.27900000000000003</v>
      </c>
      <c r="E6" s="80">
        <v>0.28299999999999997</v>
      </c>
      <c r="F6" s="75">
        <f>+U6</f>
        <v>0.28100000000000003</v>
      </c>
      <c r="G6" s="75">
        <v>0.27900000000000003</v>
      </c>
      <c r="H6" s="75">
        <v>0.28299999999999997</v>
      </c>
      <c r="I6" s="75">
        <v>0.28699999999999998</v>
      </c>
      <c r="J6" s="75">
        <f t="shared" si="1"/>
        <v>0.28699999999999998</v>
      </c>
      <c r="K6" s="75">
        <v>0.28599999999999998</v>
      </c>
      <c r="L6" s="75">
        <v>0.29199999999999998</v>
      </c>
      <c r="M6" s="3"/>
      <c r="N6" s="3"/>
      <c r="O6" s="3"/>
      <c r="P6" s="81" t="s">
        <v>254</v>
      </c>
      <c r="Q6" s="81" t="s">
        <v>254</v>
      </c>
      <c r="R6" s="81" t="s">
        <v>254</v>
      </c>
      <c r="S6" s="81" t="s">
        <v>254</v>
      </c>
      <c r="T6" s="75">
        <v>0.27700000000000002</v>
      </c>
      <c r="U6" s="75">
        <v>0.28100000000000003</v>
      </c>
      <c r="V6" s="75">
        <v>0.28699999999999998</v>
      </c>
      <c r="X6" s="29"/>
    </row>
    <row r="7" spans="1:3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X7" s="28"/>
    </row>
    <row r="8" spans="1:37" x14ac:dyDescent="0.25">
      <c r="B8" s="6" t="s">
        <v>261</v>
      </c>
      <c r="C8" s="3"/>
      <c r="D8" s="3"/>
      <c r="E8" s="3"/>
      <c r="F8" s="3"/>
      <c r="G8" s="3"/>
      <c r="H8" s="3"/>
      <c r="I8" s="3"/>
      <c r="J8" s="7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B9" t="s">
        <v>48</v>
      </c>
      <c r="C9" s="3">
        <v>143.708</v>
      </c>
      <c r="D9" s="3">
        <v>157.01</v>
      </c>
      <c r="E9" s="3">
        <v>161.137</v>
      </c>
      <c r="F9" s="3">
        <f>+U9-SUM(C9:E9)</f>
        <v>151.04500000000002</v>
      </c>
      <c r="G9" s="3">
        <v>143.191</v>
      </c>
      <c r="H9" s="3">
        <v>157.61799999999999</v>
      </c>
      <c r="I9" s="3">
        <v>163.238</v>
      </c>
      <c r="J9" s="73">
        <f>+V9-SUM(G9:I9)</f>
        <v>152.78000000000003</v>
      </c>
      <c r="K9" s="3">
        <v>144.75299999999999</v>
      </c>
      <c r="L9" s="3">
        <v>155.24799999999999</v>
      </c>
      <c r="M9" s="3"/>
      <c r="N9" s="3"/>
      <c r="O9" s="3"/>
      <c r="P9" s="3">
        <v>740.31500000000005</v>
      </c>
      <c r="Q9" s="3">
        <v>706.70899999999995</v>
      </c>
      <c r="R9" s="3">
        <v>628.51800000000003</v>
      </c>
      <c r="S9" s="3">
        <v>624.875</v>
      </c>
      <c r="T9" s="3">
        <v>621.9</v>
      </c>
      <c r="U9" s="3">
        <v>612.9</v>
      </c>
      <c r="V9" s="3">
        <v>616.827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B10" t="s">
        <v>248</v>
      </c>
      <c r="C10" s="3">
        <v>27.396000000000001</v>
      </c>
      <c r="D10" s="3">
        <v>31.423999999999999</v>
      </c>
      <c r="E10" s="3">
        <v>32.470999999999997</v>
      </c>
      <c r="F10" s="3">
        <f>+U10-SUM(C10:E10)</f>
        <v>34.009</v>
      </c>
      <c r="G10" s="3">
        <v>33.134</v>
      </c>
      <c r="H10" s="3">
        <v>35.543999999999997</v>
      </c>
      <c r="I10" s="3">
        <v>35.347000000000001</v>
      </c>
      <c r="J10" s="73">
        <f>+V10-SUM(G10:I10)</f>
        <v>33.717999999999989</v>
      </c>
      <c r="K10" s="3">
        <v>37.088999999999999</v>
      </c>
      <c r="L10" s="3">
        <v>38.81</v>
      </c>
      <c r="M10" s="3"/>
      <c r="N10" s="3"/>
      <c r="O10" s="3"/>
      <c r="P10" s="3">
        <v>41.372</v>
      </c>
      <c r="Q10" s="3">
        <v>59.652000000000001</v>
      </c>
      <c r="R10" s="3">
        <v>76.111000000000004</v>
      </c>
      <c r="S10" s="3">
        <v>94.975999999999999</v>
      </c>
      <c r="T10" s="3">
        <v>109.2</v>
      </c>
      <c r="U10" s="3">
        <v>125.3</v>
      </c>
      <c r="V10" s="3">
        <v>137.74299999999999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B11" t="s">
        <v>262</v>
      </c>
      <c r="C11" s="3">
        <f t="shared" ref="C11:F11" si="2">C9+C10</f>
        <v>171.10399999999998</v>
      </c>
      <c r="D11" s="3">
        <f t="shared" si="2"/>
        <v>188.434</v>
      </c>
      <c r="E11" s="3">
        <f t="shared" si="2"/>
        <v>193.608</v>
      </c>
      <c r="F11" s="3">
        <f t="shared" si="2"/>
        <v>185.05400000000003</v>
      </c>
      <c r="G11" s="3">
        <f t="shared" ref="G11:N11" si="3">G9+G10</f>
        <v>176.32499999999999</v>
      </c>
      <c r="H11" s="3">
        <f t="shared" si="3"/>
        <v>193.16199999999998</v>
      </c>
      <c r="I11" s="3">
        <f t="shared" si="3"/>
        <v>198.58500000000001</v>
      </c>
      <c r="J11" s="3">
        <f t="shared" si="3"/>
        <v>186.49800000000002</v>
      </c>
      <c r="K11" s="3">
        <f t="shared" ref="K11" si="4">K9+K10</f>
        <v>181.84199999999998</v>
      </c>
      <c r="L11" s="3">
        <f t="shared" si="3"/>
        <v>194.05799999999999</v>
      </c>
      <c r="M11" s="3">
        <f t="shared" si="3"/>
        <v>0</v>
      </c>
      <c r="N11" s="3">
        <f t="shared" si="3"/>
        <v>0</v>
      </c>
      <c r="O11" s="3"/>
      <c r="P11" s="3">
        <f t="shared" ref="P11:R11" si="5">P9+P10</f>
        <v>781.68700000000001</v>
      </c>
      <c r="Q11" s="3">
        <f t="shared" si="5"/>
        <v>766.36099999999999</v>
      </c>
      <c r="R11" s="3">
        <f t="shared" si="5"/>
        <v>704.62900000000002</v>
      </c>
      <c r="S11" s="3">
        <f>S9+S10</f>
        <v>719.851</v>
      </c>
      <c r="T11" s="3">
        <f t="shared" ref="T11" si="6">T9+T10</f>
        <v>731.1</v>
      </c>
      <c r="U11" s="3">
        <f>U9+U10</f>
        <v>738.19999999999993</v>
      </c>
      <c r="V11" s="3">
        <f>V9+V10</f>
        <v>754.56999999999994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B12" t="s">
        <v>249</v>
      </c>
      <c r="C12" s="3">
        <v>81.3</v>
      </c>
      <c r="D12" s="3">
        <v>99.5</v>
      </c>
      <c r="E12" s="3">
        <v>114.6</v>
      </c>
      <c r="F12" s="3"/>
      <c r="G12" s="3">
        <v>145.69999999999999</v>
      </c>
      <c r="H12" s="3">
        <v>149.9</v>
      </c>
      <c r="I12" s="3">
        <v>164.5</v>
      </c>
      <c r="J12" s="3"/>
      <c r="K12" s="3">
        <v>223.4</v>
      </c>
      <c r="L12" s="3">
        <v>214.7</v>
      </c>
      <c r="M12" s="3"/>
      <c r="N12" s="3"/>
      <c r="O12" s="3"/>
      <c r="P12" s="76" t="s">
        <v>254</v>
      </c>
      <c r="Q12" s="76" t="s">
        <v>254</v>
      </c>
      <c r="R12" s="76" t="s">
        <v>254</v>
      </c>
      <c r="S12" s="76" t="s">
        <v>254</v>
      </c>
      <c r="T12" s="3">
        <v>4.2500000000000003E-2</v>
      </c>
      <c r="U12" s="3">
        <v>0.42109999999999997</v>
      </c>
      <c r="V12" s="3">
        <v>0.64400000000000002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B13" t="s">
        <v>250</v>
      </c>
      <c r="C13" s="3">
        <v>55.6</v>
      </c>
      <c r="D13" s="3">
        <v>62.6</v>
      </c>
      <c r="E13" s="3">
        <v>60.3</v>
      </c>
      <c r="F13" s="3"/>
      <c r="G13" s="3">
        <v>61.4</v>
      </c>
      <c r="H13" s="3">
        <v>58.8</v>
      </c>
      <c r="I13" s="3">
        <v>61.3</v>
      </c>
      <c r="J13" s="3"/>
      <c r="K13" s="3">
        <v>60.2</v>
      </c>
      <c r="L13" s="3">
        <v>59.6</v>
      </c>
      <c r="M13" s="3"/>
      <c r="N13" s="3"/>
      <c r="O13" s="3"/>
      <c r="P13" s="76" t="s">
        <v>254</v>
      </c>
      <c r="Q13" s="76" t="s">
        <v>254</v>
      </c>
      <c r="R13" s="76" t="s">
        <v>254</v>
      </c>
      <c r="S13" s="76" t="s">
        <v>254</v>
      </c>
      <c r="T13" s="3">
        <v>5.4800000000000001E-2</v>
      </c>
      <c r="U13" s="3">
        <v>0.2404</v>
      </c>
      <c r="V13" s="3">
        <v>0.23960000000000001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B14" t="s">
        <v>251</v>
      </c>
      <c r="C14" s="3">
        <v>35.200000000000003</v>
      </c>
      <c r="D14" s="3">
        <v>34.1</v>
      </c>
      <c r="E14" s="3">
        <v>33.200000000000003</v>
      </c>
      <c r="F14" s="3"/>
      <c r="G14" s="3">
        <v>34.4</v>
      </c>
      <c r="H14" s="3">
        <v>34.200000000000003</v>
      </c>
      <c r="I14" s="3">
        <v>34.1</v>
      </c>
      <c r="J14" s="3"/>
      <c r="K14" s="3">
        <v>33.6</v>
      </c>
      <c r="L14" s="3">
        <v>33.4</v>
      </c>
      <c r="M14" s="3"/>
      <c r="N14" s="3"/>
      <c r="O14" s="3"/>
      <c r="P14" s="76" t="s">
        <v>254</v>
      </c>
      <c r="Q14" s="76" t="s">
        <v>254</v>
      </c>
      <c r="R14" s="76" t="s">
        <v>254</v>
      </c>
      <c r="S14" s="76" t="s">
        <v>254</v>
      </c>
      <c r="T14" s="3">
        <v>1.6E-2</v>
      </c>
      <c r="U14" s="3">
        <v>0.13370000000000001</v>
      </c>
      <c r="V14" s="3">
        <v>0.1346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B15" t="s">
        <v>252</v>
      </c>
      <c r="C15" s="3">
        <v>1.3</v>
      </c>
      <c r="D15" s="3">
        <v>1.2</v>
      </c>
      <c r="E15" s="3">
        <v>0.9</v>
      </c>
      <c r="F15" s="3"/>
      <c r="G15" s="3">
        <v>1</v>
      </c>
      <c r="H15" s="3">
        <v>1</v>
      </c>
      <c r="I15" s="3">
        <v>0.7</v>
      </c>
      <c r="J15" s="3"/>
      <c r="K15" s="3">
        <v>0.6</v>
      </c>
      <c r="L15" s="3">
        <v>0.7</v>
      </c>
      <c r="M15" s="3"/>
      <c r="N15" s="3"/>
      <c r="O15" s="3"/>
      <c r="P15" s="76" t="s">
        <v>254</v>
      </c>
      <c r="Q15" s="76" t="s">
        <v>254</v>
      </c>
      <c r="R15" s="76" t="s">
        <v>254</v>
      </c>
      <c r="S15" s="76" t="s">
        <v>254</v>
      </c>
      <c r="T15" s="3">
        <v>0</v>
      </c>
      <c r="U15" s="3">
        <v>4.1999999999999997E-3</v>
      </c>
      <c r="V15" s="3">
        <v>3.3999999999999998E-3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B16" t="s">
        <v>260</v>
      </c>
      <c r="C16" s="3">
        <f t="shared" ref="C16:L16" si="7">+SUM(C12:C15)</f>
        <v>173.40000000000003</v>
      </c>
      <c r="D16" s="3">
        <f t="shared" si="7"/>
        <v>197.39999999999998</v>
      </c>
      <c r="E16" s="3">
        <f t="shared" si="7"/>
        <v>208.99999999999997</v>
      </c>
      <c r="F16" s="3"/>
      <c r="G16" s="3">
        <f t="shared" si="7"/>
        <v>242.5</v>
      </c>
      <c r="H16" s="3">
        <f t="shared" si="7"/>
        <v>243.89999999999998</v>
      </c>
      <c r="I16" s="3">
        <f t="shared" si="7"/>
        <v>260.60000000000002</v>
      </c>
      <c r="J16" s="3">
        <f t="shared" si="7"/>
        <v>0</v>
      </c>
      <c r="K16" s="3">
        <f t="shared" si="7"/>
        <v>317.80000000000007</v>
      </c>
      <c r="L16" s="3">
        <f t="shared" si="7"/>
        <v>308.39999999999998</v>
      </c>
      <c r="M16" s="3">
        <f t="shared" ref="M16:N16" si="8">M14+M15</f>
        <v>0</v>
      </c>
      <c r="N16" s="3">
        <f t="shared" si="8"/>
        <v>0</v>
      </c>
      <c r="O16" s="3"/>
      <c r="P16" s="76" t="s">
        <v>254</v>
      </c>
      <c r="Q16" s="76" t="s">
        <v>254</v>
      </c>
      <c r="R16" s="76" t="s">
        <v>254</v>
      </c>
      <c r="S16" s="76" t="s">
        <v>254</v>
      </c>
      <c r="T16" s="3">
        <f>+SUM(T12:T15)</f>
        <v>0.1133</v>
      </c>
      <c r="U16" s="3">
        <f t="shared" ref="U16" si="9">+SUM(U12:U15)</f>
        <v>0.7994</v>
      </c>
      <c r="V16" s="3">
        <f>+SUM(V12:V15)</f>
        <v>1.0216000000000001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4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43" x14ac:dyDescent="0.25">
      <c r="A18" s="7"/>
      <c r="B18" t="s">
        <v>30</v>
      </c>
      <c r="C18" s="73">
        <v>5223</v>
      </c>
      <c r="D18" s="73">
        <v>5790</v>
      </c>
      <c r="E18" s="73">
        <v>5832</v>
      </c>
      <c r="F18" s="73">
        <f>+U18-SUM(C18:E18)</f>
        <v>5489</v>
      </c>
      <c r="G18" s="73">
        <v>5407</v>
      </c>
      <c r="H18" s="73">
        <v>5858</v>
      </c>
      <c r="I18" s="73">
        <v>6134</v>
      </c>
      <c r="J18" s="73">
        <f>+V18-SUM(G18:I18)</f>
        <v>5819</v>
      </c>
      <c r="K18" s="73">
        <v>5406</v>
      </c>
      <c r="L18" s="73"/>
      <c r="M18" s="73"/>
      <c r="N18" s="73"/>
      <c r="O18" s="73"/>
      <c r="P18" s="73">
        <v>25529</v>
      </c>
      <c r="Q18" s="73">
        <v>24218</v>
      </c>
      <c r="R18" s="73">
        <v>21867</v>
      </c>
      <c r="S18" s="73">
        <v>22067</v>
      </c>
      <c r="T18" s="73">
        <v>21572</v>
      </c>
      <c r="U18" s="73">
        <v>22334</v>
      </c>
      <c r="V18" s="73">
        <v>23218</v>
      </c>
      <c r="W18" s="73"/>
      <c r="X18" s="73"/>
      <c r="Y18" s="73"/>
      <c r="Z18" s="73"/>
      <c r="AA18" s="73"/>
      <c r="AB18" s="73"/>
      <c r="AC18" s="73"/>
      <c r="AD18" s="73"/>
    </row>
    <row r="19" spans="1:43" x14ac:dyDescent="0.25">
      <c r="A19" s="7"/>
      <c r="B19" t="s">
        <v>31</v>
      </c>
      <c r="C19" s="73">
        <v>2710</v>
      </c>
      <c r="D19" s="73">
        <v>3101</v>
      </c>
      <c r="E19" s="73">
        <v>3234</v>
      </c>
      <c r="F19" s="73">
        <f>+U19-SUM(C19:E19)</f>
        <v>3489</v>
      </c>
      <c r="G19" s="73">
        <v>3386</v>
      </c>
      <c r="H19" s="73">
        <v>3530</v>
      </c>
      <c r="I19" s="73">
        <v>3701</v>
      </c>
      <c r="J19" s="73">
        <f>+V19-SUM(G19:I19)</f>
        <v>3710</v>
      </c>
      <c r="K19" s="73">
        <v>3895</v>
      </c>
      <c r="L19" s="73"/>
      <c r="M19" s="73"/>
      <c r="N19" s="73"/>
      <c r="O19" s="73"/>
      <c r="P19" s="73">
        <v>4096</v>
      </c>
      <c r="Q19" s="73">
        <v>5587</v>
      </c>
      <c r="R19" s="73">
        <v>6827</v>
      </c>
      <c r="S19" s="73">
        <v>9237</v>
      </c>
      <c r="T19" s="73">
        <v>9919</v>
      </c>
      <c r="U19" s="73">
        <v>12534</v>
      </c>
      <c r="V19" s="73">
        <v>14327</v>
      </c>
      <c r="W19" s="73"/>
      <c r="X19" s="73"/>
      <c r="Y19" s="73"/>
      <c r="Z19" s="73"/>
      <c r="AA19" s="73"/>
      <c r="AB19" s="73"/>
      <c r="AC19" s="73"/>
      <c r="AD19" s="73"/>
    </row>
    <row r="20" spans="1:43" x14ac:dyDescent="0.25">
      <c r="A20" s="7"/>
      <c r="B20" t="s">
        <v>63</v>
      </c>
      <c r="C20" s="73">
        <v>86</v>
      </c>
      <c r="D20" s="73">
        <v>76</v>
      </c>
      <c r="E20" s="73">
        <v>75</v>
      </c>
      <c r="F20" s="73">
        <f>+U20-SUM(C20:E20)</f>
        <v>69</v>
      </c>
      <c r="G20" s="73">
        <v>0</v>
      </c>
      <c r="H20" s="73">
        <v>80</v>
      </c>
      <c r="I20" s="73">
        <v>76</v>
      </c>
      <c r="J20" s="73">
        <f>+V20-SUM(G20:I20)</f>
        <v>177</v>
      </c>
      <c r="K20" s="73">
        <v>0</v>
      </c>
      <c r="L20" s="73"/>
      <c r="M20" s="73"/>
      <c r="N20" s="73"/>
      <c r="O20" s="73"/>
      <c r="P20" s="73">
        <v>0</v>
      </c>
      <c r="Q20" s="73">
        <v>0</v>
      </c>
      <c r="R20" s="73">
        <v>0</v>
      </c>
      <c r="S20" s="73">
        <v>101</v>
      </c>
      <c r="T20" s="73">
        <v>271</v>
      </c>
      <c r="U20" s="73">
        <v>306</v>
      </c>
      <c r="V20" s="73">
        <v>333</v>
      </c>
      <c r="W20" s="73"/>
      <c r="X20" s="73"/>
      <c r="Y20" s="73"/>
      <c r="Z20" s="73"/>
      <c r="AA20" s="73"/>
      <c r="AB20" s="73"/>
      <c r="AC20" s="73"/>
      <c r="AD20" s="73"/>
    </row>
    <row r="21" spans="1:43" x14ac:dyDescent="0.25">
      <c r="B21" s="1" t="s">
        <v>18</v>
      </c>
      <c r="C21" s="74">
        <v>8019</v>
      </c>
      <c r="D21" s="74">
        <v>8967</v>
      </c>
      <c r="E21" s="74">
        <v>9141</v>
      </c>
      <c r="F21" s="74">
        <f>+U21-SUM(C21:E21)</f>
        <v>9047</v>
      </c>
      <c r="G21" s="74">
        <v>8793</v>
      </c>
      <c r="H21" s="74">
        <v>9468</v>
      </c>
      <c r="I21" s="74">
        <v>9911</v>
      </c>
      <c r="J21" s="74">
        <f>+V21-SUM(G21:I21)</f>
        <v>9706</v>
      </c>
      <c r="K21" s="74">
        <v>9301</v>
      </c>
      <c r="L21" s="74"/>
      <c r="M21" s="74"/>
      <c r="N21" s="74"/>
      <c r="O21" s="74"/>
      <c r="P21" s="74">
        <v>29625</v>
      </c>
      <c r="Q21" s="74">
        <v>29805</v>
      </c>
      <c r="R21" s="74">
        <v>28694</v>
      </c>
      <c r="S21" s="74">
        <v>31405</v>
      </c>
      <c r="T21" s="74">
        <f t="shared" ref="T21" si="10">SUM(T18:T20)</f>
        <v>31762</v>
      </c>
      <c r="U21" s="74">
        <f>SUM(U18:U20)</f>
        <v>35174</v>
      </c>
      <c r="V21" s="74">
        <f>SUM(V18:V20)</f>
        <v>37878</v>
      </c>
      <c r="W21" s="73"/>
      <c r="X21" s="73"/>
      <c r="Y21" s="73"/>
      <c r="Z21" s="73"/>
      <c r="AA21" s="73"/>
      <c r="AB21" s="73"/>
      <c r="AC21" s="73"/>
      <c r="AD21" s="7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B22" t="s">
        <v>19</v>
      </c>
      <c r="C22" s="73">
        <v>3038</v>
      </c>
      <c r="D22" s="73">
        <v>3228</v>
      </c>
      <c r="E22" s="73">
        <v>3165</v>
      </c>
      <c r="F22" s="73">
        <f>+U22-SUM(C22:E22)</f>
        <v>3462</v>
      </c>
      <c r="G22" s="73">
        <v>3195</v>
      </c>
      <c r="H22" s="73">
        <v>3345</v>
      </c>
      <c r="I22" s="73">
        <v>3366</v>
      </c>
      <c r="J22" s="73">
        <f>+V22-SUM(G22:I22)</f>
        <v>3423</v>
      </c>
      <c r="K22" s="73">
        <v>3040</v>
      </c>
      <c r="L22" s="73"/>
      <c r="M22" s="73"/>
      <c r="N22" s="73"/>
      <c r="O22" s="73"/>
      <c r="P22" s="73">
        <v>10758</v>
      </c>
      <c r="Q22" s="73">
        <v>10513</v>
      </c>
      <c r="R22" s="73">
        <v>9569</v>
      </c>
      <c r="S22" s="73">
        <v>10030</v>
      </c>
      <c r="T22" s="73">
        <v>11402</v>
      </c>
      <c r="U22" s="73">
        <v>12893</v>
      </c>
      <c r="V22" s="73">
        <v>13329</v>
      </c>
      <c r="W22" s="73"/>
      <c r="X22" s="73"/>
      <c r="Y22" s="73"/>
      <c r="Z22" s="73"/>
      <c r="AA22" s="73"/>
      <c r="AB22" s="73"/>
      <c r="AC22" s="73"/>
      <c r="AD22" s="7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B23" t="s">
        <v>20</v>
      </c>
      <c r="C23" s="73">
        <f t="shared" ref="C23:F23" si="11">C21-C22</f>
        <v>4981</v>
      </c>
      <c r="D23" s="73">
        <f t="shared" si="11"/>
        <v>5739</v>
      </c>
      <c r="E23" s="73">
        <f t="shared" si="11"/>
        <v>5976</v>
      </c>
      <c r="F23" s="73">
        <f t="shared" si="11"/>
        <v>5585</v>
      </c>
      <c r="G23" s="73">
        <f>G21-G22</f>
        <v>5598</v>
      </c>
      <c r="H23" s="73">
        <f t="shared" ref="H23:K23" si="12">H21-H22</f>
        <v>6123</v>
      </c>
      <c r="I23" s="73">
        <f t="shared" si="12"/>
        <v>6545</v>
      </c>
      <c r="J23" s="73">
        <f t="shared" si="12"/>
        <v>6283</v>
      </c>
      <c r="K23" s="73">
        <f t="shared" si="12"/>
        <v>6261</v>
      </c>
      <c r="L23" s="73"/>
      <c r="M23" s="73"/>
      <c r="N23" s="73"/>
      <c r="O23" s="73"/>
      <c r="P23" s="73">
        <f t="shared" ref="P23" si="13">P21-P22</f>
        <v>18867</v>
      </c>
      <c r="Q23" s="73">
        <f t="shared" ref="Q23" si="14">Q21-Q22</f>
        <v>19292</v>
      </c>
      <c r="R23" s="73">
        <f t="shared" ref="R23" si="15">R21-R22</f>
        <v>19125</v>
      </c>
      <c r="S23" s="73">
        <f t="shared" ref="S23" si="16">S21-S22</f>
        <v>21375</v>
      </c>
      <c r="T23" s="73">
        <f t="shared" ref="T23" si="17">T21-T22</f>
        <v>20360</v>
      </c>
      <c r="U23" s="73">
        <f t="shared" ref="U23:V23" si="18">U21-U22</f>
        <v>22281</v>
      </c>
      <c r="V23" s="73">
        <f t="shared" si="18"/>
        <v>24549</v>
      </c>
      <c r="W23" s="73"/>
      <c r="X23" s="73"/>
      <c r="Y23" s="73"/>
      <c r="Z23" s="73"/>
      <c r="AA23" s="73"/>
      <c r="AB23" s="73"/>
      <c r="AC23" s="73"/>
      <c r="AD23" s="7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B24" t="s">
        <v>21</v>
      </c>
      <c r="C24" s="73">
        <v>2250</v>
      </c>
      <c r="D24" s="73">
        <v>2508</v>
      </c>
      <c r="E24" s="73">
        <v>2606</v>
      </c>
      <c r="F24" s="73">
        <f>+U24-SUM(C24:E24)</f>
        <v>2696</v>
      </c>
      <c r="G24" s="73">
        <v>2553</v>
      </c>
      <c r="H24" s="73">
        <v>2679</v>
      </c>
      <c r="I24" s="73">
        <v>2891</v>
      </c>
      <c r="J24" s="73">
        <f>+V24-SUM(G24:I24)</f>
        <v>3024</v>
      </c>
      <c r="K24" s="73">
        <v>2717</v>
      </c>
      <c r="L24" s="73"/>
      <c r="M24" s="73"/>
      <c r="N24" s="73"/>
      <c r="O24" s="73"/>
      <c r="P24" s="73">
        <f>7408+82</f>
        <v>7490</v>
      </c>
      <c r="Q24" s="73">
        <f>8695+66</f>
        <v>8761</v>
      </c>
      <c r="R24" s="73">
        <f>7384+73</f>
        <v>7457</v>
      </c>
      <c r="S24" s="73">
        <v>8400</v>
      </c>
      <c r="T24" s="73">
        <v>8114</v>
      </c>
      <c r="U24" s="73">
        <v>10060</v>
      </c>
      <c r="V24" s="73">
        <v>11147</v>
      </c>
      <c r="W24" s="73"/>
      <c r="X24" s="73"/>
      <c r="Y24" s="73"/>
      <c r="Z24" s="73"/>
      <c r="AA24" s="73"/>
      <c r="AB24" s="73"/>
      <c r="AC24" s="73"/>
      <c r="AD24" s="7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B25" t="s">
        <v>39</v>
      </c>
      <c r="C25" s="73">
        <v>0</v>
      </c>
      <c r="D25" s="73">
        <v>-665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f>+V25-SUM(G25:I25)</f>
        <v>0</v>
      </c>
      <c r="K25" s="73">
        <v>0</v>
      </c>
      <c r="L25" s="73"/>
      <c r="M25" s="73"/>
      <c r="N25" s="73"/>
      <c r="O25" s="73"/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-665</v>
      </c>
      <c r="V25" s="73">
        <v>0</v>
      </c>
      <c r="W25" s="73"/>
      <c r="X25" s="73"/>
      <c r="Y25" s="73"/>
      <c r="Z25" s="73"/>
      <c r="AA25" s="73"/>
      <c r="AB25" s="73"/>
      <c r="AC25" s="73"/>
      <c r="AD25" s="7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B26" t="s">
        <v>22</v>
      </c>
      <c r="C26" s="73">
        <f>C23-C24+C25</f>
        <v>2731</v>
      </c>
      <c r="D26" s="73">
        <f t="shared" ref="D26:K26" si="19">D23-D24+D25</f>
        <v>2566</v>
      </c>
      <c r="E26" s="73">
        <f t="shared" si="19"/>
        <v>3370</v>
      </c>
      <c r="F26" s="73">
        <f t="shared" si="19"/>
        <v>2889</v>
      </c>
      <c r="G26" s="73">
        <f t="shared" si="19"/>
        <v>3045</v>
      </c>
      <c r="H26" s="73">
        <f t="shared" si="19"/>
        <v>3444</v>
      </c>
      <c r="I26" s="73">
        <f t="shared" si="19"/>
        <v>3654</v>
      </c>
      <c r="J26" s="73">
        <f t="shared" si="19"/>
        <v>3259</v>
      </c>
      <c r="K26" s="73">
        <f t="shared" si="19"/>
        <v>3544</v>
      </c>
      <c r="L26" s="73"/>
      <c r="M26" s="73"/>
      <c r="N26" s="73"/>
      <c r="O26" s="73"/>
      <c r="P26" s="73">
        <f t="shared" ref="P26" si="20">P23-P24+P25</f>
        <v>11377</v>
      </c>
      <c r="Q26" s="73">
        <f t="shared" ref="Q26" si="21">Q23-Q24+Q25</f>
        <v>10531</v>
      </c>
      <c r="R26" s="73">
        <f t="shared" ref="R26" si="22">R23-R24+R25</f>
        <v>11668</v>
      </c>
      <c r="S26" s="73">
        <f t="shared" ref="S26" si="23">S23-S24+S25</f>
        <v>12975</v>
      </c>
      <c r="T26" s="73">
        <f t="shared" ref="T26" si="24">T23-T24+T25</f>
        <v>12246</v>
      </c>
      <c r="U26" s="73">
        <f t="shared" ref="U26:V26" si="25">U23-U24+U25</f>
        <v>11556</v>
      </c>
      <c r="V26" s="73">
        <f t="shared" si="25"/>
        <v>13402</v>
      </c>
      <c r="W26" s="73"/>
      <c r="X26" s="73"/>
      <c r="Y26" s="73"/>
      <c r="Z26" s="73"/>
      <c r="AA26" s="73"/>
      <c r="AB26" s="73"/>
      <c r="AC26" s="73"/>
      <c r="AD26" s="7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B27" t="s">
        <v>23</v>
      </c>
      <c r="C27" s="73">
        <v>230</v>
      </c>
      <c r="D27" s="73">
        <v>297</v>
      </c>
      <c r="E27" s="73">
        <v>261</v>
      </c>
      <c r="F27" s="73">
        <f>+U27-SUM(C27:E27)</f>
        <v>273</v>
      </c>
      <c r="G27" s="73">
        <v>299</v>
      </c>
      <c r="H27" s="73">
        <v>329</v>
      </c>
      <c r="I27" s="73">
        <v>189</v>
      </c>
      <c r="J27" s="73">
        <f>+V27-SUM(G27:I27)</f>
        <v>326</v>
      </c>
      <c r="K27" s="73">
        <v>241</v>
      </c>
      <c r="L27" s="73"/>
      <c r="M27" s="73"/>
      <c r="N27" s="73"/>
      <c r="O27" s="73"/>
      <c r="P27" s="73">
        <v>665</v>
      </c>
      <c r="Q27" s="73">
        <v>570</v>
      </c>
      <c r="R27" s="73">
        <v>618</v>
      </c>
      <c r="S27" s="73">
        <v>628</v>
      </c>
      <c r="T27" s="73">
        <v>588</v>
      </c>
      <c r="U27" s="73">
        <v>1061</v>
      </c>
      <c r="V27" s="73">
        <v>1143</v>
      </c>
      <c r="W27" s="73"/>
      <c r="X27" s="73"/>
      <c r="Y27" s="73"/>
      <c r="Z27" s="73"/>
      <c r="AA27" s="73"/>
      <c r="AB27" s="73"/>
      <c r="AC27" s="73"/>
      <c r="AD27" s="7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B28" t="s">
        <v>24</v>
      </c>
      <c r="C28" s="73">
        <v>22</v>
      </c>
      <c r="D28" s="73">
        <v>6</v>
      </c>
      <c r="E28" s="73">
        <v>8</v>
      </c>
      <c r="F28" s="73">
        <f>+U28-SUM(C28:E28)</f>
        <v>9</v>
      </c>
      <c r="G28" s="73">
        <v>15</v>
      </c>
      <c r="H28" s="73">
        <v>14</v>
      </c>
      <c r="I28" s="73">
        <v>15</v>
      </c>
      <c r="J28" s="73">
        <f>+V28-SUM(G28:I28)</f>
        <v>16</v>
      </c>
      <c r="K28" s="73">
        <v>12</v>
      </c>
      <c r="L28" s="73"/>
      <c r="M28" s="73"/>
      <c r="N28" s="73"/>
      <c r="O28" s="73"/>
      <c r="P28" s="73">
        <v>41</v>
      </c>
      <c r="Q28" s="73">
        <v>89</v>
      </c>
      <c r="R28" s="73">
        <v>97</v>
      </c>
      <c r="S28" s="73">
        <v>115</v>
      </c>
      <c r="T28" s="73">
        <v>24</v>
      </c>
      <c r="U28" s="73">
        <v>45</v>
      </c>
      <c r="V28" s="73">
        <v>60</v>
      </c>
      <c r="W28" s="73"/>
      <c r="X28" s="73"/>
      <c r="Y28" s="73"/>
      <c r="Z28" s="73"/>
      <c r="AA28" s="73"/>
      <c r="AB28" s="73"/>
      <c r="AC28" s="73"/>
      <c r="AD28" s="7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B29" t="s">
        <v>25</v>
      </c>
      <c r="C29" s="73">
        <f t="shared" ref="C29:F29" si="26">C26-C27-C28</f>
        <v>2479</v>
      </c>
      <c r="D29" s="73">
        <f t="shared" si="26"/>
        <v>2263</v>
      </c>
      <c r="E29" s="73">
        <f t="shared" si="26"/>
        <v>3101</v>
      </c>
      <c r="F29" s="73">
        <f t="shared" si="26"/>
        <v>2607</v>
      </c>
      <c r="G29" s="73">
        <f>G26-G27-G28</f>
        <v>2731</v>
      </c>
      <c r="H29" s="73">
        <f t="shared" ref="H29:K29" si="27">H26-H27-H28</f>
        <v>3101</v>
      </c>
      <c r="I29" s="73">
        <f t="shared" si="27"/>
        <v>3450</v>
      </c>
      <c r="J29" s="73">
        <f t="shared" si="27"/>
        <v>2917</v>
      </c>
      <c r="K29" s="73">
        <f t="shared" si="27"/>
        <v>3291</v>
      </c>
      <c r="L29" s="73"/>
      <c r="M29" s="73"/>
      <c r="N29" s="73"/>
      <c r="O29" s="73"/>
      <c r="P29" s="73">
        <f t="shared" ref="P29" si="28">P26-P27-P28</f>
        <v>10671</v>
      </c>
      <c r="Q29" s="73">
        <f t="shared" ref="Q29" si="29">Q26-Q27-Q28</f>
        <v>9872</v>
      </c>
      <c r="R29" s="73">
        <f t="shared" ref="R29" si="30">R26-R27-R28</f>
        <v>10953</v>
      </c>
      <c r="S29" s="73">
        <f t="shared" ref="S29" si="31">S26-S27-S28</f>
        <v>12232</v>
      </c>
      <c r="T29" s="73">
        <f t="shared" ref="T29" si="32">T26-T27-T28</f>
        <v>11634</v>
      </c>
      <c r="U29" s="73">
        <f t="shared" ref="U29:V29" si="33">U26-U27-U28</f>
        <v>10450</v>
      </c>
      <c r="V29" s="73">
        <f t="shared" si="33"/>
        <v>12199</v>
      </c>
      <c r="W29" s="73"/>
      <c r="X29" s="73"/>
      <c r="Y29" s="73"/>
      <c r="Z29" s="73"/>
      <c r="AA29" s="73"/>
      <c r="AB29" s="73"/>
      <c r="AC29" s="73"/>
      <c r="AD29" s="7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B30" t="s">
        <v>26</v>
      </c>
      <c r="C30" s="73">
        <v>428</v>
      </c>
      <c r="D30" s="73">
        <v>560</v>
      </c>
      <c r="E30" s="73">
        <v>1031</v>
      </c>
      <c r="F30" s="73">
        <f>+U30-SUM(C30:E30)</f>
        <v>320</v>
      </c>
      <c r="G30" s="73">
        <v>676</v>
      </c>
      <c r="H30" s="73">
        <v>734</v>
      </c>
      <c r="I30" s="73">
        <v>735</v>
      </c>
      <c r="J30" s="73">
        <f>+V30-SUM(G30:I30)</f>
        <v>872</v>
      </c>
      <c r="K30" s="73">
        <v>659</v>
      </c>
      <c r="L30" s="73"/>
      <c r="M30" s="73"/>
      <c r="N30" s="73"/>
      <c r="O30" s="73"/>
      <c r="P30" s="73">
        <v>2445</v>
      </c>
      <c r="Q30" s="73">
        <v>2293</v>
      </c>
      <c r="R30" s="73">
        <v>2377</v>
      </c>
      <c r="S30" s="73">
        <v>2671</v>
      </c>
      <c r="T30" s="73">
        <v>2244</v>
      </c>
      <c r="U30" s="73">
        <v>2339</v>
      </c>
      <c r="V30" s="73">
        <v>3017</v>
      </c>
      <c r="W30" s="73"/>
      <c r="X30" s="73"/>
      <c r="Y30" s="73"/>
      <c r="Z30" s="73"/>
      <c r="AA30" s="73"/>
      <c r="AB30" s="73"/>
      <c r="AC30" s="73"/>
      <c r="AD30" s="7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B31" t="s">
        <v>253</v>
      </c>
      <c r="C31" s="73">
        <v>-51</v>
      </c>
      <c r="D31" s="73">
        <v>21</v>
      </c>
      <c r="E31" s="73">
        <v>-101</v>
      </c>
      <c r="F31" s="73">
        <f>+U31-SUM(C31:E31)</f>
        <v>-26</v>
      </c>
      <c r="G31" s="73">
        <v>-191</v>
      </c>
      <c r="H31" s="73">
        <v>-161</v>
      </c>
      <c r="I31" s="73">
        <v>-500</v>
      </c>
      <c r="J31" s="73">
        <f>+V31-SUM(G31:I31)</f>
        <v>2531</v>
      </c>
      <c r="K31" s="73">
        <v>-205</v>
      </c>
      <c r="L31" s="73"/>
      <c r="M31" s="73"/>
      <c r="N31" s="73"/>
      <c r="O31" s="73"/>
      <c r="P31" s="73">
        <v>-60</v>
      </c>
      <c r="Q31" s="73">
        <v>-149</v>
      </c>
      <c r="R31" s="73">
        <v>-16</v>
      </c>
      <c r="S31" s="73">
        <v>-149</v>
      </c>
      <c r="T31" s="73">
        <v>-137</v>
      </c>
      <c r="U31" s="73">
        <v>-157</v>
      </c>
      <c r="V31" s="73">
        <f>-637+2316</f>
        <v>1679</v>
      </c>
      <c r="W31" s="73"/>
      <c r="X31" s="73"/>
      <c r="Y31" s="73"/>
      <c r="Z31" s="73"/>
      <c r="AA31" s="73"/>
      <c r="AB31" s="73"/>
      <c r="AC31" s="73"/>
      <c r="AD31" s="7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B32" t="s">
        <v>17</v>
      </c>
      <c r="C32" s="73">
        <f t="shared" ref="C32:F32" si="34">C29-C30-C31</f>
        <v>2102</v>
      </c>
      <c r="D32" s="73">
        <f t="shared" si="34"/>
        <v>1682</v>
      </c>
      <c r="E32" s="73">
        <f t="shared" si="34"/>
        <v>2171</v>
      </c>
      <c r="F32" s="73">
        <f t="shared" si="34"/>
        <v>2313</v>
      </c>
      <c r="G32" s="73">
        <f>G29-G30-G31</f>
        <v>2246</v>
      </c>
      <c r="H32" s="73">
        <f t="shared" ref="H32:K32" si="35">H29-H30-H31</f>
        <v>2528</v>
      </c>
      <c r="I32" s="73">
        <f t="shared" si="35"/>
        <v>3215</v>
      </c>
      <c r="J32" s="73">
        <f t="shared" si="35"/>
        <v>-486</v>
      </c>
      <c r="K32" s="73">
        <f t="shared" si="35"/>
        <v>2837</v>
      </c>
      <c r="L32" s="73"/>
      <c r="M32" s="73"/>
      <c r="N32" s="73"/>
      <c r="O32" s="73"/>
      <c r="P32" s="73">
        <f t="shared" ref="P32" si="36">P29-P30-P31</f>
        <v>8286</v>
      </c>
      <c r="Q32" s="73">
        <f t="shared" ref="Q32" si="37">Q29-Q30-Q31</f>
        <v>7728</v>
      </c>
      <c r="R32" s="73">
        <f t="shared" ref="R32" si="38">R29-R30-R31</f>
        <v>8592</v>
      </c>
      <c r="S32" s="73">
        <f t="shared" ref="S32" si="39">S29-S30-S31</f>
        <v>9710</v>
      </c>
      <c r="T32" s="73">
        <f t="shared" ref="T32" si="40">T29-T30-T31</f>
        <v>9527</v>
      </c>
      <c r="U32" s="73">
        <f t="shared" ref="U32" si="41">U29-U30-U31</f>
        <v>8268</v>
      </c>
      <c r="V32" s="73">
        <f>V29-V30-V31</f>
        <v>7503</v>
      </c>
      <c r="W32" s="73"/>
      <c r="X32" s="73"/>
      <c r="Y32" s="73"/>
      <c r="Z32" s="73"/>
      <c r="AA32" s="73"/>
      <c r="AB32" s="73"/>
      <c r="AC32" s="73"/>
      <c r="AD32" s="7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B33" t="s">
        <v>27</v>
      </c>
      <c r="C33" s="73">
        <v>107</v>
      </c>
      <c r="D33" s="73">
        <v>144</v>
      </c>
      <c r="E33" s="73">
        <v>117</v>
      </c>
      <c r="F33" s="73">
        <f>+U33-SUM(C33:E33)</f>
        <v>87</v>
      </c>
      <c r="G33" s="73">
        <v>98</v>
      </c>
      <c r="H33" s="73">
        <v>122</v>
      </c>
      <c r="I33" s="73">
        <v>133</v>
      </c>
      <c r="J33" s="73">
        <f>+V33-SUM(G33:I33)</f>
        <v>93</v>
      </c>
      <c r="K33" s="73">
        <v>147</v>
      </c>
      <c r="L33" s="73"/>
      <c r="M33" s="73"/>
      <c r="N33" s="73"/>
      <c r="O33" s="73"/>
      <c r="P33" s="73">
        <v>375</v>
      </c>
      <c r="Q33" s="73">
        <v>543</v>
      </c>
      <c r="R33" s="73">
        <v>536</v>
      </c>
      <c r="S33" s="73">
        <v>601</v>
      </c>
      <c r="T33" s="73">
        <v>479</v>
      </c>
      <c r="U33" s="73">
        <v>455</v>
      </c>
      <c r="V33" s="73">
        <v>446</v>
      </c>
      <c r="W33" s="73"/>
      <c r="X33" s="73"/>
      <c r="Y33" s="73"/>
      <c r="Z33" s="73"/>
      <c r="AA33" s="73"/>
      <c r="AB33" s="73"/>
      <c r="AC33" s="73"/>
      <c r="AD33" s="7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B34" t="s">
        <v>28</v>
      </c>
      <c r="C34" s="73">
        <f t="shared" ref="C34:F34" si="42">C32-C33</f>
        <v>1995</v>
      </c>
      <c r="D34" s="73">
        <f t="shared" si="42"/>
        <v>1538</v>
      </c>
      <c r="E34" s="73">
        <f t="shared" si="42"/>
        <v>2054</v>
      </c>
      <c r="F34" s="73">
        <f t="shared" si="42"/>
        <v>2226</v>
      </c>
      <c r="G34" s="73">
        <f>G32-G33</f>
        <v>2148</v>
      </c>
      <c r="H34" s="73">
        <f t="shared" ref="H34:K34" si="43">H32-H33</f>
        <v>2406</v>
      </c>
      <c r="I34" s="73">
        <f t="shared" si="43"/>
        <v>3082</v>
      </c>
      <c r="J34" s="73">
        <f t="shared" si="43"/>
        <v>-579</v>
      </c>
      <c r="K34" s="73">
        <f t="shared" si="43"/>
        <v>2690</v>
      </c>
      <c r="L34" s="73"/>
      <c r="M34" s="73"/>
      <c r="N34" s="73"/>
      <c r="O34" s="73"/>
      <c r="P34" s="73">
        <f t="shared" ref="P34" si="44">P32-P33</f>
        <v>7911</v>
      </c>
      <c r="Q34" s="73">
        <f t="shared" ref="Q34" si="45">Q32-Q33</f>
        <v>7185</v>
      </c>
      <c r="R34" s="73">
        <f t="shared" ref="R34" si="46">R32-R33</f>
        <v>8056</v>
      </c>
      <c r="S34" s="73">
        <f t="shared" ref="S34" si="47">S32-S33</f>
        <v>9109</v>
      </c>
      <c r="T34" s="73">
        <f t="shared" ref="T34" si="48">T32-T33</f>
        <v>9048</v>
      </c>
      <c r="U34" s="73">
        <f t="shared" ref="U34:V34" si="49">U32-U33</f>
        <v>7813</v>
      </c>
      <c r="V34" s="73">
        <f t="shared" si="49"/>
        <v>7057</v>
      </c>
      <c r="W34" s="73"/>
      <c r="X34" s="73"/>
      <c r="Y34" s="73"/>
      <c r="Z34" s="73"/>
      <c r="AA34" s="73"/>
      <c r="AB34" s="73"/>
      <c r="AC34" s="73"/>
      <c r="AD34" s="7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B36" t="s">
        <v>29</v>
      </c>
      <c r="C36" s="77">
        <v>1.28</v>
      </c>
      <c r="D36" s="77">
        <v>1.01</v>
      </c>
      <c r="E36" s="77">
        <v>1.32</v>
      </c>
      <c r="F36" s="77">
        <f>+U36-SUM(C36:E36)</f>
        <v>1.4241494845360823</v>
      </c>
      <c r="G36" s="77">
        <v>1.38</v>
      </c>
      <c r="H36" s="77">
        <v>1.54</v>
      </c>
      <c r="I36" s="77">
        <v>1.98</v>
      </c>
      <c r="J36" s="77">
        <f>+J34/J37</f>
        <v>-0.37258687258687256</v>
      </c>
      <c r="K36" s="77">
        <f>+K34/K37</f>
        <v>1.7287917737789202</v>
      </c>
      <c r="L36" s="3"/>
      <c r="M36" s="3"/>
      <c r="N36" s="3"/>
      <c r="O36" s="3"/>
      <c r="P36" s="3">
        <f t="shared" ref="P36:U36" si="50">+P34/P37</f>
        <v>5.0874598070739552</v>
      </c>
      <c r="Q36" s="3">
        <f t="shared" si="50"/>
        <v>4.6176092544987144</v>
      </c>
      <c r="R36" s="3">
        <f t="shared" si="50"/>
        <v>5.1707317073170733</v>
      </c>
      <c r="S36" s="3">
        <f t="shared" si="50"/>
        <v>5.8428479794740218</v>
      </c>
      <c r="T36" s="3">
        <f t="shared" si="50"/>
        <v>5.8374193548387101</v>
      </c>
      <c r="U36" s="3">
        <f t="shared" si="50"/>
        <v>5.0341494845360826</v>
      </c>
      <c r="V36" s="3">
        <f>+V34/V37</f>
        <v>4.5411840411840414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B37" t="s">
        <v>2</v>
      </c>
      <c r="C37" s="3">
        <f t="shared" ref="C37:I37" si="51">C34/C36</f>
        <v>1558.59375</v>
      </c>
      <c r="D37" s="3">
        <f t="shared" si="51"/>
        <v>1522.7722772277227</v>
      </c>
      <c r="E37" s="3">
        <f t="shared" si="51"/>
        <v>1556.060606060606</v>
      </c>
      <c r="F37" s="3">
        <f t="shared" si="51"/>
        <v>1563.0381671100497</v>
      </c>
      <c r="G37" s="3">
        <f t="shared" si="51"/>
        <v>1556.521739130435</v>
      </c>
      <c r="H37" s="3">
        <f t="shared" si="51"/>
        <v>1562.3376623376623</v>
      </c>
      <c r="I37" s="3">
        <f t="shared" si="51"/>
        <v>1556.5656565656566</v>
      </c>
      <c r="J37" s="73">
        <v>1554</v>
      </c>
      <c r="K37" s="3">
        <v>1556</v>
      </c>
      <c r="L37" s="3"/>
      <c r="M37" s="3"/>
      <c r="N37" s="3"/>
      <c r="O37" s="3"/>
      <c r="P37" s="73">
        <v>1555</v>
      </c>
      <c r="Q37" s="73">
        <v>1556</v>
      </c>
      <c r="R37" s="73">
        <v>1558</v>
      </c>
      <c r="S37" s="73">
        <v>1559</v>
      </c>
      <c r="T37" s="73">
        <v>1550</v>
      </c>
      <c r="U37" s="73">
        <v>1552</v>
      </c>
      <c r="V37" s="73">
        <v>1554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B39" t="s">
        <v>30</v>
      </c>
      <c r="C39" s="3"/>
      <c r="D39" s="3"/>
      <c r="E39" s="3"/>
      <c r="F39" s="3"/>
      <c r="G39" s="82">
        <f t="shared" ref="G39:G41" si="52">G18/C18-1</f>
        <v>3.5228795711277128E-2</v>
      </c>
      <c r="H39" s="82">
        <f t="shared" ref="H39:H41" si="53">H18/D18-1</f>
        <v>1.1744386873920654E-2</v>
      </c>
      <c r="I39" s="82">
        <f t="shared" ref="I39:I41" si="54">I18/E18-1</f>
        <v>5.1783264746227742E-2</v>
      </c>
      <c r="J39" s="82">
        <f t="shared" ref="J39:J41" si="55">J18/F18-1</f>
        <v>6.0120240480961984E-2</v>
      </c>
      <c r="K39" s="82">
        <f t="shared" ref="K39:K41" si="56">K18/G18-1</f>
        <v>-1.8494544109493027E-4</v>
      </c>
      <c r="L39" s="3"/>
      <c r="M39" s="3"/>
      <c r="N39" s="3"/>
      <c r="O39" s="3"/>
      <c r="P39" s="8"/>
      <c r="Q39" s="8">
        <f t="shared" ref="Q39:V40" si="57">Q18/P18-1</f>
        <v>-5.1353362842257777E-2</v>
      </c>
      <c r="R39" s="8">
        <f t="shared" si="57"/>
        <v>-9.7076554628788503E-2</v>
      </c>
      <c r="S39" s="8">
        <f t="shared" si="57"/>
        <v>9.1462020396031463E-3</v>
      </c>
      <c r="T39" s="8">
        <f t="shared" si="57"/>
        <v>-2.2431685321974038E-2</v>
      </c>
      <c r="U39" s="8">
        <f t="shared" si="57"/>
        <v>3.5323567587613569E-2</v>
      </c>
      <c r="V39" s="8">
        <f t="shared" si="57"/>
        <v>3.9580908032595952E-2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B40" t="s">
        <v>31</v>
      </c>
      <c r="C40" s="3"/>
      <c r="D40" s="3"/>
      <c r="E40" s="3"/>
      <c r="F40" s="3"/>
      <c r="G40" s="82">
        <f t="shared" si="52"/>
        <v>0.2494464944649446</v>
      </c>
      <c r="H40" s="82">
        <f t="shared" si="53"/>
        <v>0.13834247017091261</v>
      </c>
      <c r="I40" s="82">
        <f t="shared" si="54"/>
        <v>0.14440321583178717</v>
      </c>
      <c r="J40" s="82">
        <f t="shared" si="55"/>
        <v>6.3341931785611871E-2</v>
      </c>
      <c r="K40" s="82">
        <f t="shared" si="56"/>
        <v>0.15032486709982273</v>
      </c>
      <c r="L40" s="3"/>
      <c r="M40" s="3"/>
      <c r="N40" s="3"/>
      <c r="O40" s="3"/>
      <c r="P40" s="8"/>
      <c r="Q40" s="8">
        <f t="shared" si="57"/>
        <v>0.364013671875</v>
      </c>
      <c r="R40" s="8">
        <f t="shared" si="57"/>
        <v>0.22194379810273857</v>
      </c>
      <c r="S40" s="8">
        <f t="shared" si="57"/>
        <v>0.35301010692837265</v>
      </c>
      <c r="T40" s="8">
        <f t="shared" si="57"/>
        <v>7.3833495723719889E-2</v>
      </c>
      <c r="U40" s="8">
        <f t="shared" si="57"/>
        <v>0.26363544712168574</v>
      </c>
      <c r="V40" s="8">
        <f t="shared" si="57"/>
        <v>0.1430509015477901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B41" t="s">
        <v>64</v>
      </c>
      <c r="C41" s="3"/>
      <c r="D41" s="3"/>
      <c r="E41" s="3"/>
      <c r="F41" s="3"/>
      <c r="G41" s="82">
        <f t="shared" si="52"/>
        <v>-1</v>
      </c>
      <c r="H41" s="82">
        <f t="shared" si="53"/>
        <v>5.2631578947368363E-2</v>
      </c>
      <c r="I41" s="82">
        <f t="shared" si="54"/>
        <v>1.3333333333333419E-2</v>
      </c>
      <c r="J41" s="82">
        <f t="shared" si="55"/>
        <v>1.5652173913043477</v>
      </c>
      <c r="K41" s="82" t="e">
        <f t="shared" si="56"/>
        <v>#DIV/0!</v>
      </c>
      <c r="L41" s="3"/>
      <c r="M41" s="3"/>
      <c r="N41" s="3"/>
      <c r="O41" s="3"/>
      <c r="P41" s="8"/>
      <c r="Q41" s="8">
        <v>0</v>
      </c>
      <c r="R41" s="8">
        <v>0</v>
      </c>
      <c r="S41" s="8">
        <v>0</v>
      </c>
      <c r="T41" s="8">
        <f t="shared" ref="T41:V42" si="58">T20/S20-1</f>
        <v>1.6831683168316833</v>
      </c>
      <c r="U41" s="8">
        <f t="shared" si="58"/>
        <v>0.12915129151291516</v>
      </c>
      <c r="V41" s="8">
        <f t="shared" si="58"/>
        <v>8.8235294117646967E-2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s="1" customFormat="1" x14ac:dyDescent="0.25">
      <c r="A42"/>
      <c r="B42" s="1" t="s">
        <v>40</v>
      </c>
      <c r="C42" s="78"/>
      <c r="D42" s="78"/>
      <c r="E42" s="78"/>
      <c r="F42" s="78"/>
      <c r="G42" s="79">
        <f>G21/C21-1</f>
        <v>9.6520763187429859E-2</v>
      </c>
      <c r="H42" s="79">
        <f>H21/D21-1</f>
        <v>5.5871528939444692E-2</v>
      </c>
      <c r="I42" s="79">
        <f>I21/E21-1</f>
        <v>8.4235860409145547E-2</v>
      </c>
      <c r="J42" s="79">
        <f>J21/F21-1</f>
        <v>7.2841826019675038E-2</v>
      </c>
      <c r="K42" s="79">
        <f>K21/G21-1</f>
        <v>5.7773228704651514E-2</v>
      </c>
      <c r="L42" s="79"/>
      <c r="M42" s="79"/>
      <c r="N42" s="79"/>
      <c r="O42" s="79"/>
      <c r="P42" s="79"/>
      <c r="Q42" s="79">
        <f>Q21/P21-1</f>
        <v>6.0759493670885512E-3</v>
      </c>
      <c r="R42" s="79">
        <f>R21/Q21-1</f>
        <v>-3.7275624895151793E-2</v>
      </c>
      <c r="S42" s="79">
        <f>S21/R21-1</f>
        <v>9.4479682163518541E-2</v>
      </c>
      <c r="T42" s="79">
        <f t="shared" si="58"/>
        <v>1.1367616621557053E-2</v>
      </c>
      <c r="U42" s="79">
        <f t="shared" si="58"/>
        <v>0.10742396574523005</v>
      </c>
      <c r="V42" s="79">
        <f t="shared" si="58"/>
        <v>7.6874964462386952E-2</v>
      </c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</row>
    <row r="43" spans="1:43" x14ac:dyDescent="0.25">
      <c r="B43" t="s">
        <v>41</v>
      </c>
      <c r="C43" s="8">
        <f t="shared" ref="C43:J43" si="59">C23/C21</f>
        <v>0.62114976929791743</v>
      </c>
      <c r="D43" s="8">
        <f t="shared" si="59"/>
        <v>0.64001338240214123</v>
      </c>
      <c r="E43" s="8">
        <f t="shared" si="59"/>
        <v>0.65375779455201843</v>
      </c>
      <c r="F43" s="8">
        <f t="shared" si="59"/>
        <v>0.61733171216978</v>
      </c>
      <c r="G43" s="8">
        <f t="shared" si="59"/>
        <v>0.63664278403275332</v>
      </c>
      <c r="H43" s="8">
        <f t="shared" si="59"/>
        <v>0.64670468948035487</v>
      </c>
      <c r="I43" s="8">
        <f t="shared" si="59"/>
        <v>0.660377358490566</v>
      </c>
      <c r="J43" s="8">
        <f t="shared" si="59"/>
        <v>0.64733154749639399</v>
      </c>
      <c r="K43" s="8">
        <f t="shared" ref="K43" si="60">K23/K21</f>
        <v>0.67315342436297176</v>
      </c>
      <c r="L43" s="8"/>
      <c r="M43" s="8"/>
      <c r="N43" s="8"/>
      <c r="O43" s="8"/>
      <c r="P43" s="8">
        <f t="shared" ref="P43:V43" si="61">P23/P21</f>
        <v>0.63686075949367094</v>
      </c>
      <c r="Q43" s="8">
        <f t="shared" si="61"/>
        <v>0.64727394732427446</v>
      </c>
      <c r="R43" s="8">
        <f t="shared" si="61"/>
        <v>0.666515647870635</v>
      </c>
      <c r="S43" s="8">
        <f t="shared" si="61"/>
        <v>0.68062410444196786</v>
      </c>
      <c r="T43" s="8">
        <f t="shared" si="61"/>
        <v>0.64101756816321387</v>
      </c>
      <c r="U43" s="8">
        <f t="shared" si="61"/>
        <v>0.63345084437368515</v>
      </c>
      <c r="V43" s="8">
        <f t="shared" si="61"/>
        <v>0.64810708062727707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5">
      <c r="B44" t="s">
        <v>42</v>
      </c>
      <c r="C44" s="8">
        <f t="shared" ref="C44:J44" si="62">C26/C21</f>
        <v>0.34056615538097018</v>
      </c>
      <c r="D44" s="8">
        <f t="shared" si="62"/>
        <v>0.28616036578565851</v>
      </c>
      <c r="E44" s="8">
        <f t="shared" si="62"/>
        <v>0.36866863581665027</v>
      </c>
      <c r="F44" s="8">
        <f t="shared" si="62"/>
        <v>0.31933237537305181</v>
      </c>
      <c r="G44" s="8">
        <f t="shared" si="62"/>
        <v>0.34629819174343229</v>
      </c>
      <c r="H44" s="8">
        <f t="shared" si="62"/>
        <v>0.3637515842839037</v>
      </c>
      <c r="I44" s="8">
        <f t="shared" si="62"/>
        <v>0.36868126324286149</v>
      </c>
      <c r="J44" s="8">
        <f t="shared" si="62"/>
        <v>0.3357716876159077</v>
      </c>
      <c r="K44" s="8">
        <f t="shared" ref="K44" si="63">K26/K21</f>
        <v>0.38103429738737771</v>
      </c>
      <c r="L44" s="8"/>
      <c r="M44" s="8"/>
      <c r="N44" s="8"/>
      <c r="O44" s="8"/>
      <c r="P44" s="8">
        <f t="shared" ref="P44:V44" si="64">P26/P21</f>
        <v>0.38403375527426159</v>
      </c>
      <c r="Q44" s="8">
        <f t="shared" si="64"/>
        <v>0.35332997819157858</v>
      </c>
      <c r="R44" s="8">
        <f t="shared" si="64"/>
        <v>0.40663553356102322</v>
      </c>
      <c r="S44" s="8">
        <f t="shared" si="64"/>
        <v>0.4131507721700366</v>
      </c>
      <c r="T44" s="8">
        <f t="shared" si="64"/>
        <v>0.38555506580190163</v>
      </c>
      <c r="U44" s="8">
        <f t="shared" si="64"/>
        <v>0.32853812475123673</v>
      </c>
      <c r="V44" s="8">
        <f t="shared" si="64"/>
        <v>0.35382015945931677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5">
      <c r="B45" t="s">
        <v>43</v>
      </c>
      <c r="C45" s="8">
        <f t="shared" ref="C45:J45" si="65">C30/C29</f>
        <v>0.17265026220250101</v>
      </c>
      <c r="D45" s="8">
        <f t="shared" si="65"/>
        <v>0.2474591250552364</v>
      </c>
      <c r="E45" s="8">
        <f t="shared" si="65"/>
        <v>0.33247339567881329</v>
      </c>
      <c r="F45" s="8">
        <f t="shared" si="65"/>
        <v>0.12274645186037592</v>
      </c>
      <c r="G45" s="8">
        <f t="shared" si="65"/>
        <v>0.24752837788355914</v>
      </c>
      <c r="H45" s="8">
        <f t="shared" si="65"/>
        <v>0.23669783940664302</v>
      </c>
      <c r="I45" s="8">
        <f t="shared" si="65"/>
        <v>0.21304347826086956</v>
      </c>
      <c r="J45" s="8">
        <f t="shared" si="65"/>
        <v>0.29893726431265</v>
      </c>
      <c r="K45" s="8">
        <f t="shared" ref="K45" si="66">K30/K29</f>
        <v>0.2002430872075357</v>
      </c>
      <c r="L45" s="8"/>
      <c r="M45" s="8"/>
      <c r="N45" s="8"/>
      <c r="O45" s="8"/>
      <c r="P45" s="8">
        <f t="shared" ref="P45:V45" si="67">P30/P29</f>
        <v>0.2291256676974979</v>
      </c>
      <c r="Q45" s="8">
        <f t="shared" si="67"/>
        <v>0.23227309562398704</v>
      </c>
      <c r="R45" s="8">
        <f t="shared" si="67"/>
        <v>0.2170181685383</v>
      </c>
      <c r="S45" s="8">
        <f t="shared" si="67"/>
        <v>0.2183616742969261</v>
      </c>
      <c r="T45" s="8">
        <f t="shared" si="67"/>
        <v>0.19288292934502321</v>
      </c>
      <c r="U45" s="8">
        <f t="shared" si="67"/>
        <v>0.22382775119617224</v>
      </c>
      <c r="V45" s="8">
        <f t="shared" si="67"/>
        <v>0.24731535371751784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5">
      <c r="A48" s="7" t="s">
        <v>16</v>
      </c>
      <c r="B48" s="6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2:43" x14ac:dyDescent="0.25">
      <c r="B49" t="s">
        <v>66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>
        <v>6593</v>
      </c>
      <c r="Q49" s="73">
        <v>6861</v>
      </c>
      <c r="R49" s="73">
        <v>7280</v>
      </c>
      <c r="S49" s="73">
        <v>4496</v>
      </c>
      <c r="T49" s="73">
        <v>3207</v>
      </c>
      <c r="U49" s="73">
        <v>3060</v>
      </c>
      <c r="V49" s="73">
        <v>4216</v>
      </c>
      <c r="W49" s="73"/>
      <c r="X49" s="73"/>
      <c r="Y49" s="73"/>
      <c r="Z49" s="73"/>
      <c r="AA49" s="73"/>
      <c r="AB49" s="73"/>
      <c r="AC49" s="7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2:43" x14ac:dyDescent="0.25">
      <c r="B50" t="s">
        <v>74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>
        <v>2950</v>
      </c>
      <c r="Q50" s="73">
        <v>3080</v>
      </c>
      <c r="R50" s="73">
        <v>2905</v>
      </c>
      <c r="S50" s="73">
        <v>3123</v>
      </c>
      <c r="T50" s="73">
        <v>3850</v>
      </c>
      <c r="U50" s="73">
        <v>3461</v>
      </c>
      <c r="V50" s="73">
        <v>3789</v>
      </c>
      <c r="W50" s="73"/>
      <c r="X50" s="73"/>
      <c r="Y50" s="73"/>
      <c r="Z50" s="73"/>
      <c r="AA50" s="73"/>
      <c r="AB50" s="73"/>
      <c r="AC50" s="7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2:43" x14ac:dyDescent="0.25">
      <c r="B51" t="s">
        <v>73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>
        <v>614</v>
      </c>
      <c r="Q51" s="73">
        <v>637</v>
      </c>
      <c r="R51" s="73">
        <v>856</v>
      </c>
      <c r="S51" s="73">
        <v>817</v>
      </c>
      <c r="T51" s="73">
        <v>906</v>
      </c>
      <c r="U51" s="73">
        <v>930</v>
      </c>
      <c r="V51" s="73">
        <v>886</v>
      </c>
      <c r="W51" s="73"/>
      <c r="X51" s="73"/>
      <c r="Y51" s="73"/>
      <c r="Z51" s="73"/>
      <c r="AA51" s="73"/>
      <c r="AB51" s="73"/>
      <c r="AC51" s="7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2:43" x14ac:dyDescent="0.25">
      <c r="B52" t="s">
        <v>67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>
        <f t="shared" ref="P52:T52" si="68">SUM(P53:P55)</f>
        <v>8804</v>
      </c>
      <c r="Q52" s="73">
        <f t="shared" si="68"/>
        <v>9235</v>
      </c>
      <c r="R52" s="73">
        <f t="shared" si="68"/>
        <v>9591</v>
      </c>
      <c r="S52" s="73">
        <f t="shared" si="68"/>
        <v>8720</v>
      </c>
      <c r="T52" s="73">
        <f t="shared" si="68"/>
        <v>9886</v>
      </c>
      <c r="U52" s="73">
        <f>SUM(U53:U55)</f>
        <v>10774</v>
      </c>
      <c r="V52" s="73">
        <f>SUM(V53:V55)</f>
        <v>9453</v>
      </c>
      <c r="W52" s="73"/>
      <c r="X52" s="73"/>
      <c r="Y52" s="73"/>
      <c r="Z52" s="73"/>
      <c r="AA52" s="73"/>
      <c r="AB52" s="73"/>
      <c r="AC52" s="7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2:43" x14ac:dyDescent="0.25">
      <c r="B53" s="24" t="s">
        <v>69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>
        <v>2318</v>
      </c>
      <c r="Q53" s="73">
        <v>2052</v>
      </c>
      <c r="R53" s="73">
        <v>2063</v>
      </c>
      <c r="S53" s="73">
        <v>1642</v>
      </c>
      <c r="T53" s="73">
        <v>1674</v>
      </c>
      <c r="U53" s="73">
        <v>1942</v>
      </c>
      <c r="V53" s="73">
        <v>2080</v>
      </c>
      <c r="W53" s="73"/>
      <c r="X53" s="73"/>
      <c r="Y53" s="73"/>
      <c r="Z53" s="73"/>
      <c r="AA53" s="73"/>
      <c r="AB53" s="73"/>
      <c r="AC53" s="7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2:43" x14ac:dyDescent="0.25">
      <c r="B54" s="24" t="s">
        <v>68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>
        <v>1405</v>
      </c>
      <c r="Q54" s="73">
        <v>1596</v>
      </c>
      <c r="R54" s="73">
        <v>1712</v>
      </c>
      <c r="S54" s="73">
        <v>1652</v>
      </c>
      <c r="T54" s="73">
        <v>2028</v>
      </c>
      <c r="U54" s="73">
        <v>2293</v>
      </c>
      <c r="V54" s="73">
        <v>2261</v>
      </c>
      <c r="W54" s="73"/>
      <c r="X54" s="73"/>
      <c r="Y54" s="73"/>
      <c r="Z54" s="73"/>
      <c r="AA54" s="73"/>
      <c r="AB54" s="73"/>
      <c r="AC54" s="7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2:43" x14ac:dyDescent="0.25">
      <c r="B55" s="24" t="s">
        <v>70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>
        <v>5081</v>
      </c>
      <c r="Q55" s="73">
        <v>5587</v>
      </c>
      <c r="R55" s="73">
        <v>5816</v>
      </c>
      <c r="S55" s="73">
        <v>5426</v>
      </c>
      <c r="T55" s="73">
        <v>6184</v>
      </c>
      <c r="U55" s="73">
        <v>6539</v>
      </c>
      <c r="V55" s="73">
        <v>5112</v>
      </c>
      <c r="W55" s="73"/>
      <c r="X55" s="73"/>
      <c r="Y55" s="73"/>
      <c r="Z55" s="73"/>
      <c r="AA55" s="73"/>
      <c r="AB55" s="73"/>
      <c r="AC55" s="7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2:43" x14ac:dyDescent="0.25">
      <c r="B56" s="25" t="s">
        <v>71</v>
      </c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>
        <v>481</v>
      </c>
      <c r="Q56" s="73">
        <v>701</v>
      </c>
      <c r="R56" s="73">
        <v>860</v>
      </c>
      <c r="S56" s="73">
        <v>561</v>
      </c>
      <c r="T56" s="73">
        <v>1770</v>
      </c>
      <c r="U56" s="73">
        <v>1530</v>
      </c>
      <c r="V56" s="73">
        <v>1826</v>
      </c>
      <c r="W56" s="73"/>
      <c r="X56" s="73"/>
      <c r="Y56" s="73"/>
      <c r="Z56" s="73"/>
      <c r="AA56" s="73"/>
      <c r="AB56" s="73"/>
      <c r="AC56" s="7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2:43" x14ac:dyDescent="0.25">
      <c r="B57" s="26" t="s">
        <v>72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>
        <f t="shared" ref="P57:T57" si="69">SUM(P49:P52,P56)</f>
        <v>19442</v>
      </c>
      <c r="Q57" s="74">
        <f t="shared" si="69"/>
        <v>20514</v>
      </c>
      <c r="R57" s="74">
        <f t="shared" si="69"/>
        <v>21492</v>
      </c>
      <c r="S57" s="74">
        <f t="shared" si="69"/>
        <v>17717</v>
      </c>
      <c r="T57" s="74">
        <f t="shared" si="69"/>
        <v>19619</v>
      </c>
      <c r="U57" s="74">
        <f>SUM(U49:U52,U56)</f>
        <v>19755</v>
      </c>
      <c r="V57" s="74">
        <f>SUM(V49:V52,V56)</f>
        <v>20170</v>
      </c>
      <c r="W57" s="73"/>
      <c r="X57" s="73"/>
      <c r="Y57" s="73"/>
      <c r="Z57" s="73"/>
      <c r="AA57" s="73"/>
      <c r="AB57" s="73"/>
      <c r="AC57" s="7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2:43" x14ac:dyDescent="0.25">
      <c r="B58" s="25" t="s">
        <v>75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>
        <f t="shared" ref="P58:T58" si="70">SUM(P59:P63)</f>
        <v>7201</v>
      </c>
      <c r="Q58" s="73">
        <f t="shared" si="70"/>
        <v>6631</v>
      </c>
      <c r="R58" s="73">
        <f t="shared" si="70"/>
        <v>6365</v>
      </c>
      <c r="S58" s="73">
        <f t="shared" si="70"/>
        <v>6168</v>
      </c>
      <c r="T58" s="73">
        <f t="shared" si="70"/>
        <v>6710</v>
      </c>
      <c r="U58" s="73">
        <f>SUM(U59:U63)</f>
        <v>7516</v>
      </c>
      <c r="V58" s="73">
        <f>SUM(V59:V63)</f>
        <v>7310</v>
      </c>
      <c r="W58" s="73"/>
      <c r="X58" s="73"/>
      <c r="Y58" s="73"/>
      <c r="Z58" s="73"/>
      <c r="AA58" s="73"/>
      <c r="AB58" s="73"/>
      <c r="AC58" s="7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2:43" x14ac:dyDescent="0.25">
      <c r="B59" s="24" t="s">
        <v>76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>
        <v>600</v>
      </c>
      <c r="Q59" s="73">
        <v>566</v>
      </c>
      <c r="R59" s="73">
        <v>590</v>
      </c>
      <c r="S59" s="73">
        <v>565</v>
      </c>
      <c r="T59" s="73">
        <v>545</v>
      </c>
      <c r="U59" s="73">
        <v>550</v>
      </c>
      <c r="V59" s="73">
        <v>581</v>
      </c>
      <c r="W59" s="73"/>
      <c r="X59" s="73"/>
      <c r="Y59" s="73"/>
      <c r="Z59" s="73"/>
      <c r="AA59" s="73"/>
      <c r="AB59" s="73"/>
      <c r="AC59" s="7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2:43" x14ac:dyDescent="0.25">
      <c r="B60" s="24" t="s">
        <v>77</v>
      </c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>
        <v>3975</v>
      </c>
      <c r="Q60" s="73">
        <v>4132</v>
      </c>
      <c r="R60" s="73">
        <v>4410</v>
      </c>
      <c r="S60" s="73">
        <v>4293</v>
      </c>
      <c r="T60" s="73">
        <v>4291</v>
      </c>
      <c r="U60" s="73">
        <v>4617</v>
      </c>
      <c r="V60" s="73">
        <v>4391</v>
      </c>
      <c r="W60" s="73"/>
      <c r="X60" s="73"/>
      <c r="Y60" s="73"/>
      <c r="Z60" s="73"/>
      <c r="AA60" s="73"/>
      <c r="AB60" s="73"/>
      <c r="AC60" s="7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2:43" x14ac:dyDescent="0.25">
      <c r="B61" s="24" t="s">
        <v>78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>
        <v>9096</v>
      </c>
      <c r="Q61" s="73">
        <v>9354</v>
      </c>
      <c r="R61" s="73">
        <v>9460</v>
      </c>
      <c r="S61" s="73">
        <v>9275</v>
      </c>
      <c r="T61" s="73">
        <v>9549</v>
      </c>
      <c r="U61" s="73">
        <v>10713</v>
      </c>
      <c r="V61" s="73">
        <v>10632</v>
      </c>
      <c r="W61" s="73"/>
      <c r="X61" s="73"/>
      <c r="Y61" s="73"/>
      <c r="Z61" s="73"/>
      <c r="AA61" s="73"/>
      <c r="AB61" s="73"/>
      <c r="AC61" s="7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2:43" x14ac:dyDescent="0.25">
      <c r="B62" s="24" t="s">
        <v>79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>
        <v>886</v>
      </c>
      <c r="Q62" s="73">
        <v>394</v>
      </c>
      <c r="R62" s="73">
        <v>449</v>
      </c>
      <c r="S62" s="73">
        <v>599</v>
      </c>
      <c r="T62" s="73">
        <v>1058</v>
      </c>
      <c r="U62" s="73">
        <v>1200</v>
      </c>
      <c r="V62" s="73">
        <v>1081</v>
      </c>
      <c r="W62" s="73"/>
      <c r="X62" s="73"/>
      <c r="Y62" s="73"/>
      <c r="Z62" s="73"/>
      <c r="AA62" s="73"/>
      <c r="AB62" s="73"/>
      <c r="AC62" s="7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2:43" x14ac:dyDescent="0.25">
      <c r="B63" s="24" t="s">
        <v>80</v>
      </c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>
        <v>-7356</v>
      </c>
      <c r="Q63" s="73">
        <v>-7815</v>
      </c>
      <c r="R63" s="73">
        <v>-8544</v>
      </c>
      <c r="S63" s="73">
        <v>-8564</v>
      </c>
      <c r="T63" s="73">
        <v>-8733</v>
      </c>
      <c r="U63" s="73">
        <v>-9564</v>
      </c>
      <c r="V63" s="73">
        <v>-9375</v>
      </c>
      <c r="W63" s="73"/>
      <c r="X63" s="73"/>
      <c r="Y63" s="73"/>
      <c r="Z63" s="73"/>
      <c r="AA63" s="73"/>
      <c r="AB63" s="73"/>
      <c r="AC63" s="7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2:43" x14ac:dyDescent="0.25">
      <c r="B64" t="s">
        <v>81</v>
      </c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>
        <v>7189</v>
      </c>
      <c r="Q64" s="73">
        <v>5858</v>
      </c>
      <c r="R64" s="73">
        <v>5964</v>
      </c>
      <c r="S64" s="73">
        <v>6680</v>
      </c>
      <c r="T64" s="73">
        <v>19655</v>
      </c>
      <c r="U64" s="73">
        <v>16779</v>
      </c>
      <c r="V64" s="73">
        <v>16600</v>
      </c>
      <c r="W64" s="73"/>
      <c r="X64" s="73"/>
      <c r="Y64" s="73"/>
      <c r="Z64" s="73"/>
      <c r="AA64" s="73"/>
      <c r="AB64" s="73"/>
      <c r="AC64" s="7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2:43" x14ac:dyDescent="0.25">
      <c r="B65" t="s">
        <v>82</v>
      </c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>
        <v>2278</v>
      </c>
      <c r="Q65" s="73">
        <v>2113</v>
      </c>
      <c r="R65" s="73">
        <v>2019</v>
      </c>
      <c r="S65" s="73">
        <v>2818</v>
      </c>
      <c r="T65" s="73">
        <v>6732</v>
      </c>
      <c r="U65" s="73">
        <v>9864</v>
      </c>
      <c r="V65" s="73">
        <v>11327</v>
      </c>
      <c r="W65" s="73"/>
      <c r="X65" s="73"/>
      <c r="Y65" s="73"/>
      <c r="Z65" s="73"/>
      <c r="AA65" s="73"/>
      <c r="AB65" s="73"/>
      <c r="AC65" s="7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2:43" x14ac:dyDescent="0.25">
      <c r="B66" t="s">
        <v>83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>
        <v>1269</v>
      </c>
      <c r="Q66" s="73">
        <v>4635</v>
      </c>
      <c r="R66" s="73">
        <v>4798</v>
      </c>
      <c r="S66" s="73">
        <v>4463</v>
      </c>
      <c r="T66" s="73">
        <v>4431</v>
      </c>
      <c r="U66" s="73">
        <v>4929</v>
      </c>
      <c r="V66" s="73">
        <v>2654</v>
      </c>
      <c r="W66" s="73"/>
      <c r="X66" s="73"/>
      <c r="Y66" s="73"/>
      <c r="Z66" s="73"/>
      <c r="AA66" s="73"/>
      <c r="AB66" s="73"/>
      <c r="AC66" s="7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2:43" x14ac:dyDescent="0.25">
      <c r="B67" t="s">
        <v>84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>
        <v>977</v>
      </c>
      <c r="Q67" s="73">
        <v>1153</v>
      </c>
      <c r="R67" s="73">
        <v>1410</v>
      </c>
      <c r="S67" s="73">
        <v>895</v>
      </c>
      <c r="T67" s="73">
        <v>603</v>
      </c>
      <c r="U67" s="73">
        <v>814</v>
      </c>
      <c r="V67" s="73">
        <v>940</v>
      </c>
      <c r="W67" s="73"/>
      <c r="X67" s="73"/>
      <c r="Y67" s="73"/>
      <c r="Z67" s="73"/>
      <c r="AA67" s="73"/>
      <c r="AB67" s="73"/>
      <c r="AC67" s="7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2:43" x14ac:dyDescent="0.25">
      <c r="B68" t="s">
        <v>85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>
        <v>1445</v>
      </c>
      <c r="Q68" s="73">
        <v>1971</v>
      </c>
      <c r="R68" s="73">
        <v>2767</v>
      </c>
      <c r="S68" s="73">
        <v>2549</v>
      </c>
      <c r="T68" s="73">
        <v>3931</v>
      </c>
      <c r="U68" s="73">
        <v>5647</v>
      </c>
      <c r="V68" s="73">
        <v>2783</v>
      </c>
      <c r="W68" s="73"/>
      <c r="X68" s="73"/>
      <c r="Y68" s="73"/>
      <c r="Z68" s="73"/>
      <c r="AA68" s="73"/>
      <c r="AB68" s="73"/>
      <c r="AC68" s="7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2:43" x14ac:dyDescent="0.25">
      <c r="B69" s="1" t="s">
        <v>86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>
        <f t="shared" ref="P69:T69" si="71">SUM(P58,P64:P68)</f>
        <v>20359</v>
      </c>
      <c r="Q69" s="74">
        <f t="shared" si="71"/>
        <v>22361</v>
      </c>
      <c r="R69" s="74">
        <f t="shared" si="71"/>
        <v>23323</v>
      </c>
      <c r="S69" s="74">
        <f t="shared" si="71"/>
        <v>23573</v>
      </c>
      <c r="T69" s="74">
        <f t="shared" si="71"/>
        <v>42062</v>
      </c>
      <c r="U69" s="74">
        <f>SUM(U58,U64:U68)</f>
        <v>45549</v>
      </c>
      <c r="V69" s="74">
        <f>SUM(V58,V64:V68)</f>
        <v>41614</v>
      </c>
      <c r="W69" s="73"/>
      <c r="X69" s="73"/>
      <c r="Y69" s="73"/>
      <c r="Z69" s="73"/>
      <c r="AA69" s="73"/>
      <c r="AB69" s="73"/>
      <c r="AC69" s="7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2:43" x14ac:dyDescent="0.2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2:43" x14ac:dyDescent="0.25">
      <c r="B71" s="1" t="s">
        <v>87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>
        <f t="shared" ref="P71:V71" si="72">P69+P57</f>
        <v>39801</v>
      </c>
      <c r="Q71" s="74">
        <f t="shared" si="72"/>
        <v>42875</v>
      </c>
      <c r="R71" s="74">
        <f t="shared" si="72"/>
        <v>44815</v>
      </c>
      <c r="S71" s="74">
        <f t="shared" si="72"/>
        <v>41290</v>
      </c>
      <c r="T71" s="74">
        <f t="shared" si="72"/>
        <v>61681</v>
      </c>
      <c r="U71" s="74">
        <f t="shared" si="72"/>
        <v>65304</v>
      </c>
      <c r="V71" s="74">
        <f t="shared" si="72"/>
        <v>61784</v>
      </c>
      <c r="W71" s="73"/>
      <c r="X71" s="73"/>
      <c r="Y71" s="73"/>
      <c r="Z71" s="73"/>
      <c r="AA71" s="73"/>
      <c r="AB71" s="73"/>
      <c r="AC71" s="7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2:43" x14ac:dyDescent="0.2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2:43" x14ac:dyDescent="0.25">
      <c r="B73" t="s">
        <v>88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>
        <v>730</v>
      </c>
      <c r="Q73" s="73">
        <v>338</v>
      </c>
      <c r="R73" s="73">
        <v>244</v>
      </c>
      <c r="S73" s="73">
        <v>225</v>
      </c>
      <c r="T73" s="73">
        <v>5637</v>
      </c>
      <c r="U73" s="73">
        <v>1968</v>
      </c>
      <c r="V73" s="73">
        <v>137</v>
      </c>
      <c r="W73" s="73"/>
      <c r="X73" s="73"/>
      <c r="Y73" s="73"/>
      <c r="Z73" s="73"/>
      <c r="AA73" s="73"/>
      <c r="AB73" s="73"/>
      <c r="AC73" s="7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2:43" x14ac:dyDescent="0.25">
      <c r="B74" t="s">
        <v>89</v>
      </c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>
        <v>4054</v>
      </c>
      <c r="Q74" s="73">
        <v>4051</v>
      </c>
      <c r="R74" s="73">
        <v>3124</v>
      </c>
      <c r="S74" s="73">
        <v>2798</v>
      </c>
      <c r="T74" s="73">
        <v>2611</v>
      </c>
      <c r="U74" s="73">
        <v>4698</v>
      </c>
      <c r="V74" s="73">
        <v>3392</v>
      </c>
      <c r="W74" s="73"/>
      <c r="X74" s="73"/>
      <c r="Y74" s="73"/>
      <c r="Z74" s="73"/>
      <c r="AA74" s="73"/>
      <c r="AB74" s="73"/>
      <c r="AC74" s="7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2:43" x14ac:dyDescent="0.25">
      <c r="B75" t="s">
        <v>90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>
        <v>2068</v>
      </c>
      <c r="Q75" s="73">
        <v>2299</v>
      </c>
      <c r="R75" s="73">
        <v>2780</v>
      </c>
      <c r="S75" s="73">
        <v>3331</v>
      </c>
      <c r="T75" s="73">
        <v>4076</v>
      </c>
      <c r="U75" s="73">
        <v>4143</v>
      </c>
      <c r="V75" s="73">
        <v>3952</v>
      </c>
      <c r="W75" s="73"/>
      <c r="X75" s="73"/>
      <c r="Y75" s="73"/>
      <c r="Z75" s="73"/>
      <c r="AA75" s="73"/>
      <c r="AB75" s="73"/>
      <c r="AC75" s="7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2:43" x14ac:dyDescent="0.25">
      <c r="B76" t="s">
        <v>91</v>
      </c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>
        <f t="shared" ref="P76:T76" si="73">SUM(P77:P81)</f>
        <v>9763</v>
      </c>
      <c r="Q76" s="73">
        <f t="shared" si="73"/>
        <v>11349</v>
      </c>
      <c r="R76" s="73">
        <f t="shared" si="73"/>
        <v>12376</v>
      </c>
      <c r="S76" s="73">
        <f t="shared" si="73"/>
        <v>11876</v>
      </c>
      <c r="T76" s="73">
        <f t="shared" si="73"/>
        <v>13972</v>
      </c>
      <c r="U76" s="73">
        <f>SUM(U77:U81)</f>
        <v>14416</v>
      </c>
      <c r="V76" s="73">
        <f>SUM(V77:V81)</f>
        <v>14176</v>
      </c>
      <c r="W76" s="73"/>
      <c r="X76" s="73"/>
      <c r="Y76" s="73"/>
      <c r="Z76" s="73"/>
      <c r="AA76" s="73"/>
      <c r="AB76" s="73"/>
      <c r="AC76" s="7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2:43" x14ac:dyDescent="0.25">
      <c r="B77" s="24" t="s">
        <v>92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>
        <v>732</v>
      </c>
      <c r="Q77" s="73">
        <v>666</v>
      </c>
      <c r="R77" s="73">
        <v>782</v>
      </c>
      <c r="S77" s="73">
        <v>811</v>
      </c>
      <c r="T77" s="73">
        <v>695</v>
      </c>
      <c r="U77" s="73">
        <v>862</v>
      </c>
      <c r="V77" s="73">
        <v>1015</v>
      </c>
      <c r="W77" s="73"/>
      <c r="X77" s="73"/>
      <c r="Y77" s="73"/>
      <c r="Z77" s="73"/>
      <c r="AA77" s="73"/>
      <c r="AB77" s="73"/>
      <c r="AC77" s="7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2:43" x14ac:dyDescent="0.25">
      <c r="B78" s="24" t="s">
        <v>93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>
        <v>5088</v>
      </c>
      <c r="Q78" s="73">
        <v>5837</v>
      </c>
      <c r="R78" s="73">
        <v>6403</v>
      </c>
      <c r="S78" s="73">
        <v>6324</v>
      </c>
      <c r="T78" s="73">
        <v>7440</v>
      </c>
      <c r="U78" s="73">
        <v>7514</v>
      </c>
      <c r="V78" s="73">
        <v>6904</v>
      </c>
      <c r="W78" s="73"/>
      <c r="X78" s="73"/>
      <c r="Y78" s="73"/>
      <c r="Z78" s="73"/>
      <c r="AA78" s="73"/>
      <c r="AB78" s="73"/>
      <c r="AC78" s="7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2:43" x14ac:dyDescent="0.25">
      <c r="B79" s="24" t="s">
        <v>94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>
        <v>794</v>
      </c>
      <c r="Q79" s="73">
        <v>1042</v>
      </c>
      <c r="R79" s="73">
        <v>1189</v>
      </c>
      <c r="S79" s="73">
        <v>1146</v>
      </c>
      <c r="T79" s="73">
        <v>1168</v>
      </c>
      <c r="U79" s="73">
        <v>1262</v>
      </c>
      <c r="V79" s="73">
        <v>1305</v>
      </c>
      <c r="W79" s="73"/>
      <c r="X79" s="73"/>
      <c r="Y79" s="73"/>
      <c r="Z79" s="73"/>
      <c r="AA79" s="73"/>
      <c r="AB79" s="73"/>
      <c r="AC79" s="7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2:43" x14ac:dyDescent="0.25">
      <c r="B80" s="24" t="s">
        <v>95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>
        <v>1783</v>
      </c>
      <c r="Q80" s="73">
        <v>1831</v>
      </c>
      <c r="R80" s="73">
        <v>1880</v>
      </c>
      <c r="S80" s="73">
        <v>1958</v>
      </c>
      <c r="T80" s="73">
        <v>1990</v>
      </c>
      <c r="U80" s="73">
        <v>2041</v>
      </c>
      <c r="V80" s="73">
        <v>2120</v>
      </c>
      <c r="W80" s="73"/>
      <c r="X80" s="73"/>
      <c r="Y80" s="73"/>
      <c r="Z80" s="73"/>
      <c r="AA80" s="73"/>
      <c r="AB80" s="73"/>
      <c r="AC80" s="7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2:43" x14ac:dyDescent="0.25">
      <c r="B81" s="24" t="s">
        <v>96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>
        <v>1366</v>
      </c>
      <c r="Q81" s="73">
        <v>1973</v>
      </c>
      <c r="R81" s="73">
        <v>2122</v>
      </c>
      <c r="S81" s="73">
        <v>1637</v>
      </c>
      <c r="T81" s="73">
        <v>2679</v>
      </c>
      <c r="U81" s="73">
        <v>2737</v>
      </c>
      <c r="V81" s="73">
        <v>2832</v>
      </c>
      <c r="W81" s="73"/>
      <c r="X81" s="73"/>
      <c r="Y81" s="73"/>
      <c r="Z81" s="73"/>
      <c r="AA81" s="73"/>
      <c r="AB81" s="73"/>
      <c r="AC81" s="7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2:43" x14ac:dyDescent="0.25">
      <c r="B82" t="s">
        <v>98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>
        <v>576</v>
      </c>
      <c r="Q82" s="73">
        <v>796</v>
      </c>
      <c r="R82" s="73">
        <v>1091</v>
      </c>
      <c r="S82" s="73">
        <v>1025</v>
      </c>
      <c r="T82" s="73">
        <v>1040</v>
      </c>
      <c r="U82" s="73">
        <v>1158</v>
      </c>
      <c r="V82" s="73">
        <v>1258</v>
      </c>
      <c r="W82" s="73"/>
      <c r="X82" s="73"/>
      <c r="Y82" s="73"/>
      <c r="Z82" s="73"/>
      <c r="AA82" s="73"/>
      <c r="AB82" s="73"/>
      <c r="AC82" s="7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2:43" x14ac:dyDescent="0.25">
      <c r="B83" s="26" t="s">
        <v>100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4">
        <f t="shared" ref="P83:T83" si="74">SUM(P73:P76,P82)</f>
        <v>17191</v>
      </c>
      <c r="Q83" s="74">
        <f>SUM(Q73:Q76,Q82)</f>
        <v>18833</v>
      </c>
      <c r="R83" s="74">
        <f t="shared" si="74"/>
        <v>19615</v>
      </c>
      <c r="S83" s="74">
        <f t="shared" si="74"/>
        <v>19255</v>
      </c>
      <c r="T83" s="74">
        <f t="shared" si="74"/>
        <v>27336</v>
      </c>
      <c r="U83" s="74">
        <f>SUM(U73:U76,U82)</f>
        <v>26383</v>
      </c>
      <c r="V83" s="74">
        <f>SUM(V73:V76,V82)</f>
        <v>22915</v>
      </c>
      <c r="W83" s="73"/>
      <c r="X83" s="73"/>
      <c r="Y83" s="73"/>
      <c r="Z83" s="73"/>
      <c r="AA83" s="73"/>
      <c r="AB83" s="73"/>
      <c r="AC83" s="7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2:43" x14ac:dyDescent="0.25">
      <c r="B84" s="25" t="s">
        <v>101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>
        <v>26975</v>
      </c>
      <c r="Q84" s="73">
        <v>26656</v>
      </c>
      <c r="R84" s="73">
        <v>28168</v>
      </c>
      <c r="S84" s="73">
        <v>24783</v>
      </c>
      <c r="T84" s="73">
        <v>34875</v>
      </c>
      <c r="U84" s="73">
        <v>41243</v>
      </c>
      <c r="V84" s="73">
        <v>42166</v>
      </c>
      <c r="W84" s="73"/>
      <c r="X84" s="73"/>
      <c r="Y84" s="73"/>
      <c r="Z84" s="73"/>
      <c r="AA84" s="73"/>
      <c r="AB84" s="73"/>
      <c r="AC84" s="7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2:43" x14ac:dyDescent="0.25">
      <c r="B85" s="25" t="s">
        <v>102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>
        <v>898</v>
      </c>
      <c r="Q85" s="73">
        <v>908</v>
      </c>
      <c r="R85" s="73">
        <v>684</v>
      </c>
      <c r="S85" s="73">
        <v>726</v>
      </c>
      <c r="T85" s="73">
        <v>1956</v>
      </c>
      <c r="U85" s="73">
        <v>2335</v>
      </c>
      <c r="V85" s="73">
        <v>2517</v>
      </c>
      <c r="W85" s="73"/>
      <c r="X85" s="73"/>
      <c r="Y85" s="73"/>
      <c r="Z85" s="73"/>
      <c r="AA85" s="73"/>
      <c r="AB85" s="73"/>
      <c r="AC85" s="7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2:43" x14ac:dyDescent="0.25">
      <c r="B86" s="25" t="s">
        <v>94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>
        <v>3083</v>
      </c>
      <c r="Q86" s="73">
        <v>3634</v>
      </c>
      <c r="R86" s="73">
        <v>4470</v>
      </c>
      <c r="S86" s="73">
        <v>2968</v>
      </c>
      <c r="T86" s="73">
        <v>1984</v>
      </c>
      <c r="U86" s="73">
        <v>3046</v>
      </c>
      <c r="V86" s="73">
        <v>2940</v>
      </c>
      <c r="W86" s="73"/>
      <c r="X86" s="73"/>
      <c r="Y86" s="73"/>
      <c r="Z86" s="73"/>
      <c r="AA86" s="73"/>
      <c r="AB86" s="73"/>
      <c r="AC86" s="7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2:43" x14ac:dyDescent="0.25">
      <c r="B87" s="25" t="s">
        <v>98</v>
      </c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>
        <v>2393</v>
      </c>
      <c r="Q87" s="73">
        <v>2443</v>
      </c>
      <c r="R87" s="73">
        <v>2509</v>
      </c>
      <c r="S87" s="73">
        <v>1766</v>
      </c>
      <c r="T87" s="73">
        <v>1841</v>
      </c>
      <c r="U87" s="73">
        <v>1743</v>
      </c>
      <c r="V87" s="73">
        <v>1116</v>
      </c>
      <c r="W87" s="73"/>
      <c r="X87" s="73"/>
      <c r="Y87" s="73"/>
      <c r="Z87" s="73"/>
      <c r="AA87" s="73"/>
      <c r="AB87" s="73"/>
      <c r="AC87" s="7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2:43" x14ac:dyDescent="0.25">
      <c r="B88" s="26" t="s">
        <v>103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4">
        <f t="shared" ref="P88:T88" si="75">SUM(P84:P87)</f>
        <v>33349</v>
      </c>
      <c r="Q88" s="74">
        <f t="shared" si="75"/>
        <v>33641</v>
      </c>
      <c r="R88" s="74">
        <f t="shared" si="75"/>
        <v>35831</v>
      </c>
      <c r="S88" s="74">
        <f t="shared" si="75"/>
        <v>30243</v>
      </c>
      <c r="T88" s="74">
        <f t="shared" si="75"/>
        <v>40656</v>
      </c>
      <c r="U88" s="74">
        <f>SUM(U84:U87)</f>
        <v>48367</v>
      </c>
      <c r="V88" s="74">
        <f>SUM(V84:V87)</f>
        <v>48739</v>
      </c>
      <c r="W88" s="73"/>
      <c r="X88" s="73"/>
      <c r="Y88" s="73"/>
      <c r="Z88" s="73"/>
      <c r="AA88" s="73"/>
      <c r="AB88" s="73"/>
      <c r="AC88" s="7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2:43" x14ac:dyDescent="0.25">
      <c r="B89" s="25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2:43" x14ac:dyDescent="0.25">
      <c r="B90" s="26" t="s">
        <v>104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4">
        <f t="shared" ref="P90:T90" si="76">P83+P88</f>
        <v>50540</v>
      </c>
      <c r="Q90" s="74">
        <f t="shared" si="76"/>
        <v>52474</v>
      </c>
      <c r="R90" s="74">
        <f t="shared" si="76"/>
        <v>55446</v>
      </c>
      <c r="S90" s="74">
        <f t="shared" si="76"/>
        <v>49498</v>
      </c>
      <c r="T90" s="74">
        <f t="shared" si="76"/>
        <v>67992</v>
      </c>
      <c r="U90" s="74">
        <f>U83+U88</f>
        <v>74750</v>
      </c>
      <c r="V90" s="74">
        <f>V83+V88</f>
        <v>71654</v>
      </c>
      <c r="W90" s="73"/>
      <c r="X90" s="73"/>
      <c r="Y90" s="73"/>
      <c r="Z90" s="73"/>
      <c r="AA90" s="73"/>
      <c r="AB90" s="73"/>
      <c r="AC90" s="7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2:43" x14ac:dyDescent="0.25">
      <c r="B91" s="25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2:43" x14ac:dyDescent="0.25">
      <c r="B92" s="25" t="s">
        <v>105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73">
        <v>0</v>
      </c>
      <c r="W92" s="73"/>
      <c r="X92" s="73"/>
      <c r="Y92" s="73"/>
      <c r="Z92" s="73"/>
      <c r="AA92" s="73"/>
      <c r="AB92" s="73"/>
      <c r="AC92" s="7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2:43" x14ac:dyDescent="0.25">
      <c r="B93" s="25" t="s">
        <v>106</v>
      </c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>
        <v>1939</v>
      </c>
      <c r="Q93" s="73">
        <v>2019</v>
      </c>
      <c r="R93" s="73">
        <v>2105</v>
      </c>
      <c r="S93" s="73">
        <v>2225</v>
      </c>
      <c r="T93" s="73">
        <v>2230</v>
      </c>
      <c r="U93" s="73">
        <v>2285</v>
      </c>
      <c r="V93" s="73">
        <v>2335</v>
      </c>
      <c r="W93" s="73"/>
      <c r="X93" s="73"/>
      <c r="Y93" s="73"/>
      <c r="Z93" s="73"/>
      <c r="AA93" s="73"/>
      <c r="AB93" s="73"/>
      <c r="AC93" s="7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2:43" x14ac:dyDescent="0.25">
      <c r="B94" s="25" t="s">
        <v>107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>
        <v>31014</v>
      </c>
      <c r="Q94" s="73">
        <v>30987</v>
      </c>
      <c r="R94" s="73">
        <v>31638</v>
      </c>
      <c r="S94" s="73">
        <v>33082</v>
      </c>
      <c r="T94" s="73">
        <v>34289</v>
      </c>
      <c r="U94" s="73">
        <v>34090</v>
      </c>
      <c r="V94" s="73">
        <v>32869</v>
      </c>
      <c r="W94" s="73"/>
      <c r="X94" s="73"/>
      <c r="Y94" s="73"/>
      <c r="Z94" s="73"/>
      <c r="AA94" s="73"/>
      <c r="AB94" s="73"/>
      <c r="AC94" s="7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2:43" x14ac:dyDescent="0.25">
      <c r="B95" s="25" t="s">
        <v>108</v>
      </c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>
        <v>-10111</v>
      </c>
      <c r="Q95" s="73">
        <v>-9363</v>
      </c>
      <c r="R95" s="73">
        <v>-11181</v>
      </c>
      <c r="S95" s="73">
        <v>-9577</v>
      </c>
      <c r="T95" s="73">
        <v>-9559</v>
      </c>
      <c r="U95" s="73">
        <v>-11815</v>
      </c>
      <c r="V95" s="73">
        <v>-11314</v>
      </c>
      <c r="W95" s="73"/>
      <c r="X95" s="73"/>
      <c r="Y95" s="73"/>
      <c r="Z95" s="73"/>
      <c r="AA95" s="73"/>
      <c r="AB95" s="73"/>
      <c r="AC95" s="7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2:43" x14ac:dyDescent="0.25">
      <c r="B96" s="25" t="s">
        <v>109</v>
      </c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>
        <v>-35301</v>
      </c>
      <c r="Q96" s="73">
        <v>-35220</v>
      </c>
      <c r="R96" s="73">
        <v>-35129</v>
      </c>
      <c r="S96" s="73">
        <v>-35836</v>
      </c>
      <c r="T96" s="73">
        <v>-35917</v>
      </c>
      <c r="U96" s="73">
        <v>-35785</v>
      </c>
      <c r="V96" s="73">
        <v>-35640</v>
      </c>
      <c r="W96" s="73"/>
      <c r="X96" s="73"/>
      <c r="Y96" s="73"/>
      <c r="Z96" s="73"/>
      <c r="AA96" s="73"/>
      <c r="AB96" s="73"/>
      <c r="AC96" s="7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x14ac:dyDescent="0.25">
      <c r="B97" s="25" t="s">
        <v>110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>
        <v>1720</v>
      </c>
      <c r="Q97" s="73">
        <v>1978</v>
      </c>
      <c r="R97" s="73">
        <v>1936</v>
      </c>
      <c r="S97" s="73">
        <v>1898</v>
      </c>
      <c r="T97" s="73">
        <v>2646</v>
      </c>
      <c r="U97" s="73">
        <v>1779</v>
      </c>
      <c r="V97" s="73">
        <v>1880</v>
      </c>
      <c r="W97" s="73"/>
      <c r="X97" s="73"/>
      <c r="Y97" s="73"/>
      <c r="Z97" s="73"/>
      <c r="AA97" s="73"/>
      <c r="AB97" s="73"/>
      <c r="AC97" s="7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x14ac:dyDescent="0.25">
      <c r="B98" s="26" t="s">
        <v>111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4">
        <f t="shared" ref="P98:T98" si="77">SUM(P92:P97)</f>
        <v>-10739</v>
      </c>
      <c r="Q98" s="74">
        <f t="shared" si="77"/>
        <v>-9599</v>
      </c>
      <c r="R98" s="74">
        <f t="shared" si="77"/>
        <v>-10631</v>
      </c>
      <c r="S98" s="74">
        <f t="shared" si="77"/>
        <v>-8208</v>
      </c>
      <c r="T98" s="74">
        <f t="shared" si="77"/>
        <v>-6311</v>
      </c>
      <c r="U98" s="74">
        <f>SUM(U92:U97)</f>
        <v>-9446</v>
      </c>
      <c r="V98" s="74">
        <f>SUM(V92:V97)</f>
        <v>-9870</v>
      </c>
      <c r="W98" s="73"/>
      <c r="X98" s="73"/>
      <c r="Y98" s="73"/>
      <c r="Z98" s="73"/>
      <c r="AA98" s="73"/>
      <c r="AB98" s="73"/>
      <c r="AC98" s="7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x14ac:dyDescent="0.25">
      <c r="B99" s="25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x14ac:dyDescent="0.25">
      <c r="B100" s="26" t="s">
        <v>112</v>
      </c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4">
        <f t="shared" ref="P100:T100" si="78">P90+P98</f>
        <v>39801</v>
      </c>
      <c r="Q100" s="74">
        <f t="shared" si="78"/>
        <v>42875</v>
      </c>
      <c r="R100" s="74">
        <f t="shared" si="78"/>
        <v>44815</v>
      </c>
      <c r="S100" s="74">
        <f t="shared" si="78"/>
        <v>41290</v>
      </c>
      <c r="T100" s="74">
        <f t="shared" si="78"/>
        <v>61681</v>
      </c>
      <c r="U100" s="74">
        <f>U90+U98</f>
        <v>65304</v>
      </c>
      <c r="V100" s="74">
        <f>V90+V98</f>
        <v>61784</v>
      </c>
      <c r="W100" s="73"/>
      <c r="X100" s="73"/>
      <c r="Y100" s="73"/>
      <c r="Z100" s="73"/>
      <c r="AA100" s="73"/>
      <c r="AB100" s="73"/>
      <c r="AC100" s="7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x14ac:dyDescent="0.25">
      <c r="B101" s="25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x14ac:dyDescent="0.25">
      <c r="B102" s="25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x14ac:dyDescent="0.25">
      <c r="A103" s="7" t="s">
        <v>16</v>
      </c>
      <c r="B103" s="6" t="s">
        <v>114</v>
      </c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x14ac:dyDescent="0.25">
      <c r="B104" s="25" t="s">
        <v>113</v>
      </c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>
        <f t="shared" ref="P104:V104" si="79">P32</f>
        <v>8286</v>
      </c>
      <c r="Q104" s="73">
        <f t="shared" si="79"/>
        <v>7728</v>
      </c>
      <c r="R104" s="73">
        <f t="shared" si="79"/>
        <v>8592</v>
      </c>
      <c r="S104" s="73">
        <f t="shared" si="79"/>
        <v>9710</v>
      </c>
      <c r="T104" s="73">
        <f t="shared" si="79"/>
        <v>9527</v>
      </c>
      <c r="U104" s="73">
        <f t="shared" si="79"/>
        <v>8268</v>
      </c>
      <c r="V104" s="73">
        <f t="shared" si="79"/>
        <v>7503</v>
      </c>
      <c r="W104" s="73"/>
      <c r="X104" s="73"/>
      <c r="Y104" s="73"/>
      <c r="Z104" s="73"/>
      <c r="AA104" s="73"/>
      <c r="AB104" s="73"/>
      <c r="AC104" s="7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x14ac:dyDescent="0.25">
      <c r="B105" s="25" t="s">
        <v>115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>
        <v>989</v>
      </c>
      <c r="Q105" s="73">
        <v>964</v>
      </c>
      <c r="R105" s="73">
        <v>981</v>
      </c>
      <c r="S105" s="73">
        <v>998</v>
      </c>
      <c r="T105" s="73">
        <v>1077</v>
      </c>
      <c r="U105" s="73">
        <v>1398</v>
      </c>
      <c r="V105" s="73">
        <v>1787</v>
      </c>
      <c r="W105" s="73"/>
      <c r="X105" s="73"/>
      <c r="Y105" s="73"/>
      <c r="Z105" s="73"/>
      <c r="AA105" s="73"/>
      <c r="AB105" s="73"/>
      <c r="AC105" s="7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x14ac:dyDescent="0.25">
      <c r="B106" s="25" t="s">
        <v>116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>
        <v>0</v>
      </c>
      <c r="Q106" s="73">
        <v>0</v>
      </c>
      <c r="R106" s="73">
        <v>0</v>
      </c>
      <c r="S106" s="73">
        <v>0</v>
      </c>
      <c r="T106" s="73">
        <v>112</v>
      </c>
      <c r="U106" s="73">
        <v>680</v>
      </c>
      <c r="V106" s="73">
        <f>27+206+2316</f>
        <v>2549</v>
      </c>
      <c r="W106" s="73"/>
      <c r="X106" s="73"/>
      <c r="Y106" s="73"/>
      <c r="Z106" s="73"/>
      <c r="AA106" s="73"/>
      <c r="AB106" s="73"/>
      <c r="AC106" s="7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x14ac:dyDescent="0.25">
      <c r="B107" s="25" t="s">
        <v>102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>
        <v>-100</v>
      </c>
      <c r="Q107" s="73">
        <v>-141</v>
      </c>
      <c r="R107" s="73">
        <v>-143</v>
      </c>
      <c r="S107" s="73">
        <v>-17</v>
      </c>
      <c r="T107" s="73">
        <v>-234</v>
      </c>
      <c r="U107" s="73">
        <v>-330</v>
      </c>
      <c r="V107" s="73">
        <v>-123</v>
      </c>
      <c r="W107" s="73"/>
      <c r="X107" s="73"/>
      <c r="Y107" s="73"/>
      <c r="Z107" s="73"/>
      <c r="AA107" s="73"/>
      <c r="AB107" s="73"/>
      <c r="AC107" s="7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B108" s="25" t="s">
        <v>117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>
        <v>-3</v>
      </c>
      <c r="Q108" s="73">
        <v>371</v>
      </c>
      <c r="R108" s="73">
        <v>-14</v>
      </c>
      <c r="S108" s="73">
        <v>-22</v>
      </c>
      <c r="T108" s="73">
        <v>-93</v>
      </c>
      <c r="U108" s="73">
        <v>30</v>
      </c>
      <c r="V108" s="73">
        <v>122</v>
      </c>
      <c r="W108" s="73"/>
      <c r="X108" s="73"/>
      <c r="Y108" s="73"/>
      <c r="Z108" s="73"/>
      <c r="AA108" s="73"/>
      <c r="AB108" s="73"/>
      <c r="AC108" s="7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25">
      <c r="B109" s="27" t="s">
        <v>119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x14ac:dyDescent="0.25">
      <c r="B110" s="25" t="s">
        <v>118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>
        <v>53</v>
      </c>
      <c r="Q110" s="73">
        <v>-331</v>
      </c>
      <c r="R110" s="73">
        <v>26</v>
      </c>
      <c r="S110" s="73">
        <v>-198</v>
      </c>
      <c r="T110" s="73">
        <v>-871</v>
      </c>
      <c r="U110" s="73">
        <v>314</v>
      </c>
      <c r="V110" s="73">
        <v>-738</v>
      </c>
      <c r="W110" s="73"/>
      <c r="X110" s="73"/>
      <c r="Y110" s="73"/>
      <c r="Z110" s="73"/>
      <c r="AA110" s="73"/>
      <c r="AB110" s="73"/>
      <c r="AC110" s="7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x14ac:dyDescent="0.25">
      <c r="B111" s="25" t="s">
        <v>67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>
        <v>-613</v>
      </c>
      <c r="Q111" s="73">
        <v>-548</v>
      </c>
      <c r="R111" s="73">
        <v>-165</v>
      </c>
      <c r="S111" s="73">
        <v>549</v>
      </c>
      <c r="T111" s="73">
        <v>-1287</v>
      </c>
      <c r="U111" s="73">
        <v>-862</v>
      </c>
      <c r="V111" s="73">
        <v>552</v>
      </c>
      <c r="W111" s="73"/>
      <c r="X111" s="73"/>
      <c r="Y111" s="73"/>
      <c r="Z111" s="73"/>
      <c r="AA111" s="73"/>
      <c r="AB111" s="73"/>
      <c r="AC111" s="7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x14ac:dyDescent="0.25">
      <c r="B112" s="25" t="s">
        <v>90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>
        <v>-51</v>
      </c>
      <c r="Q112" s="73">
        <v>451</v>
      </c>
      <c r="R112" s="73">
        <v>406</v>
      </c>
      <c r="S112" s="73">
        <v>653</v>
      </c>
      <c r="T112" s="73">
        <v>719</v>
      </c>
      <c r="U112" s="73">
        <v>-288</v>
      </c>
      <c r="V112" s="73">
        <v>297</v>
      </c>
      <c r="W112" s="73"/>
      <c r="X112" s="73"/>
      <c r="Y112" s="73"/>
      <c r="Z112" s="73"/>
      <c r="AA112" s="73"/>
      <c r="AB112" s="73"/>
      <c r="AC112" s="7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2:43" x14ac:dyDescent="0.25">
      <c r="B113" s="25" t="s">
        <v>91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>
        <v>910</v>
      </c>
      <c r="Q113" s="73">
        <v>1108</v>
      </c>
      <c r="R113" s="73">
        <v>121</v>
      </c>
      <c r="S113" s="73">
        <v>623</v>
      </c>
      <c r="T113" s="73">
        <v>1862</v>
      </c>
      <c r="U113" s="73">
        <v>-232</v>
      </c>
      <c r="V113" s="73">
        <v>628</v>
      </c>
      <c r="W113" s="73"/>
      <c r="X113" s="73"/>
      <c r="Y113" s="73"/>
      <c r="Z113" s="73"/>
      <c r="AA113" s="73"/>
      <c r="AB113" s="73"/>
      <c r="AC113" s="7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2:43" x14ac:dyDescent="0.25">
      <c r="B114" s="25" t="s">
        <v>97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>
        <v>-135</v>
      </c>
      <c r="Q114" s="73">
        <v>75</v>
      </c>
      <c r="R114" s="73">
        <v>-260</v>
      </c>
      <c r="S114" s="73">
        <v>-260</v>
      </c>
      <c r="T114" s="73">
        <v>-261</v>
      </c>
      <c r="U114" s="73">
        <v>-232</v>
      </c>
      <c r="V114" s="73">
        <v>-62</v>
      </c>
      <c r="W114" s="73"/>
      <c r="X114" s="73"/>
      <c r="Y114" s="73"/>
      <c r="Z114" s="73"/>
      <c r="AA114" s="73"/>
      <c r="AB114" s="73"/>
      <c r="AC114" s="7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2:43" x14ac:dyDescent="0.25">
      <c r="B115" s="25" t="s">
        <v>121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>
        <v>-110</v>
      </c>
      <c r="Q115" s="73">
        <v>-200</v>
      </c>
      <c r="R115" s="73">
        <v>-102</v>
      </c>
      <c r="S115" s="73">
        <v>-269</v>
      </c>
      <c r="T115" s="73">
        <v>3</v>
      </c>
      <c r="U115" s="73">
        <v>-21</v>
      </c>
      <c r="V115" s="73">
        <v>-110</v>
      </c>
      <c r="W115" s="73"/>
      <c r="X115" s="73"/>
      <c r="Y115" s="73"/>
      <c r="Z115" s="73"/>
      <c r="AA115" s="73"/>
      <c r="AB115" s="73"/>
      <c r="AC115" s="7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2:43" x14ac:dyDescent="0.25">
      <c r="B116" s="25" t="s">
        <v>96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>
        <v>252</v>
      </c>
      <c r="Q116" s="73">
        <v>613</v>
      </c>
      <c r="R116" s="73">
        <v>370</v>
      </c>
      <c r="S116" s="73">
        <v>200</v>
      </c>
      <c r="T116" s="73">
        <v>249</v>
      </c>
      <c r="U116" s="73">
        <v>479</v>
      </c>
      <c r="V116" s="73">
        <v>-188</v>
      </c>
      <c r="W116" s="73"/>
      <c r="X116" s="73"/>
      <c r="Y116" s="73"/>
      <c r="Z116" s="73"/>
      <c r="AA116" s="73"/>
      <c r="AB116" s="73"/>
      <c r="AC116" s="7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2:43" x14ac:dyDescent="0.25">
      <c r="B117" s="25" t="s">
        <v>99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>
        <f t="shared" ref="P117:T117" si="80">SUM(P110:P116)</f>
        <v>306</v>
      </c>
      <c r="Q117" s="73">
        <f t="shared" si="80"/>
        <v>1168</v>
      </c>
      <c r="R117" s="73">
        <f t="shared" si="80"/>
        <v>396</v>
      </c>
      <c r="S117" s="73">
        <f t="shared" si="80"/>
        <v>1298</v>
      </c>
      <c r="T117" s="73">
        <f t="shared" si="80"/>
        <v>414</v>
      </c>
      <c r="U117" s="73">
        <f>SUM(U110:U116)</f>
        <v>-842</v>
      </c>
      <c r="V117" s="73">
        <f>SUM(V110:V116)</f>
        <v>379</v>
      </c>
      <c r="W117" s="73"/>
      <c r="X117" s="73"/>
      <c r="Y117" s="73"/>
      <c r="Z117" s="73"/>
      <c r="AA117" s="73"/>
      <c r="AB117" s="73"/>
      <c r="AC117" s="7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2:43" x14ac:dyDescent="0.25">
      <c r="B118" s="26" t="s">
        <v>120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4">
        <f t="shared" ref="P118:T118" si="81">SUM(P104:P108,P117)</f>
        <v>9478</v>
      </c>
      <c r="Q118" s="74">
        <f t="shared" si="81"/>
        <v>10090</v>
      </c>
      <c r="R118" s="74">
        <f t="shared" si="81"/>
        <v>9812</v>
      </c>
      <c r="S118" s="74">
        <f t="shared" si="81"/>
        <v>11967</v>
      </c>
      <c r="T118" s="74">
        <f t="shared" si="81"/>
        <v>10803</v>
      </c>
      <c r="U118" s="74">
        <f>SUM(U104:U108,U117)</f>
        <v>9204</v>
      </c>
      <c r="V118" s="74">
        <f>SUM(V104:V108,V117)</f>
        <v>12217</v>
      </c>
      <c r="W118" s="73"/>
      <c r="X118" s="73"/>
      <c r="Y118" s="73"/>
      <c r="Z118" s="73"/>
      <c r="AA118" s="73"/>
      <c r="AB118" s="73"/>
      <c r="AC118" s="7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2:43" x14ac:dyDescent="0.25">
      <c r="B119" s="25" t="s">
        <v>122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>
        <v>-1436</v>
      </c>
      <c r="Q119" s="73">
        <v>-852</v>
      </c>
      <c r="R119" s="73">
        <v>-602</v>
      </c>
      <c r="S119" s="73">
        <v>-748</v>
      </c>
      <c r="T119" s="73">
        <v>-1077</v>
      </c>
      <c r="U119" s="73">
        <v>-1321</v>
      </c>
      <c r="V119" s="73">
        <v>-1444</v>
      </c>
      <c r="W119" s="73"/>
      <c r="X119" s="73"/>
      <c r="Y119" s="73"/>
      <c r="Z119" s="73"/>
      <c r="AA119" s="73"/>
      <c r="AB119" s="73"/>
      <c r="AC119" s="7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2:43" x14ac:dyDescent="0.25">
      <c r="B120" s="25" t="s">
        <v>124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>
        <v>0</v>
      </c>
      <c r="Q120" s="73">
        <v>0</v>
      </c>
      <c r="R120" s="73">
        <v>0</v>
      </c>
      <c r="S120" s="73">
        <v>0</v>
      </c>
      <c r="T120" s="73">
        <v>-13976</v>
      </c>
      <c r="U120" s="73">
        <v>0</v>
      </c>
      <c r="V120" s="73">
        <v>0</v>
      </c>
      <c r="W120" s="73"/>
      <c r="X120" s="73"/>
      <c r="Y120" s="73"/>
      <c r="Z120" s="73"/>
      <c r="AA120" s="73"/>
      <c r="AB120" s="73"/>
      <c r="AC120" s="7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2:43" x14ac:dyDescent="0.25">
      <c r="B121" s="25" t="s">
        <v>123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>
        <v>0</v>
      </c>
      <c r="Q121" s="73">
        <v>0</v>
      </c>
      <c r="R121" s="73">
        <v>0</v>
      </c>
      <c r="S121" s="73">
        <v>-2111</v>
      </c>
      <c r="T121" s="73">
        <v>0</v>
      </c>
      <c r="U121" s="73">
        <v>0</v>
      </c>
      <c r="V121" s="73">
        <v>43</v>
      </c>
      <c r="W121" s="73"/>
      <c r="X121" s="73"/>
      <c r="Y121" s="73"/>
      <c r="Z121" s="73"/>
      <c r="AA121" s="73"/>
      <c r="AB121" s="73"/>
      <c r="AC121" s="7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2:43" x14ac:dyDescent="0.25">
      <c r="B122" s="25" t="s">
        <v>125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>
        <v>0</v>
      </c>
      <c r="Q122" s="73">
        <v>0</v>
      </c>
      <c r="R122" s="73">
        <v>0</v>
      </c>
      <c r="S122" s="73">
        <v>0</v>
      </c>
      <c r="T122" s="73">
        <v>-1002</v>
      </c>
      <c r="U122" s="73">
        <v>-1775</v>
      </c>
      <c r="V122" s="73">
        <v>0</v>
      </c>
      <c r="W122" s="73"/>
      <c r="X122" s="73"/>
      <c r="Y122" s="73"/>
      <c r="Z122" s="73"/>
      <c r="AA122" s="73"/>
      <c r="AB122" s="73"/>
      <c r="AC122" s="7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2:43" x14ac:dyDescent="0.25">
      <c r="B123" s="25" t="s">
        <v>83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>
        <v>-63</v>
      </c>
      <c r="Q123" s="73">
        <v>-31</v>
      </c>
      <c r="R123" s="73">
        <v>-47</v>
      </c>
      <c r="S123" s="73">
        <v>-34</v>
      </c>
      <c r="T123" s="73">
        <v>-20</v>
      </c>
      <c r="U123" s="73">
        <v>-111</v>
      </c>
      <c r="V123" s="73">
        <v>-124</v>
      </c>
      <c r="W123" s="73"/>
      <c r="X123" s="73"/>
      <c r="Y123" s="73"/>
      <c r="Z123" s="73"/>
      <c r="AA123" s="73"/>
      <c r="AB123" s="73"/>
      <c r="AC123" s="7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2:43" x14ac:dyDescent="0.25">
      <c r="B124" s="25" t="s">
        <v>126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>
        <v>416</v>
      </c>
      <c r="Q124" s="73">
        <v>386</v>
      </c>
      <c r="R124" s="73">
        <v>-551</v>
      </c>
      <c r="S124" s="73">
        <v>466</v>
      </c>
      <c r="T124" s="73">
        <v>284</v>
      </c>
      <c r="U124" s="73">
        <v>-660</v>
      </c>
      <c r="V124" s="73">
        <v>351</v>
      </c>
      <c r="W124" s="73"/>
      <c r="X124" s="73"/>
      <c r="Y124" s="73"/>
      <c r="Z124" s="73"/>
      <c r="AA124" s="73"/>
      <c r="AB124" s="73"/>
      <c r="AC124" s="7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2:43" x14ac:dyDescent="0.25">
      <c r="B125" s="25" t="s">
        <v>96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>
        <v>85</v>
      </c>
      <c r="Q125" s="73">
        <f>32-1346</f>
        <v>-1314</v>
      </c>
      <c r="R125" s="73">
        <v>46</v>
      </c>
      <c r="S125" s="73">
        <v>69</v>
      </c>
      <c r="T125" s="73">
        <v>112</v>
      </c>
      <c r="U125" s="73">
        <v>269</v>
      </c>
      <c r="V125" s="73">
        <f>-54+136</f>
        <v>82</v>
      </c>
      <c r="W125" s="73"/>
      <c r="X125" s="73"/>
      <c r="Y125" s="73"/>
      <c r="Z125" s="73"/>
      <c r="AA125" s="73"/>
      <c r="AB125" s="73"/>
      <c r="AC125" s="7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2:43" x14ac:dyDescent="0.25">
      <c r="B126" s="26" t="s">
        <v>127</v>
      </c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4">
        <f t="shared" ref="P126:T126" si="82">SUM(P119:P125)</f>
        <v>-998</v>
      </c>
      <c r="Q126" s="74">
        <f t="shared" si="82"/>
        <v>-1811</v>
      </c>
      <c r="R126" s="74">
        <f t="shared" si="82"/>
        <v>-1154</v>
      </c>
      <c r="S126" s="74">
        <f t="shared" si="82"/>
        <v>-2358</v>
      </c>
      <c r="T126" s="74">
        <f t="shared" si="82"/>
        <v>-15679</v>
      </c>
      <c r="U126" s="74">
        <f>SUM(U119:U125)</f>
        <v>-3598</v>
      </c>
      <c r="V126" s="74">
        <f>SUM(V119:V125)</f>
        <v>-1092</v>
      </c>
      <c r="W126" s="73"/>
      <c r="X126" s="73"/>
      <c r="Y126" s="73"/>
      <c r="Z126" s="73"/>
      <c r="AA126" s="73"/>
      <c r="AB126" s="73"/>
      <c r="AC126" s="7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2:43" x14ac:dyDescent="0.25">
      <c r="B127" s="25" t="s">
        <v>129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>
        <v>255</v>
      </c>
      <c r="Q127" s="73">
        <v>-364</v>
      </c>
      <c r="R127" s="73">
        <v>-70</v>
      </c>
      <c r="S127" s="73">
        <v>0</v>
      </c>
      <c r="T127" s="73">
        <v>876</v>
      </c>
      <c r="U127" s="73">
        <v>530</v>
      </c>
      <c r="V127" s="73">
        <v>-1461</v>
      </c>
      <c r="W127" s="73"/>
      <c r="X127" s="73"/>
      <c r="Y127" s="73"/>
      <c r="Z127" s="73"/>
      <c r="AA127" s="73"/>
      <c r="AB127" s="73"/>
      <c r="AC127" s="7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2:43" x14ac:dyDescent="0.25">
      <c r="B128" s="25" t="s">
        <v>131</v>
      </c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>
        <v>0</v>
      </c>
      <c r="Q128" s="73">
        <v>989</v>
      </c>
      <c r="R128" s="73">
        <v>45</v>
      </c>
      <c r="S128" s="73">
        <v>0</v>
      </c>
      <c r="T128" s="73">
        <v>934</v>
      </c>
      <c r="U128" s="73">
        <v>1366</v>
      </c>
      <c r="V128" s="73">
        <v>100</v>
      </c>
      <c r="W128" s="73"/>
      <c r="X128" s="73"/>
      <c r="Y128" s="73"/>
      <c r="Z128" s="73"/>
      <c r="AA128" s="73"/>
      <c r="AB128" s="73"/>
      <c r="AC128" s="7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2:43" x14ac:dyDescent="0.25">
      <c r="B129" s="25" t="s">
        <v>130</v>
      </c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>
        <v>0</v>
      </c>
      <c r="Q129" s="73">
        <v>-989</v>
      </c>
      <c r="R129" s="73">
        <v>-45</v>
      </c>
      <c r="S129" s="73">
        <v>0</v>
      </c>
      <c r="T129" s="73">
        <v>-795</v>
      </c>
      <c r="U129" s="73">
        <v>-1172</v>
      </c>
      <c r="V129" s="73">
        <v>-433</v>
      </c>
      <c r="W129" s="73"/>
      <c r="X129" s="73"/>
      <c r="Y129" s="73"/>
      <c r="Z129" s="73"/>
      <c r="AA129" s="73"/>
      <c r="AB129" s="73"/>
      <c r="AC129" s="7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2:43" x14ac:dyDescent="0.25">
      <c r="B130" s="25" t="s">
        <v>132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>
        <v>0</v>
      </c>
      <c r="Q130" s="73">
        <v>0</v>
      </c>
      <c r="R130" s="73">
        <v>0</v>
      </c>
      <c r="S130" s="73">
        <v>0</v>
      </c>
      <c r="T130" s="73">
        <v>13920</v>
      </c>
      <c r="U130" s="73">
        <v>0</v>
      </c>
      <c r="V130" s="73">
        <v>0</v>
      </c>
      <c r="W130" s="73"/>
      <c r="X130" s="73"/>
      <c r="Y130" s="73"/>
      <c r="Z130" s="73"/>
      <c r="AA130" s="73"/>
      <c r="AB130" s="73"/>
      <c r="AC130" s="7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2:43" x14ac:dyDescent="0.25">
      <c r="B131" s="25" t="s">
        <v>133</v>
      </c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>
        <v>0</v>
      </c>
      <c r="Q131" s="73">
        <v>0</v>
      </c>
      <c r="R131" s="73">
        <v>0</v>
      </c>
      <c r="S131" s="73">
        <v>0</v>
      </c>
      <c r="T131" s="73">
        <v>-4000</v>
      </c>
      <c r="U131" s="73">
        <v>-4430</v>
      </c>
      <c r="V131" s="73">
        <v>-3168</v>
      </c>
      <c r="W131" s="73"/>
      <c r="X131" s="73"/>
      <c r="Y131" s="73"/>
      <c r="Z131" s="73"/>
      <c r="AA131" s="73"/>
      <c r="AB131" s="73"/>
      <c r="AC131" s="7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2:43" x14ac:dyDescent="0.25">
      <c r="B132" s="25" t="s">
        <v>139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>
        <v>0</v>
      </c>
      <c r="Q132" s="73">
        <v>3819</v>
      </c>
      <c r="R132" s="73">
        <v>3713</v>
      </c>
      <c r="S132" s="73">
        <v>0</v>
      </c>
      <c r="T132" s="73">
        <v>5965</v>
      </c>
      <c r="U132" s="73">
        <v>9959</v>
      </c>
      <c r="V132" s="73">
        <v>8142</v>
      </c>
      <c r="W132" s="73"/>
      <c r="X132" s="73"/>
      <c r="Y132" s="73"/>
      <c r="Z132" s="73"/>
      <c r="AA132" s="73"/>
      <c r="AB132" s="73"/>
      <c r="AC132" s="7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2:43" x14ac:dyDescent="0.25">
      <c r="B133" s="25" t="s">
        <v>134</v>
      </c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>
        <v>-2484</v>
      </c>
      <c r="Q133" s="73">
        <v>-3998</v>
      </c>
      <c r="R133" s="73">
        <v>-3999</v>
      </c>
      <c r="S133" s="73">
        <v>-3042</v>
      </c>
      <c r="T133" s="73">
        <v>-2724</v>
      </c>
      <c r="U133" s="73">
        <v>-2551</v>
      </c>
      <c r="V133" s="73">
        <v>-4803</v>
      </c>
      <c r="W133" s="73"/>
      <c r="X133" s="73"/>
      <c r="Y133" s="73"/>
      <c r="Z133" s="73"/>
      <c r="AA133" s="73"/>
      <c r="AB133" s="73"/>
      <c r="AC133" s="7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2:43" x14ac:dyDescent="0.25">
      <c r="B134" s="25" t="s">
        <v>135</v>
      </c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>
        <v>0</v>
      </c>
      <c r="Q134" s="73">
        <v>0</v>
      </c>
      <c r="R134" s="73">
        <v>0</v>
      </c>
      <c r="S134" s="73">
        <v>-775</v>
      </c>
      <c r="T134" s="73">
        <v>-209</v>
      </c>
      <c r="U134" s="73">
        <v>0</v>
      </c>
      <c r="V134" s="73">
        <v>0</v>
      </c>
      <c r="W134" s="73"/>
      <c r="X134" s="73"/>
      <c r="Y134" s="73"/>
      <c r="Z134" s="73"/>
      <c r="AA134" s="73"/>
      <c r="AB134" s="73"/>
      <c r="AC134" s="7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2:43" x14ac:dyDescent="0.25">
      <c r="B135" s="25" t="s">
        <v>136</v>
      </c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>
        <v>-6885</v>
      </c>
      <c r="Q135" s="73">
        <v>-7161</v>
      </c>
      <c r="R135" s="73">
        <v>-7364</v>
      </c>
      <c r="S135" s="73">
        <v>-7580</v>
      </c>
      <c r="T135" s="73">
        <v>-7812</v>
      </c>
      <c r="U135" s="73">
        <v>-7964</v>
      </c>
      <c r="V135" s="73">
        <v>-8197</v>
      </c>
      <c r="W135" s="73"/>
      <c r="X135" s="73"/>
      <c r="Y135" s="73"/>
      <c r="Z135" s="73"/>
      <c r="AA135" s="73"/>
      <c r="AB135" s="73"/>
      <c r="AC135" s="7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2:43" x14ac:dyDescent="0.25">
      <c r="B136" s="25" t="s">
        <v>137</v>
      </c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>
        <v>0</v>
      </c>
      <c r="Q136" s="73">
        <v>0</v>
      </c>
      <c r="R136" s="73">
        <v>0</v>
      </c>
      <c r="S136" s="73">
        <v>0</v>
      </c>
      <c r="T136" s="73">
        <v>-1495</v>
      </c>
      <c r="U136" s="73">
        <v>-883</v>
      </c>
      <c r="V136" s="73">
        <v>0</v>
      </c>
      <c r="W136" s="73"/>
      <c r="X136" s="73"/>
      <c r="Y136" s="73"/>
      <c r="Z136" s="73"/>
      <c r="AA136" s="73"/>
      <c r="AB136" s="73"/>
      <c r="AC136" s="7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2:43" x14ac:dyDescent="0.25">
      <c r="B137" s="25" t="s">
        <v>138</v>
      </c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>
        <v>-81</v>
      </c>
      <c r="Q137" s="73">
        <v>-357</v>
      </c>
      <c r="R137" s="73">
        <v>-776</v>
      </c>
      <c r="S137" s="73">
        <v>-580</v>
      </c>
      <c r="T137" s="73">
        <v>-854</v>
      </c>
      <c r="U137" s="73">
        <v>-437</v>
      </c>
      <c r="V137" s="73">
        <v>-489</v>
      </c>
      <c r="W137" s="73"/>
      <c r="X137" s="73"/>
      <c r="Y137" s="73"/>
      <c r="Z137" s="73"/>
      <c r="AA137" s="73"/>
      <c r="AB137" s="73"/>
      <c r="AC137" s="7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2:43" x14ac:dyDescent="0.25">
      <c r="B138" s="25" t="s">
        <v>96</v>
      </c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>
        <v>-456</v>
      </c>
      <c r="Q138" s="73">
        <v>0</v>
      </c>
      <c r="R138" s="73">
        <v>0</v>
      </c>
      <c r="S138" s="73">
        <v>0</v>
      </c>
      <c r="T138" s="73">
        <v>0</v>
      </c>
      <c r="U138" s="73">
        <v>0</v>
      </c>
      <c r="V138" s="73">
        <v>828</v>
      </c>
      <c r="W138" s="73"/>
      <c r="X138" s="73"/>
      <c r="Y138" s="73"/>
      <c r="Z138" s="73"/>
      <c r="AA138" s="73"/>
      <c r="AB138" s="73"/>
      <c r="AC138" s="7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2:43" x14ac:dyDescent="0.25">
      <c r="B139" s="26" t="s">
        <v>128</v>
      </c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4">
        <f t="shared" ref="P139:U139" si="83">SUM(P127:P138)</f>
        <v>-9651</v>
      </c>
      <c r="Q139" s="74">
        <f t="shared" si="83"/>
        <v>-8061</v>
      </c>
      <c r="R139" s="74">
        <f t="shared" si="83"/>
        <v>-8496</v>
      </c>
      <c r="S139" s="74">
        <f t="shared" si="83"/>
        <v>-11977</v>
      </c>
      <c r="T139" s="74">
        <f t="shared" si="83"/>
        <v>3806</v>
      </c>
      <c r="U139" s="74">
        <f t="shared" si="83"/>
        <v>-5582</v>
      </c>
      <c r="V139" s="74">
        <f>SUM(V127:V138)</f>
        <v>-9481</v>
      </c>
      <c r="W139" s="73"/>
      <c r="X139" s="73"/>
      <c r="Y139" s="73"/>
      <c r="Z139" s="73"/>
      <c r="AA139" s="73"/>
      <c r="AB139" s="73"/>
      <c r="AC139" s="7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2:43" x14ac:dyDescent="0.2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2:43" x14ac:dyDescent="0.25">
      <c r="B141" s="25" t="s">
        <v>140</v>
      </c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>
        <v>-685</v>
      </c>
      <c r="Q141" s="73">
        <v>27</v>
      </c>
      <c r="R141" s="73">
        <v>258</v>
      </c>
      <c r="S141" s="73">
        <v>-417</v>
      </c>
      <c r="T141" s="73">
        <v>-213</v>
      </c>
      <c r="U141" s="73">
        <v>-95</v>
      </c>
      <c r="V141" s="73">
        <v>-536</v>
      </c>
      <c r="W141" s="73"/>
      <c r="X141" s="73"/>
      <c r="Y141" s="73"/>
      <c r="Z141" s="73"/>
      <c r="AA141" s="73"/>
      <c r="AB141" s="73"/>
      <c r="AC141" s="7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2:43" x14ac:dyDescent="0.25">
      <c r="B142" s="26" t="s">
        <v>141</v>
      </c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4">
        <f t="shared" ref="P142:T142" si="84">P141+P139+P126+P118</f>
        <v>-1856</v>
      </c>
      <c r="Q142" s="74">
        <f t="shared" si="84"/>
        <v>245</v>
      </c>
      <c r="R142" s="74">
        <f t="shared" si="84"/>
        <v>420</v>
      </c>
      <c r="S142" s="74">
        <f t="shared" si="84"/>
        <v>-2785</v>
      </c>
      <c r="T142" s="74">
        <f t="shared" si="84"/>
        <v>-1283</v>
      </c>
      <c r="U142" s="74">
        <f>U141+U139+U126+U118</f>
        <v>-71</v>
      </c>
      <c r="V142" s="74">
        <f>V141+V139+V126+V118</f>
        <v>1108</v>
      </c>
      <c r="W142" s="73"/>
      <c r="X142" s="73"/>
      <c r="Y142" s="73"/>
      <c r="Z142" s="73"/>
      <c r="AA142" s="73"/>
      <c r="AB142" s="73"/>
      <c r="AC142" s="7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2:43" x14ac:dyDescent="0.25">
      <c r="B143" s="25" t="s">
        <v>142</v>
      </c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>
        <f>P144-P142</f>
        <v>8476</v>
      </c>
      <c r="Q143" s="73">
        <f>Q144-Q142</f>
        <v>6620</v>
      </c>
      <c r="R143" s="73">
        <f>R144-R142</f>
        <v>6865</v>
      </c>
      <c r="S143" s="73">
        <f>S144-S142</f>
        <v>7285</v>
      </c>
      <c r="T143" s="73">
        <f>T144-T142</f>
        <v>4500</v>
      </c>
      <c r="U143" s="73">
        <v>3217</v>
      </c>
      <c r="V143" s="73">
        <f>U144</f>
        <v>3146</v>
      </c>
      <c r="W143" s="73"/>
      <c r="X143" s="73"/>
      <c r="Y143" s="73"/>
      <c r="Z143" s="73"/>
      <c r="AA143" s="73"/>
      <c r="AB143" s="73"/>
      <c r="AC143" s="7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2:43" x14ac:dyDescent="0.25">
      <c r="B144" s="25" t="s">
        <v>143</v>
      </c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>
        <f>Q143</f>
        <v>6620</v>
      </c>
      <c r="Q144" s="73">
        <f>R143</f>
        <v>6865</v>
      </c>
      <c r="R144" s="73">
        <f>S143</f>
        <v>7285</v>
      </c>
      <c r="S144" s="73">
        <f>T143</f>
        <v>4500</v>
      </c>
      <c r="T144" s="73">
        <f>U143</f>
        <v>3217</v>
      </c>
      <c r="U144" s="73">
        <f>U143+U142</f>
        <v>3146</v>
      </c>
      <c r="V144" s="73">
        <f>+V143+V142</f>
        <v>4254</v>
      </c>
      <c r="W144" s="73"/>
      <c r="X144" s="73"/>
      <c r="Y144" s="73"/>
      <c r="Z144" s="73"/>
      <c r="AA144" s="73"/>
      <c r="AB144" s="73"/>
      <c r="AC144" s="7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2:43" x14ac:dyDescent="0.25">
      <c r="B145" s="25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2:43" x14ac:dyDescent="0.25">
      <c r="B146" s="25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2:43" x14ac:dyDescent="0.25">
      <c r="B147" s="25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2:43" x14ac:dyDescent="0.25">
      <c r="B148" s="25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2:43" x14ac:dyDescent="0.25">
      <c r="B149" s="25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2:43" x14ac:dyDescent="0.25">
      <c r="B150" s="25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2:43" x14ac:dyDescent="0.25">
      <c r="B151" s="25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2:43" x14ac:dyDescent="0.25">
      <c r="B152" s="25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2:43" x14ac:dyDescent="0.25">
      <c r="B153" s="25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2:43" x14ac:dyDescent="0.25">
      <c r="B154" s="25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2:43" x14ac:dyDescent="0.25">
      <c r="B155" s="25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2:43" x14ac:dyDescent="0.25">
      <c r="B156" s="25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2:43" x14ac:dyDescent="0.25">
      <c r="B157" s="25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2:43" x14ac:dyDescent="0.25">
      <c r="B158" s="25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2:43" x14ac:dyDescent="0.25">
      <c r="B159" s="25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2:43" x14ac:dyDescent="0.25">
      <c r="B160" s="25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2:43" x14ac:dyDescent="0.25">
      <c r="B161" s="2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2:43" x14ac:dyDescent="0.25">
      <c r="B162" s="2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2:43" x14ac:dyDescent="0.25">
      <c r="B163" s="2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2:43" x14ac:dyDescent="0.25">
      <c r="B164" s="2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2:43" x14ac:dyDescent="0.25">
      <c r="B165" s="2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2:43" x14ac:dyDescent="0.25">
      <c r="B166" s="2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2:43" x14ac:dyDescent="0.25">
      <c r="B167" s="2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2:43" x14ac:dyDescent="0.25">
      <c r="B168" s="2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2:43" x14ac:dyDescent="0.25">
      <c r="B169" s="2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2:43" x14ac:dyDescent="0.25">
      <c r="B170" s="2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2:43" x14ac:dyDescent="0.25">
      <c r="B171" s="2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2:43" x14ac:dyDescent="0.25">
      <c r="B172" s="2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2:43" x14ac:dyDescent="0.25">
      <c r="B173" s="2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2:43" x14ac:dyDescent="0.25">
      <c r="B174" s="2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2:43" x14ac:dyDescent="0.25">
      <c r="B175" s="2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2:43" x14ac:dyDescent="0.25">
      <c r="B176" s="2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2:43" x14ac:dyDescent="0.25">
      <c r="B177" s="2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2:43" x14ac:dyDescent="0.25">
      <c r="B178" s="2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2:43" x14ac:dyDescent="0.25">
      <c r="B179" s="2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2:43" x14ac:dyDescent="0.25">
      <c r="B180" s="2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2:43" x14ac:dyDescent="0.25">
      <c r="B181" s="2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2:43" x14ac:dyDescent="0.25">
      <c r="B182" s="2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2:43" x14ac:dyDescent="0.25">
      <c r="B183" s="2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2:43" x14ac:dyDescent="0.25">
      <c r="B184" s="2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2:43" x14ac:dyDescent="0.25">
      <c r="B185" s="2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2:43" x14ac:dyDescent="0.25">
      <c r="B186" s="2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2:43" x14ac:dyDescent="0.25">
      <c r="B187" s="2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2:43" x14ac:dyDescent="0.25">
      <c r="B188" s="2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2:43" x14ac:dyDescent="0.25">
      <c r="B189" s="2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2:43" x14ac:dyDescent="0.25">
      <c r="B190" s="2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2:43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2:43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2" spans="1:14" x14ac:dyDescent="0.25">
      <c r="B2" s="6" t="s">
        <v>147</v>
      </c>
      <c r="C2" s="30">
        <v>18</v>
      </c>
      <c r="D2" s="30">
        <f>C2+1</f>
        <v>19</v>
      </c>
      <c r="E2" s="30">
        <f t="shared" ref="E2:H2" si="0">D2+1</f>
        <v>20</v>
      </c>
      <c r="F2" s="30">
        <f t="shared" si="0"/>
        <v>21</v>
      </c>
      <c r="G2" s="30">
        <f t="shared" si="0"/>
        <v>22</v>
      </c>
      <c r="H2" s="30">
        <f t="shared" si="0"/>
        <v>23</v>
      </c>
      <c r="I2" s="30">
        <f>H2+1</f>
        <v>24</v>
      </c>
      <c r="K2" t="s">
        <v>148</v>
      </c>
      <c r="L2" t="s">
        <v>149</v>
      </c>
      <c r="N2" t="s">
        <v>246</v>
      </c>
    </row>
    <row r="3" spans="1:14" x14ac:dyDescent="0.25">
      <c r="B3" s="6" t="s">
        <v>150</v>
      </c>
    </row>
    <row r="4" spans="1:14" x14ac:dyDescent="0.25">
      <c r="B4" t="s">
        <v>151</v>
      </c>
      <c r="C4" s="8">
        <f>Model!P34/Model!P98</f>
        <v>-0.73666076915913958</v>
      </c>
      <c r="D4" s="8">
        <f>Model!Q34/Model!Q98</f>
        <v>-0.74851547036149602</v>
      </c>
      <c r="E4" s="8">
        <f>Model!R34/Model!R98</f>
        <v>-0.75778383971404384</v>
      </c>
      <c r="F4" s="8">
        <f>Model!S34/Model!S98</f>
        <v>-1.109770955165692</v>
      </c>
      <c r="G4" s="8">
        <f>Model!T34/Model!T98</f>
        <v>-1.4336872128030422</v>
      </c>
      <c r="H4" s="8">
        <f>Model!U34/Model!U98</f>
        <v>-0.82712259157315271</v>
      </c>
      <c r="I4" s="8">
        <f>Model!V34/Model!V98</f>
        <v>-0.71499493414387028</v>
      </c>
      <c r="J4" s="8"/>
      <c r="K4" s="20"/>
      <c r="L4" s="20"/>
      <c r="N4" t="s">
        <v>240</v>
      </c>
    </row>
    <row r="5" spans="1:14" x14ac:dyDescent="0.25">
      <c r="B5" t="s">
        <v>152</v>
      </c>
      <c r="D5" s="8"/>
      <c r="E5" s="8"/>
      <c r="F5" s="8"/>
      <c r="G5" s="8"/>
      <c r="H5" s="8"/>
      <c r="I5" s="8"/>
      <c r="K5" s="20"/>
      <c r="L5" s="20"/>
      <c r="N5" t="s">
        <v>153</v>
      </c>
    </row>
    <row r="6" spans="1:14" x14ac:dyDescent="0.25">
      <c r="B6" t="s">
        <v>154</v>
      </c>
      <c r="C6" s="8">
        <f>(Model!P26*(1-Model!P45))/(Model!P98+Model!P74+Model!P84+Model!P73-Model!P49)</f>
        <v>0.60790443464376287</v>
      </c>
      <c r="D6" s="8">
        <f>(Model!Q26*(1-Model!Q45))/(Model!Q98+Model!Q74+Model!Q84+Model!Q73-Model!Q49)</f>
        <v>0.55433198697180619</v>
      </c>
      <c r="E6" s="8">
        <f>(Model!R26*(1-Model!R45))/(Model!R98+Model!R74+Model!R84+Model!R73-Model!R49)</f>
        <v>0.670519780513403</v>
      </c>
      <c r="F6" s="8">
        <f>(Model!S26*(1-Model!S45))/(Model!S98+Model!S74+Model!S84+Model!S73-Model!S49)</f>
        <v>0.67155060760146901</v>
      </c>
      <c r="G6" s="8">
        <f>(Model!T26*(1-Model!T45))/(Model!T98+Model!T74+Model!T84+Model!T73-Model!T49)</f>
        <v>0.29412157855202636</v>
      </c>
      <c r="H6" s="8">
        <f>(Model!U26*(1-Model!U45))/(Model!U98+Model!U74+Model!U84+Model!U73-Model!U49)</f>
        <v>0.25335272454811836</v>
      </c>
      <c r="I6" s="8">
        <f>(Model!V26*(1-Model!V45))/(Model!V98+Model!V74+Model!V84+Model!V73-Model!V49)</f>
        <v>0.31913314655565894</v>
      </c>
      <c r="K6" s="20"/>
      <c r="L6" s="20"/>
      <c r="N6" t="s">
        <v>155</v>
      </c>
    </row>
    <row r="7" spans="1:14" x14ac:dyDescent="0.25">
      <c r="B7" t="s">
        <v>156</v>
      </c>
      <c r="D7" s="8"/>
      <c r="E7" s="8"/>
      <c r="F7" s="8"/>
      <c r="G7" s="8"/>
      <c r="H7" s="8"/>
      <c r="I7" s="8"/>
      <c r="K7" s="20"/>
      <c r="L7" s="20"/>
      <c r="N7" t="s">
        <v>157</v>
      </c>
    </row>
    <row r="8" spans="1:14" x14ac:dyDescent="0.25">
      <c r="B8" t="s">
        <v>158</v>
      </c>
      <c r="D8" s="20"/>
      <c r="E8" s="20"/>
      <c r="F8" s="20"/>
      <c r="G8" s="20"/>
      <c r="H8" s="20"/>
      <c r="I8" s="20"/>
      <c r="K8" s="20"/>
      <c r="L8" s="20"/>
      <c r="N8" t="s">
        <v>159</v>
      </c>
    </row>
    <row r="9" spans="1:14" x14ac:dyDescent="0.25">
      <c r="B9" t="s">
        <v>160</v>
      </c>
      <c r="D9" s="8"/>
      <c r="E9" s="8"/>
      <c r="F9" s="8"/>
      <c r="G9" s="8"/>
      <c r="H9" s="8"/>
      <c r="I9" s="8"/>
      <c r="K9" s="20"/>
      <c r="L9" s="20"/>
      <c r="N9" t="s">
        <v>161</v>
      </c>
    </row>
    <row r="10" spans="1:14" x14ac:dyDescent="0.25">
      <c r="B10" t="s">
        <v>158</v>
      </c>
      <c r="D10" s="20"/>
      <c r="E10" s="20"/>
      <c r="F10" s="20"/>
      <c r="G10" s="20"/>
      <c r="H10" s="20"/>
      <c r="I10" s="20"/>
      <c r="K10" s="20"/>
      <c r="L10" s="20"/>
      <c r="N10" t="s">
        <v>162</v>
      </c>
    </row>
    <row r="13" spans="1:14" x14ac:dyDescent="0.25">
      <c r="A13" s="7" t="s">
        <v>16</v>
      </c>
      <c r="B13" s="6" t="s">
        <v>163</v>
      </c>
    </row>
    <row r="14" spans="1:14" x14ac:dyDescent="0.25">
      <c r="B14" t="s">
        <v>164</v>
      </c>
      <c r="D14" s="8"/>
      <c r="E14" s="8"/>
      <c r="F14" s="8"/>
      <c r="G14" s="8"/>
      <c r="H14" s="8"/>
      <c r="I14" s="8"/>
      <c r="K14" s="20"/>
      <c r="L14" s="20"/>
      <c r="N14" t="s">
        <v>165</v>
      </c>
    </row>
    <row r="15" spans="1:14" x14ac:dyDescent="0.25">
      <c r="B15" t="s">
        <v>166</v>
      </c>
      <c r="D15" s="8"/>
      <c r="E15" s="8"/>
      <c r="F15" s="8"/>
      <c r="G15" s="8"/>
      <c r="H15" s="8"/>
      <c r="I15" s="8"/>
      <c r="K15" s="20"/>
      <c r="L15" s="20"/>
      <c r="N15" t="s">
        <v>167</v>
      </c>
    </row>
    <row r="16" spans="1:14" x14ac:dyDescent="0.25">
      <c r="B16" t="s">
        <v>241</v>
      </c>
      <c r="D16" s="8"/>
      <c r="E16" s="8"/>
      <c r="F16" s="8"/>
      <c r="G16" s="8"/>
      <c r="H16" s="8"/>
      <c r="I16" s="8"/>
      <c r="K16" s="20"/>
      <c r="L16" s="20"/>
      <c r="N16" t="s">
        <v>242</v>
      </c>
    </row>
    <row r="17" spans="1:14" x14ac:dyDescent="0.25">
      <c r="B17" t="s">
        <v>168</v>
      </c>
      <c r="D17" s="8"/>
      <c r="E17" s="8"/>
      <c r="F17" s="8"/>
      <c r="G17" s="8"/>
      <c r="H17" s="8"/>
      <c r="I17" s="8"/>
      <c r="K17" s="20"/>
      <c r="L17" s="20"/>
      <c r="N17" t="s">
        <v>169</v>
      </c>
    </row>
    <row r="18" spans="1:14" x14ac:dyDescent="0.25">
      <c r="B18" t="s">
        <v>170</v>
      </c>
      <c r="D18" s="8"/>
      <c r="E18" s="8"/>
      <c r="F18" s="8"/>
      <c r="G18" s="8"/>
      <c r="H18" s="8"/>
      <c r="I18" s="8"/>
      <c r="K18" s="20"/>
      <c r="L18" s="20"/>
      <c r="N18" t="s">
        <v>171</v>
      </c>
    </row>
    <row r="20" spans="1:14" x14ac:dyDescent="0.25">
      <c r="A20" s="7" t="s">
        <v>16</v>
      </c>
      <c r="B20" s="6" t="s">
        <v>172</v>
      </c>
    </row>
    <row r="21" spans="1:14" x14ac:dyDescent="0.25">
      <c r="B21" t="s">
        <v>173</v>
      </c>
      <c r="D21" s="32"/>
      <c r="E21" s="32"/>
      <c r="F21" s="32"/>
      <c r="G21" s="32"/>
      <c r="H21" s="32"/>
      <c r="I21" s="32"/>
      <c r="K21" s="32"/>
      <c r="L21" s="32"/>
      <c r="N21" t="s">
        <v>174</v>
      </c>
    </row>
    <row r="22" spans="1:14" x14ac:dyDescent="0.25">
      <c r="B22" t="s">
        <v>175</v>
      </c>
      <c r="D22" s="32"/>
      <c r="E22" s="32"/>
      <c r="F22" s="32"/>
      <c r="G22" s="32"/>
      <c r="H22" s="32"/>
      <c r="I22" s="32"/>
      <c r="K22" s="32"/>
      <c r="L22" s="32"/>
      <c r="N22" t="s">
        <v>176</v>
      </c>
    </row>
    <row r="23" spans="1:14" x14ac:dyDescent="0.25">
      <c r="B23" t="s">
        <v>177</v>
      </c>
      <c r="D23" s="32"/>
      <c r="E23" s="32"/>
      <c r="F23" s="32"/>
      <c r="G23" s="32"/>
      <c r="H23" s="32"/>
      <c r="I23" s="32"/>
      <c r="K23" s="32"/>
      <c r="L23" s="32"/>
      <c r="N23" t="s">
        <v>178</v>
      </c>
    </row>
    <row r="24" spans="1:14" x14ac:dyDescent="0.25">
      <c r="B24" t="s">
        <v>179</v>
      </c>
      <c r="D24" s="32"/>
      <c r="E24" s="32"/>
      <c r="F24" s="32"/>
      <c r="G24" s="32"/>
      <c r="H24" s="32"/>
      <c r="I24" s="32"/>
      <c r="K24" s="32"/>
      <c r="L24" s="32"/>
      <c r="N24" t="s">
        <v>180</v>
      </c>
    </row>
    <row r="25" spans="1:14" x14ac:dyDescent="0.25">
      <c r="B25" t="s">
        <v>195</v>
      </c>
      <c r="D25" s="32"/>
      <c r="E25" s="32"/>
      <c r="F25" s="32"/>
      <c r="G25" s="32"/>
      <c r="H25" s="32"/>
      <c r="I25" s="32"/>
      <c r="K25" s="32"/>
      <c r="L25" s="32"/>
      <c r="N25" t="s">
        <v>181</v>
      </c>
    </row>
    <row r="27" spans="1:14" x14ac:dyDescent="0.25">
      <c r="A27" s="7" t="s">
        <v>16</v>
      </c>
      <c r="B27" s="6" t="s">
        <v>182</v>
      </c>
    </row>
    <row r="28" spans="1:14" x14ac:dyDescent="0.25">
      <c r="B28" s="2" t="s">
        <v>183</v>
      </c>
    </row>
    <row r="29" spans="1:14" x14ac:dyDescent="0.25">
      <c r="B29" t="s">
        <v>184</v>
      </c>
      <c r="D29" s="31"/>
      <c r="E29" s="31"/>
      <c r="F29" s="31"/>
      <c r="G29" s="31"/>
      <c r="H29" s="31"/>
      <c r="I29" s="31"/>
    </row>
    <row r="30" spans="1:14" x14ac:dyDescent="0.25">
      <c r="B30" t="s">
        <v>6</v>
      </c>
      <c r="D30" s="31"/>
      <c r="E30" s="31"/>
      <c r="F30" s="31"/>
      <c r="G30" s="31"/>
      <c r="H30" s="31"/>
      <c r="I30" s="31"/>
    </row>
    <row r="31" spans="1:14" x14ac:dyDescent="0.25">
      <c r="B31" t="s">
        <v>196</v>
      </c>
      <c r="D31" s="32"/>
      <c r="E31" s="32"/>
      <c r="F31" s="32"/>
      <c r="G31" s="32"/>
      <c r="H31" s="32"/>
      <c r="I31" s="32"/>
      <c r="K31" s="32"/>
      <c r="L31" s="32"/>
      <c r="N31" t="s">
        <v>185</v>
      </c>
    </row>
    <row r="32" spans="1:14" x14ac:dyDescent="0.25">
      <c r="B32" t="s">
        <v>186</v>
      </c>
      <c r="D32" s="33"/>
      <c r="E32" s="32"/>
      <c r="F32" s="32"/>
      <c r="G32" s="32"/>
      <c r="H32" s="32"/>
      <c r="I32" s="32"/>
      <c r="K32" s="32"/>
      <c r="L32" s="32"/>
      <c r="N32" t="s">
        <v>187</v>
      </c>
    </row>
    <row r="33" spans="2:14" x14ac:dyDescent="0.25">
      <c r="B33" t="s">
        <v>197</v>
      </c>
      <c r="D33" s="32"/>
      <c r="E33" s="32"/>
      <c r="F33" s="32"/>
      <c r="G33" s="32"/>
      <c r="H33" s="32"/>
      <c r="I33" s="32"/>
      <c r="K33" s="32"/>
      <c r="L33" s="32"/>
      <c r="N33" t="s">
        <v>188</v>
      </c>
    </row>
    <row r="34" spans="2:14" x14ac:dyDescent="0.25">
      <c r="B34" s="2" t="s">
        <v>189</v>
      </c>
      <c r="K34" s="32"/>
      <c r="L34" s="32"/>
    </row>
    <row r="35" spans="2:14" x14ac:dyDescent="0.25">
      <c r="B35" t="s">
        <v>190</v>
      </c>
      <c r="D35" s="32"/>
      <c r="E35" s="32"/>
      <c r="F35" s="32"/>
      <c r="G35" s="32"/>
      <c r="H35" s="32"/>
      <c r="I35" s="32"/>
      <c r="K35" s="32"/>
      <c r="L35" s="32"/>
      <c r="N35" t="s">
        <v>190</v>
      </c>
    </row>
    <row r="36" spans="2:14" x14ac:dyDescent="0.25">
      <c r="B36" t="s">
        <v>191</v>
      </c>
      <c r="D36" s="32"/>
      <c r="E36" s="32"/>
      <c r="F36" s="32"/>
      <c r="G36" s="32"/>
      <c r="H36" s="32"/>
      <c r="I36" s="32"/>
      <c r="K36" s="32"/>
      <c r="L36" s="32"/>
      <c r="N36" t="s">
        <v>191</v>
      </c>
    </row>
    <row r="37" spans="2:14" x14ac:dyDescent="0.25">
      <c r="B37" t="s">
        <v>192</v>
      </c>
      <c r="D37" s="32"/>
      <c r="E37" s="32"/>
      <c r="F37" s="32"/>
      <c r="G37" s="32"/>
      <c r="H37" s="32"/>
      <c r="I37" s="32"/>
      <c r="K37" s="32"/>
      <c r="L37" s="32"/>
      <c r="N37" t="s">
        <v>192</v>
      </c>
    </row>
    <row r="38" spans="2:14" x14ac:dyDescent="0.25">
      <c r="B38" t="s">
        <v>193</v>
      </c>
      <c r="D38" s="32"/>
      <c r="E38" s="32"/>
      <c r="F38" s="32"/>
      <c r="G38" s="32"/>
      <c r="H38" s="32"/>
      <c r="I38" s="32"/>
      <c r="K38" s="32"/>
      <c r="L38" s="32"/>
      <c r="N38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I5" sqref="I5"/>
    </sheetView>
  </sheetViews>
  <sheetFormatPr defaultRowHeight="15" x14ac:dyDescent="0.25"/>
  <cols>
    <col min="1" max="1" width="5.85546875" customWidth="1"/>
    <col min="5" max="5" width="10.5703125" bestFit="1" customWidth="1"/>
    <col min="7" max="20" width="9.28515625" bestFit="1" customWidth="1"/>
  </cols>
  <sheetData>
    <row r="2" spans="1:24" ht="19.5" x14ac:dyDescent="0.3">
      <c r="A2" s="16"/>
      <c r="B2" s="34" t="s">
        <v>239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5">
      <c r="E3" s="35"/>
    </row>
    <row r="4" spans="1:24" x14ac:dyDescent="0.25">
      <c r="B4" t="s">
        <v>198</v>
      </c>
      <c r="E4" s="36" t="s">
        <v>238</v>
      </c>
      <c r="G4" t="s">
        <v>199</v>
      </c>
      <c r="J4" s="70">
        <f>Main!K3</f>
        <v>170.9</v>
      </c>
    </row>
    <row r="5" spans="1:24" x14ac:dyDescent="0.25">
      <c r="B5" t="s">
        <v>200</v>
      </c>
      <c r="E5" s="68">
        <v>45504</v>
      </c>
      <c r="G5" t="s">
        <v>201</v>
      </c>
      <c r="J5" s="70">
        <f ca="1">V61</f>
        <v>150.00774361442762</v>
      </c>
    </row>
    <row r="6" spans="1:24" x14ac:dyDescent="0.25">
      <c r="B6" t="s">
        <v>202</v>
      </c>
      <c r="E6" s="69">
        <v>45657</v>
      </c>
      <c r="G6" t="s">
        <v>203</v>
      </c>
      <c r="J6" s="72">
        <f ca="1">J5/J4-1</f>
        <v>-0.12224842823623394</v>
      </c>
    </row>
    <row r="8" spans="1:24" x14ac:dyDescent="0.25">
      <c r="A8" s="38" t="s">
        <v>16</v>
      </c>
      <c r="B8" s="39" t="s">
        <v>204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4" x14ac:dyDescent="0.25">
      <c r="A9" s="38"/>
    </row>
    <row r="10" spans="1:24" x14ac:dyDescent="0.25">
      <c r="A10" s="38"/>
      <c r="B10" s="40" t="s">
        <v>205</v>
      </c>
      <c r="C10" s="41"/>
      <c r="D10" s="41"/>
      <c r="E10" s="41"/>
      <c r="G10" s="40" t="s">
        <v>206</v>
      </c>
      <c r="H10" s="41"/>
      <c r="I10" s="41"/>
      <c r="J10" s="41"/>
      <c r="L10" s="40" t="s">
        <v>207</v>
      </c>
      <c r="M10" s="41"/>
      <c r="N10" s="41"/>
      <c r="O10" s="41"/>
      <c r="Q10" s="40" t="s">
        <v>208</v>
      </c>
      <c r="R10" s="41"/>
      <c r="S10" s="41"/>
      <c r="T10" s="41"/>
    </row>
    <row r="11" spans="1:24" x14ac:dyDescent="0.25">
      <c r="A11" s="38"/>
      <c r="B11" s="6" t="s">
        <v>209</v>
      </c>
      <c r="G11" s="6" t="s">
        <v>209</v>
      </c>
      <c r="I11" s="6" t="s">
        <v>210</v>
      </c>
      <c r="J11" s="6" t="s">
        <v>211</v>
      </c>
      <c r="L11" s="6" t="s">
        <v>209</v>
      </c>
      <c r="N11" s="6" t="s">
        <v>210</v>
      </c>
      <c r="O11" s="6" t="s">
        <v>211</v>
      </c>
      <c r="Q11" s="6" t="s">
        <v>209</v>
      </c>
      <c r="S11" s="6" t="s">
        <v>210</v>
      </c>
      <c r="T11" s="6" t="s">
        <v>211</v>
      </c>
    </row>
    <row r="12" spans="1:24" x14ac:dyDescent="0.25">
      <c r="B12" t="s">
        <v>18</v>
      </c>
      <c r="E12" s="37">
        <v>2</v>
      </c>
      <c r="G12" t="s">
        <v>212</v>
      </c>
      <c r="K12" s="1"/>
      <c r="L12" t="s">
        <v>212</v>
      </c>
      <c r="Q12" t="s">
        <v>212</v>
      </c>
    </row>
    <row r="13" spans="1:24" x14ac:dyDescent="0.25">
      <c r="B13" t="s">
        <v>213</v>
      </c>
      <c r="E13" s="37">
        <v>2</v>
      </c>
    </row>
    <row r="14" spans="1:24" x14ac:dyDescent="0.25">
      <c r="B14" t="s">
        <v>214</v>
      </c>
      <c r="E14" s="37">
        <v>2</v>
      </c>
      <c r="G14" t="s">
        <v>213</v>
      </c>
      <c r="L14" t="s">
        <v>213</v>
      </c>
      <c r="Q14" t="s">
        <v>213</v>
      </c>
    </row>
    <row r="15" spans="1:24" x14ac:dyDescent="0.25">
      <c r="B15" t="s">
        <v>215</v>
      </c>
      <c r="E15" s="37">
        <v>2</v>
      </c>
    </row>
    <row r="17" spans="1:22" x14ac:dyDescent="0.25">
      <c r="B17" s="6" t="s">
        <v>216</v>
      </c>
    </row>
    <row r="18" spans="1:22" x14ac:dyDescent="0.25">
      <c r="B18" t="s">
        <v>214</v>
      </c>
      <c r="E18" s="42">
        <v>7.0000000000000007E-2</v>
      </c>
      <c r="G18" t="s">
        <v>214</v>
      </c>
      <c r="J18" s="42"/>
      <c r="L18" t="s">
        <v>214</v>
      </c>
      <c r="O18" s="42">
        <v>7.0000000000000007E-2</v>
      </c>
      <c r="Q18" t="s">
        <v>214</v>
      </c>
      <c r="T18" s="42"/>
    </row>
    <row r="19" spans="1:22" x14ac:dyDescent="0.25">
      <c r="B19" t="s">
        <v>215</v>
      </c>
      <c r="E19" s="42">
        <f>CHOOSE(E15,J19,O19,T19)</f>
        <v>1.4999999999999999E-2</v>
      </c>
      <c r="G19" t="s">
        <v>215</v>
      </c>
      <c r="J19" s="42"/>
      <c r="L19" t="s">
        <v>215</v>
      </c>
      <c r="O19" s="42">
        <v>1.4999999999999999E-2</v>
      </c>
      <c r="Q19" t="s">
        <v>215</v>
      </c>
      <c r="T19" s="42"/>
    </row>
    <row r="23" spans="1:22" x14ac:dyDescent="0.25">
      <c r="A23" s="38" t="s">
        <v>16</v>
      </c>
      <c r="B23" s="39" t="s">
        <v>217</v>
      </c>
      <c r="C23" s="39"/>
      <c r="D23" s="39"/>
      <c r="E23" s="39"/>
      <c r="F23" s="39"/>
      <c r="G23" s="43">
        <v>18</v>
      </c>
      <c r="H23" s="43">
        <f>G23+1</f>
        <v>19</v>
      </c>
      <c r="I23" s="43">
        <f t="shared" ref="I23:V23" si="0">H23+1</f>
        <v>20</v>
      </c>
      <c r="J23" s="43">
        <f t="shared" si="0"/>
        <v>21</v>
      </c>
      <c r="K23" s="43">
        <f t="shared" si="0"/>
        <v>22</v>
      </c>
      <c r="L23" s="43">
        <f t="shared" si="0"/>
        <v>23</v>
      </c>
      <c r="M23" s="44">
        <f t="shared" si="0"/>
        <v>24</v>
      </c>
      <c r="N23" s="44">
        <f t="shared" si="0"/>
        <v>25</v>
      </c>
      <c r="O23" s="44">
        <f t="shared" si="0"/>
        <v>26</v>
      </c>
      <c r="P23" s="44">
        <f t="shared" si="0"/>
        <v>27</v>
      </c>
      <c r="Q23" s="44">
        <f t="shared" si="0"/>
        <v>28</v>
      </c>
      <c r="R23" s="44">
        <f t="shared" si="0"/>
        <v>29</v>
      </c>
      <c r="S23" s="44">
        <f t="shared" si="0"/>
        <v>30</v>
      </c>
      <c r="T23" s="44">
        <f t="shared" si="0"/>
        <v>31</v>
      </c>
      <c r="U23" s="44">
        <f t="shared" si="0"/>
        <v>32</v>
      </c>
      <c r="V23" s="44">
        <f t="shared" si="0"/>
        <v>33</v>
      </c>
    </row>
    <row r="24" spans="1:22" x14ac:dyDescent="0.25">
      <c r="B24" t="s">
        <v>212</v>
      </c>
      <c r="G24" s="31">
        <f>Model!P21</f>
        <v>29625</v>
      </c>
      <c r="H24" s="31">
        <f>Model!Q21</f>
        <v>29805</v>
      </c>
      <c r="I24" s="31">
        <f>Model!R21</f>
        <v>28694</v>
      </c>
      <c r="J24" s="31">
        <f>Model!S21</f>
        <v>31405</v>
      </c>
      <c r="K24" s="31">
        <f>Model!T21</f>
        <v>31762</v>
      </c>
      <c r="L24" s="31">
        <f>Model!U21</f>
        <v>35174</v>
      </c>
      <c r="M24" s="31">
        <f ca="1">L24*(1+M25)</f>
        <v>36580.959999999999</v>
      </c>
      <c r="N24" s="31">
        <f t="shared" ref="N24:V24" ca="1" si="1">M24*(1+N25)</f>
        <v>38044.198400000001</v>
      </c>
      <c r="O24" s="31">
        <f t="shared" ca="1" si="1"/>
        <v>39565.966336000005</v>
      </c>
      <c r="P24" s="31">
        <f t="shared" ca="1" si="1"/>
        <v>41148.604989440006</v>
      </c>
      <c r="Q24" s="31">
        <f t="shared" ca="1" si="1"/>
        <v>42794.549189017605</v>
      </c>
      <c r="R24" s="31">
        <f t="shared" ca="1" si="1"/>
        <v>44506.331156578308</v>
      </c>
      <c r="S24" s="31">
        <f t="shared" ca="1" si="1"/>
        <v>46286.584402841443</v>
      </c>
      <c r="T24" s="31">
        <f t="shared" ca="1" si="1"/>
        <v>48138.047778955101</v>
      </c>
      <c r="U24" s="31">
        <f t="shared" ca="1" si="1"/>
        <v>50063.569690113305</v>
      </c>
      <c r="V24" s="31">
        <f t="shared" ca="1" si="1"/>
        <v>52066.112477717841</v>
      </c>
    </row>
    <row r="25" spans="1:22" x14ac:dyDescent="0.25">
      <c r="B25" s="45" t="s">
        <v>218</v>
      </c>
      <c r="C25" s="24"/>
      <c r="G25" s="46"/>
      <c r="H25" s="47">
        <f>H24/G24-1</f>
        <v>6.0759493670885512E-3</v>
      </c>
      <c r="I25" s="47">
        <f t="shared" ref="I25:L25" si="2">I24/H24-1</f>
        <v>-3.7275624895151793E-2</v>
      </c>
      <c r="J25" s="47">
        <f t="shared" si="2"/>
        <v>9.4479682163518541E-2</v>
      </c>
      <c r="K25" s="47">
        <f t="shared" si="2"/>
        <v>1.1367616621557053E-2</v>
      </c>
      <c r="L25" s="47">
        <f t="shared" si="2"/>
        <v>0.10742396574523005</v>
      </c>
      <c r="M25" s="47" cm="1">
        <f t="array" aca="1" ref="M25" ca="1">OFFSET(M25,$E$12,,)</f>
        <v>0.04</v>
      </c>
      <c r="N25" s="47" cm="1">
        <f t="array" aca="1" ref="N25" ca="1">OFFSET(N25,$E$12,,)</f>
        <v>0.04</v>
      </c>
      <c r="O25" s="47" cm="1">
        <f t="array" aca="1" ref="O25" ca="1">OFFSET(O25,$E$12,,)</f>
        <v>0.04</v>
      </c>
      <c r="P25" s="47" cm="1">
        <f t="array" aca="1" ref="P25" ca="1">OFFSET(P25,$E$12,,)</f>
        <v>0.04</v>
      </c>
      <c r="Q25" s="47" cm="1">
        <f t="array" aca="1" ref="Q25" ca="1">OFFSET(Q25,$E$12,,)</f>
        <v>0.04</v>
      </c>
      <c r="R25" s="47" cm="1">
        <f t="array" aca="1" ref="R25" ca="1">OFFSET(R25,$E$12,,)</f>
        <v>0.04</v>
      </c>
      <c r="S25" s="47" cm="1">
        <f t="array" aca="1" ref="S25" ca="1">OFFSET(S25,$E$12,,)</f>
        <v>0.04</v>
      </c>
      <c r="T25" s="47" cm="1">
        <f t="array" aca="1" ref="T25" ca="1">OFFSET(T25,$E$12,,)</f>
        <v>0.04</v>
      </c>
      <c r="U25" s="47" cm="1">
        <f t="array" aca="1" ref="U25" ca="1">OFFSET(U25,$E$12,,)</f>
        <v>0.04</v>
      </c>
      <c r="V25" s="47" cm="1">
        <f t="array" aca="1" ref="V25" ca="1">OFFSET(V25,$E$12,,)</f>
        <v>0.04</v>
      </c>
    </row>
    <row r="26" spans="1:22" x14ac:dyDescent="0.25">
      <c r="B26" s="45" t="s">
        <v>206</v>
      </c>
      <c r="C26" s="24"/>
      <c r="H26" s="8"/>
      <c r="I26" s="8"/>
      <c r="J26" s="8"/>
      <c r="K26" s="8"/>
      <c r="L26" s="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 x14ac:dyDescent="0.25">
      <c r="B27" s="45" t="s">
        <v>219</v>
      </c>
      <c r="C27" s="24"/>
      <c r="H27" s="8"/>
      <c r="I27" s="8"/>
      <c r="J27" s="8"/>
      <c r="K27" s="8"/>
      <c r="L27" s="8"/>
      <c r="M27" s="71">
        <v>0.04</v>
      </c>
      <c r="N27" s="71">
        <v>0.04</v>
      </c>
      <c r="O27" s="71">
        <v>0.04</v>
      </c>
      <c r="P27" s="71">
        <v>0.04</v>
      </c>
      <c r="Q27" s="71">
        <v>0.04</v>
      </c>
      <c r="R27" s="71">
        <v>0.04</v>
      </c>
      <c r="S27" s="71">
        <v>0.04</v>
      </c>
      <c r="T27" s="71">
        <v>0.04</v>
      </c>
      <c r="U27" s="71">
        <v>0.04</v>
      </c>
      <c r="V27" s="71">
        <v>0.04</v>
      </c>
    </row>
    <row r="28" spans="1:22" x14ac:dyDescent="0.25">
      <c r="B28" s="45" t="s">
        <v>220</v>
      </c>
      <c r="C28" s="24"/>
      <c r="H28" s="8"/>
      <c r="I28" s="8"/>
      <c r="J28" s="8"/>
      <c r="K28" s="8"/>
      <c r="L28" s="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30" spans="1:22" x14ac:dyDescent="0.25">
      <c r="B30" t="s">
        <v>213</v>
      </c>
      <c r="G30" s="31">
        <f>Model!P26</f>
        <v>11377</v>
      </c>
      <c r="H30" s="31">
        <f>Model!Q26</f>
        <v>10531</v>
      </c>
      <c r="I30" s="31">
        <f>Model!R26</f>
        <v>11668</v>
      </c>
      <c r="J30" s="31">
        <f>Model!S26</f>
        <v>12975</v>
      </c>
      <c r="K30" s="31">
        <f>Model!T26</f>
        <v>12246</v>
      </c>
      <c r="L30" s="31">
        <f>Model!U26</f>
        <v>11556</v>
      </c>
      <c r="M30" s="31">
        <f ca="1">M31*M24</f>
        <v>13900.764799999999</v>
      </c>
      <c r="N30" s="31">
        <f t="shared" ref="N30:V30" ca="1" si="3">N31*N24</f>
        <v>14456.795392</v>
      </c>
      <c r="O30" s="31">
        <f t="shared" ca="1" si="3"/>
        <v>15035.067207680002</v>
      </c>
      <c r="P30" s="31">
        <f t="shared" ca="1" si="3"/>
        <v>15636.469895987202</v>
      </c>
      <c r="Q30" s="31">
        <f t="shared" ca="1" si="3"/>
        <v>16261.92869182669</v>
      </c>
      <c r="R30" s="31">
        <f t="shared" ca="1" si="3"/>
        <v>16912.405839499756</v>
      </c>
      <c r="S30" s="31">
        <f t="shared" ca="1" si="3"/>
        <v>17588.902073079749</v>
      </c>
      <c r="T30" s="31">
        <f t="shared" ca="1" si="3"/>
        <v>18292.45815600294</v>
      </c>
      <c r="U30" s="31">
        <f t="shared" ca="1" si="3"/>
        <v>19024.156482243056</v>
      </c>
      <c r="V30" s="31">
        <f t="shared" ca="1" si="3"/>
        <v>19785.122741532781</v>
      </c>
    </row>
    <row r="31" spans="1:22" x14ac:dyDescent="0.25">
      <c r="B31" s="45" t="s">
        <v>221</v>
      </c>
      <c r="G31" s="47">
        <f>G30/G24</f>
        <v>0.38403375527426159</v>
      </c>
      <c r="H31" s="47">
        <f t="shared" ref="H31:L31" si="4">H30/H24</f>
        <v>0.35332997819157858</v>
      </c>
      <c r="I31" s="47">
        <f t="shared" si="4"/>
        <v>0.40663553356102322</v>
      </c>
      <c r="J31" s="47">
        <f t="shared" si="4"/>
        <v>0.4131507721700366</v>
      </c>
      <c r="K31" s="47">
        <f t="shared" si="4"/>
        <v>0.38555506580190163</v>
      </c>
      <c r="L31" s="47">
        <f t="shared" si="4"/>
        <v>0.32853812475123673</v>
      </c>
      <c r="M31" s="47" cm="1">
        <f t="array" aca="1" ref="M31" ca="1">OFFSET(M31,$E$13,,)</f>
        <v>0.38</v>
      </c>
      <c r="N31" s="47" cm="1">
        <f t="array" aca="1" ref="N31" ca="1">OFFSET(N31,$E$13,,)</f>
        <v>0.38</v>
      </c>
      <c r="O31" s="47" cm="1">
        <f t="array" aca="1" ref="O31" ca="1">OFFSET(O31,$E$13,,)</f>
        <v>0.38</v>
      </c>
      <c r="P31" s="47" cm="1">
        <f t="array" aca="1" ref="P31" ca="1">OFFSET(P31,$E$13,,)</f>
        <v>0.38</v>
      </c>
      <c r="Q31" s="47" cm="1">
        <f t="array" aca="1" ref="Q31" ca="1">OFFSET(Q31,$E$13,,)</f>
        <v>0.38</v>
      </c>
      <c r="R31" s="47" cm="1">
        <f t="array" aca="1" ref="R31" ca="1">OFFSET(R31,$E$13,,)</f>
        <v>0.38</v>
      </c>
      <c r="S31" s="47" cm="1">
        <f t="array" aca="1" ref="S31" ca="1">OFFSET(S31,$E$13,,)</f>
        <v>0.38</v>
      </c>
      <c r="T31" s="47" cm="1">
        <f t="array" aca="1" ref="T31" ca="1">OFFSET(T31,$E$13,,)</f>
        <v>0.38</v>
      </c>
      <c r="U31" s="47" cm="1">
        <f t="array" aca="1" ref="U31" ca="1">OFFSET(U31,$E$13,,)</f>
        <v>0.38</v>
      </c>
      <c r="V31" s="47" cm="1">
        <f t="array" aca="1" ref="V31" ca="1">OFFSET(V31,$E$13,,)</f>
        <v>0.38</v>
      </c>
    </row>
    <row r="32" spans="1:22" x14ac:dyDescent="0.25">
      <c r="B32" s="45" t="s">
        <v>206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</row>
    <row r="33" spans="2:22" x14ac:dyDescent="0.25">
      <c r="B33" s="45" t="s">
        <v>219</v>
      </c>
      <c r="M33" s="71">
        <v>0.38</v>
      </c>
      <c r="N33" s="71">
        <v>0.38</v>
      </c>
      <c r="O33" s="71">
        <v>0.38</v>
      </c>
      <c r="P33" s="71">
        <v>0.38</v>
      </c>
      <c r="Q33" s="71">
        <v>0.38</v>
      </c>
      <c r="R33" s="71">
        <v>0.38</v>
      </c>
      <c r="S33" s="71">
        <v>0.38</v>
      </c>
      <c r="T33" s="71">
        <v>0.38</v>
      </c>
      <c r="U33" s="71">
        <v>0.38</v>
      </c>
      <c r="V33" s="71">
        <v>0.38</v>
      </c>
    </row>
    <row r="34" spans="2:22" x14ac:dyDescent="0.25">
      <c r="B34" s="45" t="s">
        <v>220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6" spans="2:22" x14ac:dyDescent="0.25">
      <c r="B36" t="s">
        <v>222</v>
      </c>
      <c r="G36" s="31">
        <f>Model!P30</f>
        <v>2445</v>
      </c>
      <c r="H36" s="31">
        <f>Model!Q30</f>
        <v>2293</v>
      </c>
      <c r="I36" s="31">
        <f>Model!R30</f>
        <v>2377</v>
      </c>
      <c r="J36" s="31">
        <f>Model!S30</f>
        <v>2671</v>
      </c>
      <c r="K36" s="31">
        <f>Model!T30</f>
        <v>2244</v>
      </c>
      <c r="L36" s="31">
        <f>Model!U30</f>
        <v>2339</v>
      </c>
      <c r="M36" s="31">
        <f ca="1">M37*M30</f>
        <v>2780.1529599999999</v>
      </c>
      <c r="N36" s="31">
        <f t="shared" ref="N36:V36" ca="1" si="5">N37*N30</f>
        <v>2891.3590784000003</v>
      </c>
      <c r="O36" s="31">
        <f t="shared" ca="1" si="5"/>
        <v>3007.0134415360008</v>
      </c>
      <c r="P36" s="31">
        <f t="shared" ca="1" si="5"/>
        <v>3127.2939791974404</v>
      </c>
      <c r="Q36" s="31">
        <f t="shared" ca="1" si="5"/>
        <v>3252.3857383653381</v>
      </c>
      <c r="R36" s="31">
        <f t="shared" ca="1" si="5"/>
        <v>3382.4811678999513</v>
      </c>
      <c r="S36" s="31">
        <f t="shared" ca="1" si="5"/>
        <v>3517.7804146159501</v>
      </c>
      <c r="T36" s="31">
        <f t="shared" ca="1" si="5"/>
        <v>3658.491631200588</v>
      </c>
      <c r="U36" s="31">
        <f t="shared" ca="1" si="5"/>
        <v>3804.8312964486113</v>
      </c>
      <c r="V36" s="31">
        <f t="shared" ca="1" si="5"/>
        <v>3957.0245483065564</v>
      </c>
    </row>
    <row r="37" spans="2:22" x14ac:dyDescent="0.25">
      <c r="B37" s="24" t="s">
        <v>223</v>
      </c>
      <c r="G37" s="47">
        <f t="shared" ref="G37:L37" si="6">G36/G30</f>
        <v>0.21490726905159532</v>
      </c>
      <c r="H37" s="47">
        <f t="shared" si="6"/>
        <v>0.21773810654258854</v>
      </c>
      <c r="I37" s="47">
        <f t="shared" si="6"/>
        <v>0.20371957490572506</v>
      </c>
      <c r="J37" s="47">
        <f t="shared" si="6"/>
        <v>0.20585741811175337</v>
      </c>
      <c r="K37" s="47">
        <f t="shared" si="6"/>
        <v>0.18324350808427242</v>
      </c>
      <c r="L37" s="47">
        <f t="shared" si="6"/>
        <v>0.20240567670474213</v>
      </c>
      <c r="M37" s="47">
        <v>0.2</v>
      </c>
      <c r="N37" s="47">
        <v>0.2</v>
      </c>
      <c r="O37" s="47">
        <v>0.2</v>
      </c>
      <c r="P37" s="47">
        <v>0.2</v>
      </c>
      <c r="Q37" s="47">
        <v>0.2</v>
      </c>
      <c r="R37" s="47">
        <v>0.2</v>
      </c>
      <c r="S37" s="47">
        <v>0.2</v>
      </c>
      <c r="T37" s="47">
        <v>0.2</v>
      </c>
      <c r="U37" s="47">
        <v>0.2</v>
      </c>
      <c r="V37" s="47">
        <v>0.2</v>
      </c>
    </row>
    <row r="38" spans="2:22" x14ac:dyDescent="0.25">
      <c r="B38" s="24"/>
    </row>
    <row r="39" spans="2:22" x14ac:dyDescent="0.25">
      <c r="B39" s="49" t="s">
        <v>224</v>
      </c>
      <c r="C39" s="50"/>
      <c r="D39" s="50"/>
      <c r="E39" s="50"/>
      <c r="F39" s="50"/>
      <c r="G39" s="51">
        <f t="shared" ref="G39:V39" si="7">G30-G36</f>
        <v>8932</v>
      </c>
      <c r="H39" s="51">
        <f t="shared" si="7"/>
        <v>8238</v>
      </c>
      <c r="I39" s="51">
        <f t="shared" si="7"/>
        <v>9291</v>
      </c>
      <c r="J39" s="51">
        <f t="shared" si="7"/>
        <v>10304</v>
      </c>
      <c r="K39" s="51">
        <f t="shared" si="7"/>
        <v>10002</v>
      </c>
      <c r="L39" s="51">
        <f t="shared" si="7"/>
        <v>9217</v>
      </c>
      <c r="M39" s="51">
        <f t="shared" ca="1" si="7"/>
        <v>11120.61184</v>
      </c>
      <c r="N39" s="51">
        <f t="shared" ca="1" si="7"/>
        <v>11565.436313599999</v>
      </c>
      <c r="O39" s="51">
        <f t="shared" ca="1" si="7"/>
        <v>12028.053766144001</v>
      </c>
      <c r="P39" s="51">
        <f t="shared" ca="1" si="7"/>
        <v>12509.175916789762</v>
      </c>
      <c r="Q39" s="51">
        <f t="shared" ca="1" si="7"/>
        <v>13009.542953461352</v>
      </c>
      <c r="R39" s="51">
        <f t="shared" ca="1" si="7"/>
        <v>13529.924671599805</v>
      </c>
      <c r="S39" s="51">
        <f t="shared" ca="1" si="7"/>
        <v>14071.121658463799</v>
      </c>
      <c r="T39" s="51">
        <f t="shared" ca="1" si="7"/>
        <v>14633.966524802352</v>
      </c>
      <c r="U39" s="51">
        <f t="shared" ca="1" si="7"/>
        <v>15219.325185794445</v>
      </c>
      <c r="V39" s="52">
        <f t="shared" ca="1" si="7"/>
        <v>15828.098193226226</v>
      </c>
    </row>
    <row r="41" spans="2:22" x14ac:dyDescent="0.25">
      <c r="B41" t="s">
        <v>115</v>
      </c>
      <c r="G41" s="31">
        <f>Model!P105</f>
        <v>989</v>
      </c>
      <c r="H41" s="31">
        <f>Model!Q105</f>
        <v>964</v>
      </c>
      <c r="I41" s="31">
        <f>Model!R105</f>
        <v>981</v>
      </c>
      <c r="J41" s="31">
        <f>Model!S105</f>
        <v>998</v>
      </c>
      <c r="K41" s="31">
        <f>Model!T105</f>
        <v>1077</v>
      </c>
      <c r="L41" s="31">
        <f>Model!U105</f>
        <v>1398</v>
      </c>
      <c r="M41" s="31">
        <f ca="1">M42*M24</f>
        <v>1243.7526400000002</v>
      </c>
      <c r="N41" s="31">
        <f t="shared" ref="N41:V41" ca="1" si="8">N42*N24</f>
        <v>1293.5027456</v>
      </c>
      <c r="O41" s="31">
        <f t="shared" ca="1" si="8"/>
        <v>1345.2428554240003</v>
      </c>
      <c r="P41" s="31">
        <f t="shared" ca="1" si="8"/>
        <v>1399.0525696409602</v>
      </c>
      <c r="Q41" s="31">
        <f t="shared" ca="1" si="8"/>
        <v>1455.0146724265987</v>
      </c>
      <c r="R41" s="31">
        <f t="shared" ca="1" si="8"/>
        <v>1513.2152593236626</v>
      </c>
      <c r="S41" s="31">
        <f t="shared" ca="1" si="8"/>
        <v>1573.7438696966092</v>
      </c>
      <c r="T41" s="31">
        <f t="shared" ca="1" si="8"/>
        <v>1636.6936244844735</v>
      </c>
      <c r="U41" s="31">
        <f t="shared" ca="1" si="8"/>
        <v>1702.1613694638525</v>
      </c>
      <c r="V41" s="31">
        <f t="shared" ca="1" si="8"/>
        <v>1770.2478242424068</v>
      </c>
    </row>
    <row r="42" spans="2:22" x14ac:dyDescent="0.25">
      <c r="B42" s="45" t="s">
        <v>221</v>
      </c>
      <c r="C42" s="46"/>
      <c r="D42" s="46"/>
      <c r="E42" s="46"/>
      <c r="F42" s="46"/>
      <c r="G42" s="53">
        <f t="shared" ref="G42:L42" si="9">G41/G24</f>
        <v>3.3383966244725741E-2</v>
      </c>
      <c r="H42" s="53">
        <f t="shared" si="9"/>
        <v>3.234356651568529E-2</v>
      </c>
      <c r="I42" s="53">
        <f t="shared" si="9"/>
        <v>3.4188332055481982E-2</v>
      </c>
      <c r="J42" s="53">
        <f t="shared" si="9"/>
        <v>3.1778379238974683E-2</v>
      </c>
      <c r="K42" s="53">
        <f t="shared" si="9"/>
        <v>3.3908444052641519E-2</v>
      </c>
      <c r="L42" s="53">
        <f t="shared" si="9"/>
        <v>3.9745266389947118E-2</v>
      </c>
      <c r="M42" s="54">
        <v>3.4000000000000002E-2</v>
      </c>
      <c r="N42" s="54">
        <v>3.4000000000000002E-2</v>
      </c>
      <c r="O42" s="54">
        <v>3.4000000000000002E-2</v>
      </c>
      <c r="P42" s="54">
        <v>3.4000000000000002E-2</v>
      </c>
      <c r="Q42" s="54">
        <v>3.4000000000000002E-2</v>
      </c>
      <c r="R42" s="54">
        <v>3.4000000000000002E-2</v>
      </c>
      <c r="S42" s="54">
        <v>3.4000000000000002E-2</v>
      </c>
      <c r="T42" s="54">
        <v>3.4000000000000002E-2</v>
      </c>
      <c r="U42" s="54">
        <v>3.4000000000000002E-2</v>
      </c>
      <c r="V42" s="54">
        <v>3.4000000000000002E-2</v>
      </c>
    </row>
    <row r="44" spans="2:22" x14ac:dyDescent="0.25">
      <c r="B44" t="s">
        <v>122</v>
      </c>
      <c r="G44" s="31">
        <f>-Model!P119</f>
        <v>1436</v>
      </c>
      <c r="H44" s="31">
        <f>-Model!Q119</f>
        <v>852</v>
      </c>
      <c r="I44" s="31">
        <f>-Model!R119</f>
        <v>602</v>
      </c>
      <c r="J44" s="31">
        <f>-Model!S119</f>
        <v>748</v>
      </c>
      <c r="K44" s="31">
        <f>-Model!T119</f>
        <v>1077</v>
      </c>
      <c r="L44" s="31">
        <f>-Model!U119</f>
        <v>1321</v>
      </c>
      <c r="M44" s="31">
        <f ca="1">M45*M24</f>
        <v>1390.0764799999999</v>
      </c>
      <c r="N44" s="31">
        <f t="shared" ref="N44:V44" ca="1" si="10">N45*N24</f>
        <v>1445.6795391999999</v>
      </c>
      <c r="O44" s="31">
        <f t="shared" ca="1" si="10"/>
        <v>1503.5067207680002</v>
      </c>
      <c r="P44" s="31">
        <f t="shared" ca="1" si="10"/>
        <v>1563.6469895987202</v>
      </c>
      <c r="Q44" s="31">
        <f t="shared" ca="1" si="10"/>
        <v>1626.192869182669</v>
      </c>
      <c r="R44" s="31">
        <f t="shared" ca="1" si="10"/>
        <v>1691.2405839499756</v>
      </c>
      <c r="S44" s="31">
        <f t="shared" ca="1" si="10"/>
        <v>1758.8902073079748</v>
      </c>
      <c r="T44" s="31">
        <f t="shared" ca="1" si="10"/>
        <v>1829.2458156002938</v>
      </c>
      <c r="U44" s="31">
        <f t="shared" ca="1" si="10"/>
        <v>1902.4156482243056</v>
      </c>
      <c r="V44" s="31">
        <f t="shared" ca="1" si="10"/>
        <v>1978.512274153278</v>
      </c>
    </row>
    <row r="45" spans="2:22" x14ac:dyDescent="0.25">
      <c r="B45" s="45" t="s">
        <v>221</v>
      </c>
      <c r="G45" s="53">
        <f t="shared" ref="G45:L45" si="11">G44/G24</f>
        <v>4.8472573839662449E-2</v>
      </c>
      <c r="H45" s="53">
        <f t="shared" si="11"/>
        <v>2.8585807750377452E-2</v>
      </c>
      <c r="I45" s="53">
        <f t="shared" si="11"/>
        <v>2.0979995817941032E-2</v>
      </c>
      <c r="J45" s="53">
        <f t="shared" si="11"/>
        <v>2.3817863397548163E-2</v>
      </c>
      <c r="K45" s="53">
        <f t="shared" si="11"/>
        <v>3.3908444052641519E-2</v>
      </c>
      <c r="L45" s="53">
        <f t="shared" si="11"/>
        <v>3.7556149428555181E-2</v>
      </c>
      <c r="M45" s="54">
        <v>3.7999999999999999E-2</v>
      </c>
      <c r="N45" s="54">
        <v>3.7999999999999999E-2</v>
      </c>
      <c r="O45" s="54">
        <v>3.7999999999999999E-2</v>
      </c>
      <c r="P45" s="54">
        <v>3.7999999999999999E-2</v>
      </c>
      <c r="Q45" s="54">
        <v>3.7999999999999999E-2</v>
      </c>
      <c r="R45" s="54">
        <v>3.7999999999999999E-2</v>
      </c>
      <c r="S45" s="54">
        <v>3.7999999999999999E-2</v>
      </c>
      <c r="T45" s="54">
        <v>3.7999999999999999E-2</v>
      </c>
      <c r="U45" s="54">
        <v>3.7999999999999999E-2</v>
      </c>
      <c r="V45" s="54">
        <v>3.7999999999999999E-2</v>
      </c>
    </row>
    <row r="47" spans="2:22" x14ac:dyDescent="0.25">
      <c r="B47" t="s">
        <v>225</v>
      </c>
      <c r="G47" s="3">
        <f>Model!P117</f>
        <v>306</v>
      </c>
      <c r="H47" s="3">
        <f>Model!Q117</f>
        <v>1168</v>
      </c>
      <c r="I47" s="3">
        <f>Model!R117</f>
        <v>396</v>
      </c>
      <c r="J47" s="3">
        <f>Model!S117</f>
        <v>1298</v>
      </c>
      <c r="K47" s="3">
        <f>Model!T117</f>
        <v>414</v>
      </c>
      <c r="L47" s="3">
        <f>Model!U117</f>
        <v>-842</v>
      </c>
      <c r="M47" s="3">
        <f ca="1">M48*M24</f>
        <v>-365.80959999999999</v>
      </c>
      <c r="N47" s="3">
        <f t="shared" ref="N47:V47" ca="1" si="12">N48*N24</f>
        <v>-380.44198399999999</v>
      </c>
      <c r="O47" s="3">
        <f t="shared" ca="1" si="12"/>
        <v>-395.65966336000008</v>
      </c>
      <c r="P47" s="3">
        <f t="shared" ca="1" si="12"/>
        <v>-411.48604989440008</v>
      </c>
      <c r="Q47" s="3">
        <f t="shared" ca="1" si="12"/>
        <v>-427.94549189017607</v>
      </c>
      <c r="R47" s="3">
        <f t="shared" ca="1" si="12"/>
        <v>-445.06331156578307</v>
      </c>
      <c r="S47" s="3">
        <f t="shared" ca="1" si="12"/>
        <v>-462.86584402841441</v>
      </c>
      <c r="T47" s="3">
        <f t="shared" ca="1" si="12"/>
        <v>-481.38047778955104</v>
      </c>
      <c r="U47" s="3">
        <f t="shared" ca="1" si="12"/>
        <v>-500.63569690113309</v>
      </c>
      <c r="V47" s="3">
        <f t="shared" ca="1" si="12"/>
        <v>-520.66112477717843</v>
      </c>
    </row>
    <row r="48" spans="2:22" x14ac:dyDescent="0.25">
      <c r="B48" s="45" t="s">
        <v>221</v>
      </c>
      <c r="G48" s="53">
        <f t="shared" ref="G48:L48" si="13">G47/G24</f>
        <v>1.0329113924050634E-2</v>
      </c>
      <c r="H48" s="53">
        <f t="shared" si="13"/>
        <v>3.9188055695353129E-2</v>
      </c>
      <c r="I48" s="53">
        <f t="shared" si="13"/>
        <v>1.3800794591203735E-2</v>
      </c>
      <c r="J48" s="53">
        <f t="shared" si="13"/>
        <v>4.1330998248686517E-2</v>
      </c>
      <c r="K48" s="53">
        <f t="shared" si="13"/>
        <v>1.303444367483156E-2</v>
      </c>
      <c r="L48" s="53">
        <f t="shared" si="13"/>
        <v>-2.3938136123272873E-2</v>
      </c>
      <c r="M48" s="54">
        <v>-0.01</v>
      </c>
      <c r="N48" s="54">
        <v>-0.01</v>
      </c>
      <c r="O48" s="54">
        <v>-0.01</v>
      </c>
      <c r="P48" s="54">
        <v>-0.01</v>
      </c>
      <c r="Q48" s="54">
        <v>-0.01</v>
      </c>
      <c r="R48" s="54">
        <v>-0.01</v>
      </c>
      <c r="S48" s="54">
        <v>-0.01</v>
      </c>
      <c r="T48" s="54">
        <v>-0.01</v>
      </c>
      <c r="U48" s="54">
        <v>-0.01</v>
      </c>
      <c r="V48" s="54">
        <v>-0.01</v>
      </c>
    </row>
    <row r="50" spans="2:22" x14ac:dyDescent="0.25">
      <c r="B50" s="55" t="s">
        <v>226</v>
      </c>
      <c r="C50" s="56"/>
      <c r="D50" s="56"/>
      <c r="E50" s="56"/>
      <c r="F50" s="56"/>
      <c r="G50" s="56">
        <f t="shared" ref="G50:V50" si="14">G39+G41-G44+G47</f>
        <v>8791</v>
      </c>
      <c r="H50" s="56">
        <f t="shared" si="14"/>
        <v>9518</v>
      </c>
      <c r="I50" s="56">
        <f t="shared" si="14"/>
        <v>10066</v>
      </c>
      <c r="J50" s="56">
        <f t="shared" si="14"/>
        <v>11852</v>
      </c>
      <c r="K50" s="56">
        <f t="shared" si="14"/>
        <v>10416</v>
      </c>
      <c r="L50" s="56">
        <f t="shared" si="14"/>
        <v>8452</v>
      </c>
      <c r="M50" s="56">
        <f ca="1">M39+M41-M44+M47</f>
        <v>10608.4784</v>
      </c>
      <c r="N50" s="56">
        <f t="shared" ca="1" si="14"/>
        <v>11032.817536</v>
      </c>
      <c r="O50" s="56">
        <f t="shared" ca="1" si="14"/>
        <v>11474.13023744</v>
      </c>
      <c r="P50" s="56">
        <f t="shared" ca="1" si="14"/>
        <v>11933.095446937601</v>
      </c>
      <c r="Q50" s="56">
        <f t="shared" ca="1" si="14"/>
        <v>12410.419264815107</v>
      </c>
      <c r="R50" s="56">
        <f t="shared" ca="1" si="14"/>
        <v>12906.836035407709</v>
      </c>
      <c r="S50" s="56">
        <f t="shared" ca="1" si="14"/>
        <v>13423.109476824018</v>
      </c>
      <c r="T50" s="56">
        <f t="shared" ca="1" si="14"/>
        <v>13960.03385589698</v>
      </c>
      <c r="U50" s="56">
        <f t="shared" ca="1" si="14"/>
        <v>14518.435210132859</v>
      </c>
      <c r="V50" s="57">
        <f t="shared" ca="1" si="14"/>
        <v>15099.172618538178</v>
      </c>
    </row>
    <row r="51" spans="2:22" x14ac:dyDescent="0.25">
      <c r="B51" s="58" t="s">
        <v>227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>
        <f t="shared" ref="M51:V51" ca="1" si="15">M50/(1+$D$16)^M52</f>
        <v>10608.4784</v>
      </c>
      <c r="N51" s="59">
        <f t="shared" ca="1" si="15"/>
        <v>11032.817536</v>
      </c>
      <c r="O51" s="59">
        <f t="shared" ca="1" si="15"/>
        <v>11474.13023744</v>
      </c>
      <c r="P51" s="59">
        <f t="shared" ca="1" si="15"/>
        <v>11933.095446937601</v>
      </c>
      <c r="Q51" s="59">
        <f t="shared" ca="1" si="15"/>
        <v>12410.419264815107</v>
      </c>
      <c r="R51" s="59">
        <f t="shared" ca="1" si="15"/>
        <v>12906.836035407709</v>
      </c>
      <c r="S51" s="59">
        <f t="shared" ca="1" si="15"/>
        <v>13423.109476824018</v>
      </c>
      <c r="T51" s="59">
        <f t="shared" ca="1" si="15"/>
        <v>13960.03385589698</v>
      </c>
      <c r="U51" s="59">
        <f t="shared" ca="1" si="15"/>
        <v>14518.435210132859</v>
      </c>
      <c r="V51" s="60">
        <f t="shared" ca="1" si="15"/>
        <v>15099.172618538178</v>
      </c>
    </row>
    <row r="52" spans="2:22" x14ac:dyDescent="0.25">
      <c r="B52" t="s">
        <v>228</v>
      </c>
      <c r="M52" s="32">
        <f>YEARFRAC(E5,E6)</f>
        <v>0.41666666666666669</v>
      </c>
      <c r="N52" s="32">
        <f>M52+1</f>
        <v>1.4166666666666667</v>
      </c>
      <c r="O52" s="32">
        <f>N52+1</f>
        <v>2.416666666666667</v>
      </c>
      <c r="P52" s="32">
        <f t="shared" ref="P52:V52" si="16">O52+1</f>
        <v>3.416666666666667</v>
      </c>
      <c r="Q52" s="32">
        <f t="shared" si="16"/>
        <v>4.416666666666667</v>
      </c>
      <c r="R52" s="32">
        <f t="shared" si="16"/>
        <v>5.416666666666667</v>
      </c>
      <c r="S52" s="32">
        <f t="shared" si="16"/>
        <v>6.416666666666667</v>
      </c>
      <c r="T52" s="32">
        <f t="shared" si="16"/>
        <v>7.416666666666667</v>
      </c>
      <c r="U52" s="32">
        <f t="shared" si="16"/>
        <v>8.4166666666666679</v>
      </c>
      <c r="V52" s="32">
        <f t="shared" si="16"/>
        <v>9.4166666666666679</v>
      </c>
    </row>
    <row r="53" spans="2:22" x14ac:dyDescent="0.25">
      <c r="B53" t="s">
        <v>229</v>
      </c>
      <c r="N53" s="31"/>
      <c r="O53" s="31"/>
      <c r="P53" s="31"/>
      <c r="Q53" s="31"/>
      <c r="V53" s="31">
        <f ca="1">SUM(M51:V51)</f>
        <v>127366.52808199244</v>
      </c>
    </row>
    <row r="54" spans="2:22" x14ac:dyDescent="0.25">
      <c r="B54" t="s">
        <v>230</v>
      </c>
      <c r="N54" s="31"/>
      <c r="O54" s="31"/>
      <c r="P54" s="31"/>
      <c r="Q54" s="31"/>
      <c r="V54" s="31">
        <f ca="1">(V50*(1+E19))/(E18-E19)</f>
        <v>278648.36741484085</v>
      </c>
    </row>
    <row r="55" spans="2:22" x14ac:dyDescent="0.25">
      <c r="B55" s="16" t="s">
        <v>231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61"/>
      <c r="O55" s="61"/>
      <c r="P55" s="61"/>
      <c r="Q55" s="61"/>
      <c r="R55" s="61"/>
      <c r="S55" s="61"/>
      <c r="T55" s="61"/>
      <c r="U55" s="61"/>
      <c r="V55" s="61">
        <f ca="1">V54/(1+E18)^V52</f>
        <v>147353.09528281703</v>
      </c>
    </row>
    <row r="56" spans="2:22" x14ac:dyDescent="0.25">
      <c r="B56" s="10" t="s">
        <v>232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62"/>
      <c r="O56" s="62"/>
      <c r="P56" s="62"/>
      <c r="Q56" s="62"/>
      <c r="R56" s="62"/>
      <c r="S56" s="62"/>
      <c r="T56" s="62"/>
      <c r="U56" s="62"/>
      <c r="V56" s="62">
        <f ca="1">V53+V55</f>
        <v>274719.62336480943</v>
      </c>
    </row>
    <row r="57" spans="2:22" x14ac:dyDescent="0.25">
      <c r="B57" t="s">
        <v>233</v>
      </c>
      <c r="N57" s="31"/>
      <c r="O57" s="31"/>
      <c r="P57" s="31"/>
      <c r="Q57" s="31"/>
      <c r="V57" s="31">
        <f>Main!K6</f>
        <v>4216</v>
      </c>
    </row>
    <row r="58" spans="2:22" x14ac:dyDescent="0.25">
      <c r="B58" s="16" t="s">
        <v>234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61"/>
      <c r="O58" s="61"/>
      <c r="P58" s="61"/>
      <c r="Q58" s="61"/>
      <c r="R58" s="61"/>
      <c r="S58" s="61"/>
      <c r="T58" s="61"/>
      <c r="U58" s="61"/>
      <c r="V58" s="61">
        <f>Main!K7</f>
        <v>45695</v>
      </c>
    </row>
    <row r="59" spans="2:22" x14ac:dyDescent="0.25">
      <c r="B59" t="s">
        <v>235</v>
      </c>
      <c r="N59" s="31"/>
      <c r="O59" s="31"/>
      <c r="P59" s="31"/>
      <c r="Q59" s="31"/>
      <c r="V59" s="31">
        <f ca="1">V56+V57-V58</f>
        <v>233240.62336480943</v>
      </c>
    </row>
    <row r="60" spans="2:22" x14ac:dyDescent="0.25">
      <c r="B60" s="16" t="s">
        <v>236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1"/>
      <c r="O60" s="61"/>
      <c r="P60" s="61"/>
      <c r="Q60" s="61"/>
      <c r="R60" s="61"/>
      <c r="S60" s="61"/>
      <c r="T60" s="61"/>
      <c r="U60" s="61"/>
      <c r="V60" s="61">
        <f>Main!K4</f>
        <v>1554.857221</v>
      </c>
    </row>
    <row r="61" spans="2:22" x14ac:dyDescent="0.25">
      <c r="B61" t="s">
        <v>199</v>
      </c>
      <c r="V61" s="32">
        <f ca="1">V59/V60</f>
        <v>150.00774361442762</v>
      </c>
    </row>
    <row r="65" spans="1:22" x14ac:dyDescent="0.25">
      <c r="A65" s="38" t="s">
        <v>16</v>
      </c>
      <c r="B65" s="39" t="s">
        <v>237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7" spans="1:22" x14ac:dyDescent="0.25">
      <c r="B67" s="63"/>
      <c r="C67" s="83" t="s">
        <v>215</v>
      </c>
      <c r="D67" s="83"/>
      <c r="E67" s="83"/>
      <c r="F67" s="83"/>
      <c r="G67" s="83"/>
      <c r="H67" s="83"/>
      <c r="I67" s="83"/>
      <c r="J67" s="84"/>
    </row>
    <row r="68" spans="1:22" x14ac:dyDescent="0.25">
      <c r="B68" s="85" t="s">
        <v>214</v>
      </c>
      <c r="C68" s="64"/>
      <c r="D68" s="65"/>
      <c r="E68" s="65"/>
      <c r="F68" s="65"/>
      <c r="G68" s="65"/>
      <c r="H68" s="65"/>
      <c r="I68" s="65"/>
      <c r="J68" s="65"/>
    </row>
    <row r="69" spans="1:22" x14ac:dyDescent="0.25">
      <c r="B69" s="85"/>
      <c r="C69" s="66"/>
      <c r="D69" s="67"/>
      <c r="E69" s="67"/>
      <c r="F69" s="67"/>
      <c r="G69" s="67"/>
      <c r="H69" s="67"/>
      <c r="I69" s="67"/>
      <c r="J69" s="67"/>
    </row>
    <row r="70" spans="1:22" x14ac:dyDescent="0.25">
      <c r="B70" s="85"/>
      <c r="C70" s="66"/>
      <c r="D70" s="67"/>
      <c r="E70" s="67"/>
      <c r="F70" s="67"/>
      <c r="G70" s="67"/>
      <c r="H70" s="67"/>
      <c r="I70" s="67"/>
      <c r="J70" s="67"/>
    </row>
    <row r="71" spans="1:22" x14ac:dyDescent="0.25">
      <c r="B71" s="85"/>
      <c r="C71" s="66"/>
      <c r="D71" s="67"/>
      <c r="E71" s="67"/>
      <c r="F71" s="67"/>
      <c r="G71" s="67"/>
      <c r="H71" s="67"/>
      <c r="I71" s="67"/>
      <c r="J71" s="67"/>
    </row>
    <row r="72" spans="1:22" x14ac:dyDescent="0.25">
      <c r="B72" s="85"/>
      <c r="C72" s="66"/>
      <c r="D72" s="67"/>
      <c r="E72" s="67"/>
      <c r="F72" s="67"/>
      <c r="G72" s="67"/>
      <c r="H72" s="67"/>
      <c r="I72" s="67"/>
      <c r="J72" s="67"/>
    </row>
    <row r="73" spans="1:22" x14ac:dyDescent="0.25">
      <c r="B73" s="85"/>
      <c r="C73" s="66"/>
      <c r="D73" s="67"/>
      <c r="E73" s="67"/>
      <c r="F73" s="67"/>
      <c r="G73" s="67"/>
      <c r="H73" s="67"/>
      <c r="I73" s="67"/>
      <c r="J73" s="67"/>
    </row>
    <row r="74" spans="1:22" x14ac:dyDescent="0.25">
      <c r="B74" s="85"/>
      <c r="C74" s="66"/>
      <c r="D74" s="67"/>
      <c r="E74" s="67"/>
      <c r="F74" s="67"/>
      <c r="G74" s="67"/>
      <c r="H74" s="67"/>
      <c r="I74" s="67"/>
      <c r="J74" s="67"/>
    </row>
    <row r="75" spans="1:22" x14ac:dyDescent="0.25">
      <c r="B75" s="86"/>
      <c r="C75" s="66"/>
      <c r="D75" s="67"/>
      <c r="E75" s="67"/>
      <c r="F75" s="67"/>
      <c r="G75" s="67"/>
      <c r="H75" s="67"/>
      <c r="I75" s="67"/>
      <c r="J75" s="67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2025-07-22T13:08:21Z</dcterms:modified>
</cp:coreProperties>
</file>