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E:\1.Finance\Anaylsen\Models\"/>
    </mc:Choice>
  </mc:AlternateContent>
  <xr:revisionPtr revIDLastSave="0" documentId="13_ncr:1_{B8CC0154-B09C-445A-90B6-192F62ACF9D9}" xr6:coauthVersionLast="47" xr6:coauthVersionMax="47" xr10:uidLastSave="{00000000-0000-0000-0000-000000000000}"/>
  <bookViews>
    <workbookView xWindow="225" yWindow="1950" windowWidth="38175" windowHeight="15240" activeTab="1" xr2:uid="{00BE0985-5336-41E3-B925-F565FA10FCAA}"/>
  </bookViews>
  <sheets>
    <sheet name="Main" sheetId="1" r:id="rId1"/>
    <sheet name="Brands" sheetId="6" r:id="rId2"/>
    <sheet name="Market" sheetId="9" r:id="rId3"/>
    <sheet name="Model" sheetId="2" r:id="rId4"/>
    <sheet name="Quart" sheetId="10" r:id="rId5"/>
    <sheet name="Ratios" sheetId="7" r:id="rId6"/>
    <sheet name="DCF" sheetId="5" r:id="rId7"/>
    <sheet name="CoC" sheetId="8" r:id="rId8"/>
    <sheet name="TradingComps" sheetId="3" r:id="rId9"/>
  </sheets>
  <externalReferences>
    <externalReference r:id="rId10"/>
  </externalReferences>
  <definedNames>
    <definedName name="WACC">DCF!$E$18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8" i="10" l="1"/>
  <c r="O17" i="10"/>
  <c r="O16" i="10"/>
  <c r="O15" i="10"/>
  <c r="O14" i="10"/>
  <c r="O13" i="10"/>
  <c r="O12" i="10"/>
  <c r="O10" i="10"/>
  <c r="C8" i="1"/>
  <c r="N14" i="10"/>
  <c r="Q68" i="2"/>
  <c r="O18" i="7"/>
  <c r="N18" i="7"/>
  <c r="I18" i="7"/>
  <c r="H18" i="7"/>
  <c r="G18" i="7"/>
  <c r="F18" i="7"/>
  <c r="E18" i="7"/>
  <c r="J18" i="7"/>
  <c r="J56" i="7"/>
  <c r="J55" i="7"/>
  <c r="J54" i="7"/>
  <c r="J53" i="7"/>
  <c r="J51" i="7"/>
  <c r="J52" i="7" s="1"/>
  <c r="J45" i="7"/>
  <c r="J46" i="7" s="1"/>
  <c r="J47" i="7" s="1"/>
  <c r="J44" i="7"/>
  <c r="J43" i="7"/>
  <c r="J42" i="7"/>
  <c r="J37" i="7"/>
  <c r="J35" i="7"/>
  <c r="J29" i="7"/>
  <c r="J32" i="7" s="1"/>
  <c r="J28" i="7"/>
  <c r="J30" i="7" s="1"/>
  <c r="J25" i="7"/>
  <c r="J24" i="7"/>
  <c r="J23" i="7"/>
  <c r="J22" i="7"/>
  <c r="J21" i="7"/>
  <c r="J14" i="7"/>
  <c r="J12" i="7"/>
  <c r="J15" i="7" s="1"/>
  <c r="J17" i="7" s="1"/>
  <c r="J11" i="7"/>
  <c r="J13" i="7" s="1"/>
  <c r="J10" i="7"/>
  <c r="Q36" i="2"/>
  <c r="Q34" i="2"/>
  <c r="Q32" i="2"/>
  <c r="H6" i="1"/>
  <c r="Q26" i="2"/>
  <c r="Q24" i="2"/>
  <c r="Q23" i="2"/>
  <c r="Q22" i="2"/>
  <c r="Q20" i="2"/>
  <c r="Q163" i="2"/>
  <c r="Q162" i="2"/>
  <c r="Q161" i="2"/>
  <c r="Q158" i="2"/>
  <c r="Q150" i="2"/>
  <c r="Q148" i="2"/>
  <c r="Q146" i="2"/>
  <c r="Q144" i="2"/>
  <c r="Q143" i="2"/>
  <c r="H131" i="2"/>
  <c r="G131" i="2"/>
  <c r="F131" i="2"/>
  <c r="E131" i="2"/>
  <c r="D131" i="2"/>
  <c r="C131" i="2"/>
  <c r="P131" i="2"/>
  <c r="O131" i="2"/>
  <c r="N131" i="2"/>
  <c r="M131" i="2"/>
  <c r="L131" i="2"/>
  <c r="K131" i="2"/>
  <c r="J131" i="2"/>
  <c r="Q131" i="2"/>
  <c r="Q129" i="2"/>
  <c r="Q120" i="2"/>
  <c r="Q112" i="2"/>
  <c r="Q108" i="2"/>
  <c r="P108" i="2"/>
  <c r="O108" i="2"/>
  <c r="N108" i="2"/>
  <c r="M108" i="2"/>
  <c r="L108" i="2"/>
  <c r="K108" i="2"/>
  <c r="J108" i="2"/>
  <c r="H108" i="2"/>
  <c r="G108" i="2"/>
  <c r="F108" i="2"/>
  <c r="E108" i="2"/>
  <c r="D108" i="2"/>
  <c r="C108" i="2"/>
  <c r="C106" i="2"/>
  <c r="Q106" i="2"/>
  <c r="Q99" i="2"/>
  <c r="Q49" i="2"/>
  <c r="N15" i="10"/>
  <c r="N13" i="10"/>
  <c r="N12" i="10"/>
  <c r="H18" i="10"/>
  <c r="G18" i="10"/>
  <c r="H17" i="10"/>
  <c r="G17" i="10"/>
  <c r="H16" i="10"/>
  <c r="G16" i="10"/>
  <c r="H15" i="10"/>
  <c r="G15" i="10"/>
  <c r="H14" i="10"/>
  <c r="G14" i="10"/>
  <c r="H13" i="10"/>
  <c r="G13" i="10"/>
  <c r="H12" i="10"/>
  <c r="G12" i="10"/>
  <c r="F9" i="10"/>
  <c r="F8" i="10"/>
  <c r="F7" i="10"/>
  <c r="J15" i="10" s="1"/>
  <c r="F6" i="10"/>
  <c r="F5" i="10"/>
  <c r="F4" i="10"/>
  <c r="F10" i="10" s="1"/>
  <c r="L18" i="10"/>
  <c r="K18" i="10"/>
  <c r="L17" i="10"/>
  <c r="K17" i="10"/>
  <c r="L16" i="10"/>
  <c r="K16" i="10"/>
  <c r="L15" i="10"/>
  <c r="K15" i="10"/>
  <c r="L14" i="10"/>
  <c r="K14" i="10"/>
  <c r="L13" i="10"/>
  <c r="K13" i="10"/>
  <c r="L12" i="10"/>
  <c r="K12" i="10"/>
  <c r="J9" i="10"/>
  <c r="J17" i="10" s="1"/>
  <c r="J8" i="10"/>
  <c r="J16" i="10" s="1"/>
  <c r="J7" i="10"/>
  <c r="J6" i="10"/>
  <c r="J5" i="10"/>
  <c r="J4" i="10"/>
  <c r="M12" i="10"/>
  <c r="I12" i="10"/>
  <c r="I17" i="10"/>
  <c r="I16" i="10"/>
  <c r="I15" i="10"/>
  <c r="I14" i="10"/>
  <c r="I13" i="10"/>
  <c r="M18" i="10"/>
  <c r="M17" i="10"/>
  <c r="M16" i="10"/>
  <c r="M15" i="10"/>
  <c r="M14" i="10"/>
  <c r="M13" i="10"/>
  <c r="E10" i="10"/>
  <c r="I18" i="10" s="1"/>
  <c r="D10" i="10"/>
  <c r="C10" i="10"/>
  <c r="G10" i="10"/>
  <c r="N10" i="10"/>
  <c r="L10" i="10"/>
  <c r="K10" i="10"/>
  <c r="I10" i="10"/>
  <c r="H10" i="10"/>
  <c r="M10" i="10"/>
  <c r="Q30" i="2"/>
  <c r="V17" i="2"/>
  <c r="U17" i="2"/>
  <c r="T17" i="2"/>
  <c r="S17" i="2"/>
  <c r="R17" i="2"/>
  <c r="Q17" i="2"/>
  <c r="O4" i="5"/>
  <c r="O3" i="5"/>
  <c r="V35" i="5"/>
  <c r="U35" i="5"/>
  <c r="T35" i="5"/>
  <c r="S35" i="5"/>
  <c r="R35" i="5"/>
  <c r="Q35" i="5"/>
  <c r="P35" i="5"/>
  <c r="O35" i="5"/>
  <c r="N35" i="5"/>
  <c r="M35" i="5"/>
  <c r="T29" i="5"/>
  <c r="U29" i="5" s="1"/>
  <c r="V29" i="5" s="1"/>
  <c r="S29" i="5"/>
  <c r="T28" i="5"/>
  <c r="U28" i="5" s="1"/>
  <c r="V28" i="5" s="1"/>
  <c r="S28" i="5"/>
  <c r="R29" i="5"/>
  <c r="Q29" i="5"/>
  <c r="P29" i="5"/>
  <c r="O29" i="5"/>
  <c r="N29" i="5"/>
  <c r="M29" i="5"/>
  <c r="Q77" i="2"/>
  <c r="Q82" i="2"/>
  <c r="Q73" i="2"/>
  <c r="V86" i="2"/>
  <c r="U86" i="2"/>
  <c r="T86" i="2"/>
  <c r="S86" i="2"/>
  <c r="R86" i="2"/>
  <c r="Q81" i="2"/>
  <c r="Q74" i="2"/>
  <c r="V8" i="2"/>
  <c r="V9" i="2" s="1"/>
  <c r="V44" i="2" s="1"/>
  <c r="V38" i="2" s="1"/>
  <c r="U8" i="2"/>
  <c r="U9" i="2" s="1"/>
  <c r="U44" i="2" s="1"/>
  <c r="T8" i="2"/>
  <c r="T9" i="2" s="1"/>
  <c r="T44" i="2" s="1"/>
  <c r="T23" i="2" s="1"/>
  <c r="S8" i="2"/>
  <c r="S9" i="2" s="1"/>
  <c r="S44" i="2" s="1"/>
  <c r="S79" i="2" s="1"/>
  <c r="R8" i="2"/>
  <c r="R9" i="2" s="1"/>
  <c r="R44" i="2" s="1"/>
  <c r="R22" i="2" s="1"/>
  <c r="Q8" i="2"/>
  <c r="K8" i="2"/>
  <c r="L8" i="2"/>
  <c r="P8" i="2"/>
  <c r="O8" i="2"/>
  <c r="N8" i="2"/>
  <c r="O71" i="2" s="1"/>
  <c r="M8" i="2"/>
  <c r="N71" i="2" s="1"/>
  <c r="J31" i="7" l="1"/>
  <c r="J16" i="7"/>
  <c r="N17" i="10"/>
  <c r="P71" i="2"/>
  <c r="M71" i="2"/>
  <c r="J12" i="10"/>
  <c r="N16" i="10"/>
  <c r="Q71" i="2"/>
  <c r="J10" i="10"/>
  <c r="N18" i="10" s="1"/>
  <c r="J13" i="10"/>
  <c r="J18" i="10"/>
  <c r="J14" i="10"/>
  <c r="T79" i="2"/>
  <c r="R38" i="2"/>
  <c r="R80" i="2" s="1"/>
  <c r="R39" i="2"/>
  <c r="R32" i="2" s="1"/>
  <c r="S39" i="2"/>
  <c r="S81" i="2" s="1"/>
  <c r="V79" i="2"/>
  <c r="V42" i="2"/>
  <c r="V84" i="2" s="1"/>
  <c r="R85" i="2"/>
  <c r="R40" i="2"/>
  <c r="R82" i="2" s="1"/>
  <c r="V20" i="2"/>
  <c r="S85" i="2"/>
  <c r="R20" i="2"/>
  <c r="T41" i="2"/>
  <c r="U41" i="2"/>
  <c r="U38" i="2"/>
  <c r="U80" i="2" s="1"/>
  <c r="V41" i="2"/>
  <c r="U24" i="2"/>
  <c r="T42" i="2"/>
  <c r="T40" i="2"/>
  <c r="T82" i="2" s="1"/>
  <c r="T26" i="2"/>
  <c r="T18" i="2" s="1"/>
  <c r="V24" i="2"/>
  <c r="U40" i="2"/>
  <c r="U26" i="2"/>
  <c r="U27" i="2" s="1"/>
  <c r="U21" i="2"/>
  <c r="V78" i="2"/>
  <c r="V43" i="2"/>
  <c r="T39" i="2"/>
  <c r="T32" i="2" s="1"/>
  <c r="V39" i="2"/>
  <c r="V26" i="2"/>
  <c r="V27" i="2" s="1"/>
  <c r="U23" i="2"/>
  <c r="T85" i="2"/>
  <c r="R41" i="2"/>
  <c r="R76" i="2" s="1"/>
  <c r="U39" i="2"/>
  <c r="T22" i="2"/>
  <c r="V23" i="2"/>
  <c r="V85" i="2"/>
  <c r="T78" i="2"/>
  <c r="S41" i="2"/>
  <c r="U42" i="2"/>
  <c r="U22" i="2"/>
  <c r="S20" i="2"/>
  <c r="V30" i="2"/>
  <c r="S40" i="2"/>
  <c r="R23" i="2"/>
  <c r="R21" i="2"/>
  <c r="S21" i="2"/>
  <c r="T20" i="2"/>
  <c r="S23" i="2"/>
  <c r="S43" i="2"/>
  <c r="R24" i="2"/>
  <c r="U20" i="2"/>
  <c r="V21" i="2"/>
  <c r="R43" i="2"/>
  <c r="T43" i="2"/>
  <c r="R42" i="2"/>
  <c r="R84" i="2" s="1"/>
  <c r="S38" i="2"/>
  <c r="S80" i="2" s="1"/>
  <c r="V40" i="2"/>
  <c r="R26" i="2"/>
  <c r="R18" i="2" s="1"/>
  <c r="V32" i="2"/>
  <c r="S24" i="2"/>
  <c r="T21" i="2"/>
  <c r="V22" i="2"/>
  <c r="U43" i="2"/>
  <c r="S42" i="2"/>
  <c r="S84" i="2" s="1"/>
  <c r="T38" i="2"/>
  <c r="S26" i="2"/>
  <c r="S27" i="2" s="1"/>
  <c r="S22" i="2"/>
  <c r="T24" i="2"/>
  <c r="V72" i="2"/>
  <c r="U72" i="2"/>
  <c r="T72" i="2"/>
  <c r="S72" i="2"/>
  <c r="R72" i="2"/>
  <c r="O5" i="5"/>
  <c r="V80" i="2"/>
  <c r="U79" i="2"/>
  <c r="U85" i="2"/>
  <c r="U78" i="2"/>
  <c r="S78" i="2"/>
  <c r="R77" i="2"/>
  <c r="Q84" i="2"/>
  <c r="Q76" i="2"/>
  <c r="Q83" i="2"/>
  <c r="Q75" i="2"/>
  <c r="Q80" i="2"/>
  <c r="R79" i="2"/>
  <c r="V71" i="2"/>
  <c r="R71" i="2"/>
  <c r="L71" i="2"/>
  <c r="U71" i="2"/>
  <c r="T71" i="2"/>
  <c r="S71" i="2"/>
  <c r="T15" i="5"/>
  <c r="J15" i="5"/>
  <c r="O15" i="5"/>
  <c r="S27" i="5"/>
  <c r="T27" i="5" s="1"/>
  <c r="V61" i="5"/>
  <c r="O46" i="5"/>
  <c r="P46" i="5" s="1"/>
  <c r="N46" i="5"/>
  <c r="O34" i="5"/>
  <c r="P34" i="5" s="1"/>
  <c r="Q34" i="5" s="1"/>
  <c r="R34" i="5" s="1"/>
  <c r="N34" i="5"/>
  <c r="J3" i="5"/>
  <c r="K45" i="5"/>
  <c r="J45" i="5"/>
  <c r="I45" i="5"/>
  <c r="H45" i="5"/>
  <c r="G45" i="5"/>
  <c r="F32" i="8"/>
  <c r="H45" i="7"/>
  <c r="H46" i="7" s="1"/>
  <c r="G45" i="7"/>
  <c r="G46" i="7" s="1"/>
  <c r="F45" i="7"/>
  <c r="F46" i="7" s="1"/>
  <c r="E45" i="7"/>
  <c r="E46" i="7" s="1"/>
  <c r="D45" i="7"/>
  <c r="D46" i="7" s="1"/>
  <c r="C45" i="7"/>
  <c r="I45" i="7"/>
  <c r="I46" i="7" s="1"/>
  <c r="H44" i="7"/>
  <c r="G44" i="7"/>
  <c r="F44" i="7"/>
  <c r="E44" i="7"/>
  <c r="D44" i="7"/>
  <c r="C44" i="7"/>
  <c r="C43" i="7"/>
  <c r="N3" i="7"/>
  <c r="O3" i="7"/>
  <c r="C42" i="7"/>
  <c r="D37" i="7"/>
  <c r="H37" i="7"/>
  <c r="G37" i="7"/>
  <c r="F37" i="7"/>
  <c r="E37" i="7"/>
  <c r="H35" i="7"/>
  <c r="G35" i="7"/>
  <c r="F35" i="7"/>
  <c r="E35" i="7"/>
  <c r="D35" i="7"/>
  <c r="C35" i="7"/>
  <c r="O39" i="7"/>
  <c r="N39" i="7"/>
  <c r="C21" i="7"/>
  <c r="C12" i="7"/>
  <c r="C11" i="7"/>
  <c r="C13" i="7" s="1"/>
  <c r="C10" i="7"/>
  <c r="C6" i="7"/>
  <c r="C4" i="7"/>
  <c r="C5" i="7" s="1"/>
  <c r="C55" i="7" s="1"/>
  <c r="H12" i="7"/>
  <c r="G12" i="7"/>
  <c r="F12" i="7"/>
  <c r="E12" i="7"/>
  <c r="D12" i="7"/>
  <c r="I12" i="7"/>
  <c r="I11" i="7"/>
  <c r="I13" i="7" s="1"/>
  <c r="H11" i="7"/>
  <c r="H13" i="7" s="1"/>
  <c r="G11" i="7"/>
  <c r="G13" i="7" s="1"/>
  <c r="F11" i="7"/>
  <c r="F13" i="7" s="1"/>
  <c r="E11" i="7"/>
  <c r="E13" i="7" s="1"/>
  <c r="D11" i="7"/>
  <c r="D13" i="7" s="1"/>
  <c r="H10" i="7"/>
  <c r="G10" i="7"/>
  <c r="F10" i="7"/>
  <c r="E10" i="7"/>
  <c r="D10" i="7"/>
  <c r="R74" i="2" l="1"/>
  <c r="R81" i="2"/>
  <c r="T74" i="2"/>
  <c r="R73" i="2"/>
  <c r="V77" i="2"/>
  <c r="S32" i="2"/>
  <c r="S74" i="2"/>
  <c r="T77" i="2"/>
  <c r="U18" i="2"/>
  <c r="T27" i="2"/>
  <c r="U73" i="2"/>
  <c r="V18" i="2"/>
  <c r="V74" i="2"/>
  <c r="R30" i="2"/>
  <c r="R34" i="2"/>
  <c r="R75" i="2"/>
  <c r="V73" i="2"/>
  <c r="S18" i="2"/>
  <c r="U77" i="2"/>
  <c r="R27" i="2"/>
  <c r="U34" i="2"/>
  <c r="U82" i="2"/>
  <c r="V76" i="2"/>
  <c r="V83" i="2"/>
  <c r="V36" i="2"/>
  <c r="U84" i="2"/>
  <c r="U76" i="2"/>
  <c r="U83" i="2"/>
  <c r="U36" i="2"/>
  <c r="V81" i="2"/>
  <c r="U74" i="2"/>
  <c r="T81" i="2"/>
  <c r="S77" i="2"/>
  <c r="U30" i="2"/>
  <c r="T84" i="2"/>
  <c r="R36" i="2"/>
  <c r="R83" i="2"/>
  <c r="U75" i="2"/>
  <c r="T34" i="2"/>
  <c r="T76" i="2"/>
  <c r="S83" i="2"/>
  <c r="S76" i="2"/>
  <c r="S36" i="2"/>
  <c r="U32" i="2"/>
  <c r="U81" i="2"/>
  <c r="T83" i="2"/>
  <c r="T36" i="2"/>
  <c r="S75" i="2"/>
  <c r="S82" i="2"/>
  <c r="T75" i="2"/>
  <c r="S34" i="2"/>
  <c r="V82" i="2"/>
  <c r="V34" i="2"/>
  <c r="T73" i="2"/>
  <c r="T30" i="2"/>
  <c r="T80" i="2"/>
  <c r="S73" i="2"/>
  <c r="S30" i="2"/>
  <c r="V75" i="2"/>
  <c r="G23" i="7"/>
  <c r="D23" i="7"/>
  <c r="N13" i="7"/>
  <c r="F23" i="7"/>
  <c r="O45" i="7"/>
  <c r="C54" i="7"/>
  <c r="C53" i="7"/>
  <c r="C36" i="7"/>
  <c r="E23" i="7"/>
  <c r="N12" i="7"/>
  <c r="H23" i="7"/>
  <c r="C46" i="7"/>
  <c r="C47" i="7" s="1"/>
  <c r="C56" i="7"/>
  <c r="N45" i="7"/>
  <c r="F15" i="7"/>
  <c r="O11" i="7"/>
  <c r="N11" i="7"/>
  <c r="O12" i="7"/>
  <c r="O13" i="7"/>
  <c r="I15" i="7"/>
  <c r="E15" i="7"/>
  <c r="D15" i="7"/>
  <c r="G15" i="7"/>
  <c r="H15" i="7"/>
  <c r="C7" i="7"/>
  <c r="H6" i="7"/>
  <c r="G6" i="7"/>
  <c r="F6" i="7"/>
  <c r="E6" i="7"/>
  <c r="D6" i="7"/>
  <c r="I6" i="7"/>
  <c r="J5" i="7"/>
  <c r="H4" i="7"/>
  <c r="H5" i="7" s="1"/>
  <c r="G4" i="7"/>
  <c r="G5" i="7" s="1"/>
  <c r="F4" i="7"/>
  <c r="F5" i="7" s="1"/>
  <c r="E4" i="7"/>
  <c r="E5" i="7" s="1"/>
  <c r="D4" i="7"/>
  <c r="D5" i="7" s="1"/>
  <c r="I4" i="7"/>
  <c r="I5" i="7" s="1"/>
  <c r="C36" i="2"/>
  <c r="C34" i="2"/>
  <c r="C32" i="2"/>
  <c r="C30" i="2"/>
  <c r="C17" i="2"/>
  <c r="E72" i="2" s="1"/>
  <c r="D31" i="2"/>
  <c r="D29" i="2"/>
  <c r="D24" i="2"/>
  <c r="D23" i="2"/>
  <c r="D22" i="2"/>
  <c r="D21" i="2"/>
  <c r="D20" i="2"/>
  <c r="D16" i="2"/>
  <c r="D15" i="2"/>
  <c r="D14" i="2"/>
  <c r="D13" i="2"/>
  <c r="D12" i="2"/>
  <c r="O36" i="2"/>
  <c r="O34" i="2"/>
  <c r="O32" i="2"/>
  <c r="M36" i="2"/>
  <c r="M34" i="2"/>
  <c r="M32" i="2"/>
  <c r="M30" i="2"/>
  <c r="J58" i="2"/>
  <c r="C37" i="7" s="1"/>
  <c r="J24" i="2"/>
  <c r="J36" i="2"/>
  <c r="J32" i="2"/>
  <c r="J34" i="2"/>
  <c r="J30" i="2"/>
  <c r="J27" i="2"/>
  <c r="J26" i="2"/>
  <c r="K36" i="2"/>
  <c r="K34" i="2"/>
  <c r="K32" i="2"/>
  <c r="K24" i="2"/>
  <c r="L24" i="2"/>
  <c r="J85" i="2"/>
  <c r="J84" i="2"/>
  <c r="J83" i="2"/>
  <c r="J82" i="2"/>
  <c r="J81" i="2"/>
  <c r="J80" i="2"/>
  <c r="J66" i="2"/>
  <c r="J68" i="2" s="1"/>
  <c r="K66" i="2"/>
  <c r="K68" i="2" s="1"/>
  <c r="L66" i="2"/>
  <c r="L36" i="2"/>
  <c r="L34" i="2"/>
  <c r="L32" i="2"/>
  <c r="K30" i="2"/>
  <c r="L30" i="2"/>
  <c r="M66" i="2"/>
  <c r="M68" i="2" s="1"/>
  <c r="N66" i="2"/>
  <c r="N36" i="2"/>
  <c r="N34" i="2"/>
  <c r="N32" i="2"/>
  <c r="N30" i="2"/>
  <c r="O30" i="2"/>
  <c r="M17" i="2"/>
  <c r="M18" i="2" s="1"/>
  <c r="N17" i="2"/>
  <c r="P36" i="2"/>
  <c r="P34" i="2"/>
  <c r="P32" i="2"/>
  <c r="P30" i="2"/>
  <c r="H72" i="2"/>
  <c r="G72" i="2"/>
  <c r="O17" i="2"/>
  <c r="L17" i="2"/>
  <c r="K17" i="2"/>
  <c r="J17" i="2"/>
  <c r="P17" i="2"/>
  <c r="Q72" i="2" s="1"/>
  <c r="E36" i="2"/>
  <c r="E34" i="2"/>
  <c r="E32" i="2"/>
  <c r="E30" i="2"/>
  <c r="V58" i="5"/>
  <c r="J6" i="7" l="1"/>
  <c r="F36" i="8"/>
  <c r="V59" i="5"/>
  <c r="O46" i="7"/>
  <c r="N46" i="7"/>
  <c r="K72" i="2"/>
  <c r="D17" i="2"/>
  <c r="F72" i="2" s="1"/>
  <c r="D51" i="7"/>
  <c r="D52" i="7" s="1"/>
  <c r="O5" i="7"/>
  <c r="D53" i="7"/>
  <c r="D54" i="7"/>
  <c r="D55" i="7"/>
  <c r="E36" i="7"/>
  <c r="E38" i="7"/>
  <c r="E51" i="7"/>
  <c r="E52" i="7" s="1"/>
  <c r="E53" i="7"/>
  <c r="E54" i="7"/>
  <c r="E55" i="7"/>
  <c r="F36" i="7"/>
  <c r="F38" i="7"/>
  <c r="N5" i="7"/>
  <c r="O6" i="7"/>
  <c r="L68" i="2"/>
  <c r="E28" i="7"/>
  <c r="E22" i="7"/>
  <c r="F51" i="7"/>
  <c r="F52" i="7" s="1"/>
  <c r="F53" i="7"/>
  <c r="F54" i="7"/>
  <c r="F55" i="7"/>
  <c r="G36" i="7"/>
  <c r="G38" i="7"/>
  <c r="N68" i="2"/>
  <c r="G28" i="7"/>
  <c r="G22" i="7"/>
  <c r="D28" i="7"/>
  <c r="D22" i="7"/>
  <c r="G53" i="7"/>
  <c r="G54" i="7"/>
  <c r="G55" i="7"/>
  <c r="G51" i="7"/>
  <c r="G52" i="7" s="1"/>
  <c r="H38" i="7"/>
  <c r="H36" i="7"/>
  <c r="F28" i="7"/>
  <c r="F22" i="7"/>
  <c r="H53" i="7"/>
  <c r="H54" i="7"/>
  <c r="H55" i="7"/>
  <c r="C51" i="7"/>
  <c r="J60" i="2"/>
  <c r="J86" i="2" s="1"/>
  <c r="C14" i="7" s="1"/>
  <c r="C59" i="7"/>
  <c r="C58" i="7"/>
  <c r="C61" i="7"/>
  <c r="O4" i="7"/>
  <c r="D38" i="7"/>
  <c r="D36" i="7"/>
  <c r="C38" i="7"/>
  <c r="N4" i="7"/>
  <c r="O15" i="7"/>
  <c r="N15" i="7"/>
  <c r="G7" i="7"/>
  <c r="H7" i="7"/>
  <c r="I7" i="7"/>
  <c r="D7" i="7"/>
  <c r="F7" i="7"/>
  <c r="E7" i="7"/>
  <c r="J18" i="2"/>
  <c r="P72" i="2"/>
  <c r="N72" i="2"/>
  <c r="O72" i="2"/>
  <c r="P18" i="2"/>
  <c r="O18" i="2"/>
  <c r="N18" i="2"/>
  <c r="M72" i="2"/>
  <c r="L72" i="2"/>
  <c r="L48" i="5"/>
  <c r="K48" i="5"/>
  <c r="J48" i="5"/>
  <c r="I48" i="5"/>
  <c r="H48" i="5"/>
  <c r="G48" i="5"/>
  <c r="L42" i="5"/>
  <c r="K42" i="5"/>
  <c r="J42" i="5"/>
  <c r="I42" i="5"/>
  <c r="H42" i="5"/>
  <c r="L37" i="5"/>
  <c r="K37" i="5"/>
  <c r="J37" i="5"/>
  <c r="I37" i="5"/>
  <c r="H37" i="5"/>
  <c r="G37" i="5"/>
  <c r="K31" i="5"/>
  <c r="J31" i="5"/>
  <c r="I31" i="5"/>
  <c r="H31" i="5"/>
  <c r="G31" i="5"/>
  <c r="G42" i="5"/>
  <c r="E150" i="2"/>
  <c r="E158" i="2" s="1"/>
  <c r="H148" i="2"/>
  <c r="G148" i="2"/>
  <c r="F148" i="2"/>
  <c r="D148" i="2"/>
  <c r="C148" i="2"/>
  <c r="E146" i="2"/>
  <c r="E148" i="2" s="1"/>
  <c r="E143" i="2"/>
  <c r="P143" i="2"/>
  <c r="I55" i="7" s="1"/>
  <c r="H129" i="2"/>
  <c r="G129" i="2"/>
  <c r="F129" i="2"/>
  <c r="D129" i="2"/>
  <c r="C129" i="2"/>
  <c r="E129" i="2"/>
  <c r="H120" i="2"/>
  <c r="G120" i="2"/>
  <c r="F120" i="2"/>
  <c r="D120" i="2"/>
  <c r="C120" i="2"/>
  <c r="E120" i="2"/>
  <c r="H112" i="2"/>
  <c r="G112" i="2"/>
  <c r="F112" i="2"/>
  <c r="D112" i="2"/>
  <c r="C112" i="2"/>
  <c r="E112" i="2"/>
  <c r="H106" i="2"/>
  <c r="G106" i="2"/>
  <c r="F106" i="2"/>
  <c r="D106" i="2"/>
  <c r="E106" i="2"/>
  <c r="H99" i="2"/>
  <c r="G99" i="2"/>
  <c r="F99" i="2"/>
  <c r="D99" i="2"/>
  <c r="C99" i="2"/>
  <c r="E99" i="2"/>
  <c r="H84" i="2"/>
  <c r="G84" i="2"/>
  <c r="F84" i="2"/>
  <c r="C84" i="2"/>
  <c r="H83" i="2"/>
  <c r="G83" i="2"/>
  <c r="F83" i="2"/>
  <c r="C83" i="2"/>
  <c r="H82" i="2"/>
  <c r="G82" i="2"/>
  <c r="F82" i="2"/>
  <c r="C82" i="2"/>
  <c r="H81" i="2"/>
  <c r="G81" i="2"/>
  <c r="F81" i="2"/>
  <c r="C81" i="2"/>
  <c r="E84" i="2"/>
  <c r="E83" i="2"/>
  <c r="E82" i="2"/>
  <c r="E81" i="2"/>
  <c r="H80" i="2"/>
  <c r="G80" i="2"/>
  <c r="F80" i="2"/>
  <c r="C80" i="2"/>
  <c r="E80" i="2"/>
  <c r="H77" i="2"/>
  <c r="G77" i="2"/>
  <c r="E77" i="2"/>
  <c r="H76" i="2"/>
  <c r="G76" i="2"/>
  <c r="E76" i="2"/>
  <c r="H75" i="2"/>
  <c r="G75" i="2"/>
  <c r="E75" i="2"/>
  <c r="H74" i="2"/>
  <c r="G74" i="2"/>
  <c r="E74" i="2"/>
  <c r="H73" i="2"/>
  <c r="G73" i="2"/>
  <c r="E73" i="2"/>
  <c r="D65" i="2"/>
  <c r="D63" i="2"/>
  <c r="D62" i="2"/>
  <c r="D61" i="2"/>
  <c r="D59" i="2"/>
  <c r="D57" i="2"/>
  <c r="D54" i="2"/>
  <c r="D53" i="2"/>
  <c r="D52" i="2"/>
  <c r="D51" i="2"/>
  <c r="D50" i="2"/>
  <c r="D48" i="2"/>
  <c r="D47" i="2"/>
  <c r="D45" i="2"/>
  <c r="H49" i="2"/>
  <c r="G49" i="2"/>
  <c r="F49" i="2"/>
  <c r="E49" i="2"/>
  <c r="C49" i="2"/>
  <c r="D43" i="2"/>
  <c r="D42" i="2"/>
  <c r="F77" i="2" s="1"/>
  <c r="D41" i="2"/>
  <c r="D40" i="2"/>
  <c r="D39" i="2"/>
  <c r="D38" i="2"/>
  <c r="H56" i="2"/>
  <c r="H58" i="2" s="1"/>
  <c r="H60" i="2" s="1"/>
  <c r="H64" i="2" s="1"/>
  <c r="H66" i="2" s="1"/>
  <c r="G56" i="2"/>
  <c r="G58" i="2" s="1"/>
  <c r="G60" i="2" s="1"/>
  <c r="G64" i="2" s="1"/>
  <c r="G66" i="2" s="1"/>
  <c r="F56" i="2"/>
  <c r="F58" i="2" s="1"/>
  <c r="F60" i="2" s="1"/>
  <c r="F64" i="2" s="1"/>
  <c r="F66" i="2" s="1"/>
  <c r="C56" i="2"/>
  <c r="C58" i="2" s="1"/>
  <c r="C60" i="2" s="1"/>
  <c r="C64" i="2" s="1"/>
  <c r="C66" i="2" s="1"/>
  <c r="C69" i="2" s="1"/>
  <c r="E56" i="2"/>
  <c r="E58" i="2" s="1"/>
  <c r="E60" i="2" s="1"/>
  <c r="E64" i="2" s="1"/>
  <c r="E66" i="2" s="1"/>
  <c r="E69" i="2" s="1"/>
  <c r="H44" i="2"/>
  <c r="H46" i="2" s="1"/>
  <c r="H79" i="2" s="1"/>
  <c r="G44" i="2"/>
  <c r="G46" i="2" s="1"/>
  <c r="G79" i="2" s="1"/>
  <c r="F44" i="2"/>
  <c r="F46" i="2" s="1"/>
  <c r="F79" i="2" s="1"/>
  <c r="E44" i="2"/>
  <c r="C44" i="2"/>
  <c r="F20" i="8"/>
  <c r="F8" i="8"/>
  <c r="F22" i="8" s="1"/>
  <c r="E2" i="7"/>
  <c r="F2" i="7" s="1"/>
  <c r="G2" i="7" s="1"/>
  <c r="H2" i="7" s="1"/>
  <c r="I2" i="7" s="1"/>
  <c r="J2" i="7" s="1"/>
  <c r="K2" i="7" s="1"/>
  <c r="M53" i="5"/>
  <c r="N53" i="5" s="1"/>
  <c r="O53" i="5" s="1"/>
  <c r="P53" i="5" s="1"/>
  <c r="Q53" i="5" s="1"/>
  <c r="R53" i="5" s="1"/>
  <c r="S53" i="5" s="1"/>
  <c r="T53" i="5" s="1"/>
  <c r="U53" i="5" s="1"/>
  <c r="V53" i="5" s="1"/>
  <c r="V32" i="5" a="1"/>
  <c r="V32" i="5" s="1"/>
  <c r="U32" i="5" a="1"/>
  <c r="U32" i="5" s="1"/>
  <c r="T32" i="5" a="1"/>
  <c r="T32" i="5" s="1"/>
  <c r="S32" i="5" a="1"/>
  <c r="S32" i="5" s="1"/>
  <c r="R32" i="5" a="1"/>
  <c r="R32" i="5" s="1"/>
  <c r="Q32" i="5" a="1"/>
  <c r="Q32" i="5" s="1"/>
  <c r="P32" i="5" a="1"/>
  <c r="P32" i="5" s="1"/>
  <c r="O32" i="5" a="1"/>
  <c r="O32" i="5" s="1"/>
  <c r="N32" i="5" a="1"/>
  <c r="N32" i="5" s="1"/>
  <c r="M32" i="5" a="1"/>
  <c r="M32" i="5" s="1"/>
  <c r="V26" i="5" a="1"/>
  <c r="V26" i="5" s="1"/>
  <c r="U26" i="5" a="1"/>
  <c r="U26" i="5" s="1"/>
  <c r="T26" i="5" a="1"/>
  <c r="T26" i="5" s="1"/>
  <c r="S26" i="5" a="1"/>
  <c r="S26" i="5" s="1"/>
  <c r="R26" i="5" a="1"/>
  <c r="R26" i="5" s="1"/>
  <c r="Q26" i="5" a="1"/>
  <c r="Q26" i="5" s="1"/>
  <c r="P26" i="5" a="1"/>
  <c r="P26" i="5" s="1"/>
  <c r="O26" i="5" a="1"/>
  <c r="O26" i="5" s="1"/>
  <c r="N26" i="5" a="1"/>
  <c r="N26" i="5" s="1"/>
  <c r="M26" i="5" a="1"/>
  <c r="M26" i="5" s="1"/>
  <c r="H24" i="5"/>
  <c r="I24" i="5" s="1"/>
  <c r="J24" i="5" s="1"/>
  <c r="K24" i="5" s="1"/>
  <c r="L24" i="5" s="1"/>
  <c r="M24" i="5" s="1"/>
  <c r="N24" i="5" s="1"/>
  <c r="O24" i="5" s="1"/>
  <c r="P24" i="5" s="1"/>
  <c r="Q24" i="5" s="1"/>
  <c r="R24" i="5" s="1"/>
  <c r="S24" i="5" s="1"/>
  <c r="T24" i="5" s="1"/>
  <c r="U24" i="5" s="1"/>
  <c r="V24" i="5" s="1"/>
  <c r="E20" i="5"/>
  <c r="E19" i="5"/>
  <c r="E18" i="5"/>
  <c r="J7" i="7" l="1"/>
  <c r="N7" i="7" s="1"/>
  <c r="J36" i="7"/>
  <c r="J38" i="7"/>
  <c r="N6" i="7"/>
  <c r="E30" i="7"/>
  <c r="F30" i="7"/>
  <c r="F73" i="2"/>
  <c r="D30" i="2"/>
  <c r="I38" i="5"/>
  <c r="H60" i="7"/>
  <c r="H59" i="7"/>
  <c r="H58" i="7"/>
  <c r="F76" i="2"/>
  <c r="D36" i="2"/>
  <c r="E59" i="7"/>
  <c r="E58" i="7"/>
  <c r="E60" i="7"/>
  <c r="F59" i="7"/>
  <c r="F58" i="7"/>
  <c r="F60" i="7"/>
  <c r="G60" i="7"/>
  <c r="G59" i="7"/>
  <c r="G58" i="7"/>
  <c r="D59" i="7"/>
  <c r="D58" i="7"/>
  <c r="D60" i="7"/>
  <c r="C27" i="2"/>
  <c r="D27" i="2" s="1"/>
  <c r="C26" i="2"/>
  <c r="I60" i="7"/>
  <c r="F74" i="2"/>
  <c r="D32" i="2"/>
  <c r="D30" i="7"/>
  <c r="G30" i="7"/>
  <c r="C17" i="7"/>
  <c r="F75" i="2"/>
  <c r="D34" i="2"/>
  <c r="J38" i="5"/>
  <c r="K38" i="5"/>
  <c r="D49" i="2"/>
  <c r="E27" i="2"/>
  <c r="E26" i="2"/>
  <c r="E18" i="2" s="1"/>
  <c r="K40" i="5"/>
  <c r="K51" i="5" s="1"/>
  <c r="E161" i="2"/>
  <c r="E163" i="2" s="1"/>
  <c r="J40" i="5"/>
  <c r="J51" i="5" s="1"/>
  <c r="D84" i="2"/>
  <c r="E46" i="2"/>
  <c r="E79" i="2" s="1"/>
  <c r="C46" i="2"/>
  <c r="C79" i="2" s="1"/>
  <c r="D82" i="2"/>
  <c r="H38" i="5"/>
  <c r="I40" i="5"/>
  <c r="I51" i="5" s="1"/>
  <c r="G38" i="5"/>
  <c r="H40" i="5"/>
  <c r="H51" i="5" s="1"/>
  <c r="G40" i="5"/>
  <c r="G51" i="5" s="1"/>
  <c r="D83" i="2"/>
  <c r="C85" i="2"/>
  <c r="H78" i="2"/>
  <c r="D80" i="2"/>
  <c r="C86" i="2"/>
  <c r="H85" i="2"/>
  <c r="E86" i="2"/>
  <c r="D81" i="2"/>
  <c r="F85" i="2"/>
  <c r="F86" i="2"/>
  <c r="G86" i="2"/>
  <c r="G85" i="2"/>
  <c r="H86" i="2"/>
  <c r="E85" i="2"/>
  <c r="G78" i="2"/>
  <c r="E78" i="2"/>
  <c r="D44" i="2"/>
  <c r="D46" i="2" s="1"/>
  <c r="D79" i="2" s="1"/>
  <c r="O7" i="7" l="1"/>
  <c r="J61" i="7"/>
  <c r="J60" i="7"/>
  <c r="J59" i="7"/>
  <c r="J58" i="7"/>
  <c r="C18" i="2"/>
  <c r="D26" i="2"/>
  <c r="D18" i="2" s="1"/>
  <c r="F78" i="2"/>
  <c r="G24" i="3" l="1"/>
  <c r="F24" i="3"/>
  <c r="D24" i="3"/>
  <c r="C24" i="3"/>
  <c r="N24" i="3" s="1"/>
  <c r="N22" i="3"/>
  <c r="M22" i="3"/>
  <c r="L22" i="3"/>
  <c r="K22" i="3"/>
  <c r="I22" i="3"/>
  <c r="H22" i="3"/>
  <c r="E22" i="3"/>
  <c r="C22" i="3"/>
  <c r="N21" i="3"/>
  <c r="M21" i="3"/>
  <c r="L21" i="3"/>
  <c r="K21" i="3"/>
  <c r="I21" i="3"/>
  <c r="H21" i="3"/>
  <c r="E21" i="3"/>
  <c r="C21" i="3"/>
  <c r="J20" i="3"/>
  <c r="G20" i="3"/>
  <c r="O20" i="3" s="1"/>
  <c r="G19" i="3"/>
  <c r="O19" i="3" s="1"/>
  <c r="F18" i="3"/>
  <c r="G18" i="3" s="1"/>
  <c r="O18" i="3" s="1"/>
  <c r="F17" i="3"/>
  <c r="G17" i="3" s="1"/>
  <c r="O17" i="3" s="1"/>
  <c r="F15" i="3"/>
  <c r="G15" i="3" s="1"/>
  <c r="O15" i="3" s="1"/>
  <c r="G14" i="3"/>
  <c r="O14" i="3" s="1"/>
  <c r="F13" i="3"/>
  <c r="J12" i="3"/>
  <c r="G12" i="3"/>
  <c r="O12" i="3" s="1"/>
  <c r="J11" i="3"/>
  <c r="G11" i="3"/>
  <c r="O11" i="3" s="1"/>
  <c r="D10" i="3"/>
  <c r="D21" i="3" s="1"/>
  <c r="F9" i="3"/>
  <c r="O8" i="3"/>
  <c r="J8" i="3"/>
  <c r="G7" i="3"/>
  <c r="O6" i="3"/>
  <c r="O24" i="3" l="1"/>
  <c r="J21" i="3"/>
  <c r="F22" i="3"/>
  <c r="F21" i="3"/>
  <c r="J24" i="3"/>
  <c r="J22" i="3"/>
  <c r="K24" i="3"/>
  <c r="L24" i="3" s="1"/>
  <c r="M24" i="3"/>
  <c r="G13" i="3"/>
  <c r="O13" i="3" s="1"/>
  <c r="D22" i="3"/>
  <c r="O10" i="3"/>
  <c r="O7" i="3"/>
  <c r="G9" i="3"/>
  <c r="O9" i="3" s="1"/>
  <c r="O21" i="3" l="1"/>
  <c r="G22" i="3"/>
  <c r="O22" i="3"/>
  <c r="G21" i="3"/>
  <c r="H4" i="1" l="1"/>
  <c r="F35" i="8" s="1"/>
  <c r="F37" i="8" s="1"/>
  <c r="F41" i="8" s="1"/>
  <c r="P162" i="2"/>
  <c r="P150" i="2"/>
  <c r="P146" i="2"/>
  <c r="P144" i="2"/>
  <c r="P129" i="2"/>
  <c r="P120" i="2"/>
  <c r="P112" i="2"/>
  <c r="P106" i="2"/>
  <c r="P99" i="2"/>
  <c r="I10" i="7" s="1"/>
  <c r="O66" i="2"/>
  <c r="P49" i="2"/>
  <c r="P44" i="2"/>
  <c r="N86" i="2"/>
  <c r="G14" i="7" s="1"/>
  <c r="M86" i="2"/>
  <c r="F14" i="7" s="1"/>
  <c r="L86" i="2"/>
  <c r="E14" i="7" s="1"/>
  <c r="K86" i="2"/>
  <c r="D14" i="7" s="1"/>
  <c r="O86" i="2"/>
  <c r="H14" i="7" s="1"/>
  <c r="P84" i="2"/>
  <c r="P83" i="2"/>
  <c r="P82" i="2"/>
  <c r="P81" i="2"/>
  <c r="P80" i="2"/>
  <c r="N84" i="2"/>
  <c r="M84" i="2"/>
  <c r="L84" i="2"/>
  <c r="K84" i="2"/>
  <c r="N83" i="2"/>
  <c r="M83" i="2"/>
  <c r="L83" i="2"/>
  <c r="K83" i="2"/>
  <c r="N82" i="2"/>
  <c r="M82" i="2"/>
  <c r="L82" i="2"/>
  <c r="K82" i="2"/>
  <c r="N81" i="2"/>
  <c r="M81" i="2"/>
  <c r="L81" i="2"/>
  <c r="K81" i="2"/>
  <c r="N80" i="2"/>
  <c r="M80" i="2"/>
  <c r="L80" i="2"/>
  <c r="K80" i="2"/>
  <c r="O84" i="2"/>
  <c r="O83" i="2"/>
  <c r="O82" i="2"/>
  <c r="O81" i="2"/>
  <c r="O80" i="2"/>
  <c r="P77" i="2"/>
  <c r="P76" i="2"/>
  <c r="P75" i="2"/>
  <c r="P74" i="2"/>
  <c r="P73" i="2"/>
  <c r="O77" i="2"/>
  <c r="N77" i="2"/>
  <c r="M77" i="2"/>
  <c r="L77" i="2"/>
  <c r="K77" i="2"/>
  <c r="O76" i="2"/>
  <c r="N76" i="2"/>
  <c r="M76" i="2"/>
  <c r="L76" i="2"/>
  <c r="K76" i="2"/>
  <c r="O75" i="2"/>
  <c r="N75" i="2"/>
  <c r="M75" i="2"/>
  <c r="L75" i="2"/>
  <c r="K75" i="2"/>
  <c r="O74" i="2"/>
  <c r="N74" i="2"/>
  <c r="M74" i="2"/>
  <c r="L74" i="2"/>
  <c r="K74" i="2"/>
  <c r="N73" i="2"/>
  <c r="M73" i="2"/>
  <c r="L73" i="2"/>
  <c r="K73" i="2"/>
  <c r="O73" i="2"/>
  <c r="N49" i="2"/>
  <c r="M49" i="2"/>
  <c r="L49" i="2"/>
  <c r="K49" i="2"/>
  <c r="J49" i="2"/>
  <c r="O49" i="2"/>
  <c r="O44" i="2"/>
  <c r="O9" i="2" s="1"/>
  <c r="O10" i="2" s="1"/>
  <c r="N44" i="2"/>
  <c r="N9" i="2" s="1"/>
  <c r="N10" i="2" s="1"/>
  <c r="M44" i="2"/>
  <c r="M9" i="2" s="1"/>
  <c r="M10" i="2" s="1"/>
  <c r="L44" i="2"/>
  <c r="L9" i="2" s="1"/>
  <c r="L10" i="2" s="1"/>
  <c r="K44" i="2"/>
  <c r="K9" i="2" s="1"/>
  <c r="K10" i="2" s="1"/>
  <c r="J46" i="2"/>
  <c r="J79" i="2" s="1"/>
  <c r="P9" i="2" l="1"/>
  <c r="P10" i="2" s="1"/>
  <c r="E42" i="7"/>
  <c r="E21" i="7"/>
  <c r="E43" i="7"/>
  <c r="L26" i="2"/>
  <c r="L18" i="2" s="1"/>
  <c r="L27" i="2"/>
  <c r="E56" i="7"/>
  <c r="E61" i="7"/>
  <c r="I35" i="7"/>
  <c r="I54" i="7"/>
  <c r="I53" i="7"/>
  <c r="I36" i="7"/>
  <c r="F21" i="7"/>
  <c r="F42" i="7"/>
  <c r="F43" i="7"/>
  <c r="F56" i="7"/>
  <c r="F61" i="7"/>
  <c r="G21" i="7"/>
  <c r="G43" i="7"/>
  <c r="G42" i="7"/>
  <c r="G56" i="7"/>
  <c r="G61" i="7"/>
  <c r="I42" i="7"/>
  <c r="I43" i="7"/>
  <c r="I56" i="7"/>
  <c r="I61" i="7"/>
  <c r="H24" i="7"/>
  <c r="H25" i="7"/>
  <c r="H29" i="7"/>
  <c r="H17" i="7"/>
  <c r="H16" i="7"/>
  <c r="O10" i="7"/>
  <c r="N10" i="7"/>
  <c r="E29" i="7"/>
  <c r="E24" i="7"/>
  <c r="E25" i="7"/>
  <c r="E16" i="7"/>
  <c r="E17" i="7"/>
  <c r="F29" i="7"/>
  <c r="F25" i="7"/>
  <c r="F16" i="7"/>
  <c r="F24" i="7"/>
  <c r="F17" i="7"/>
  <c r="G24" i="7"/>
  <c r="G29" i="7"/>
  <c r="G25" i="7"/>
  <c r="G16" i="7"/>
  <c r="G17" i="7"/>
  <c r="K25" i="5"/>
  <c r="K49" i="5" s="1"/>
  <c r="H43" i="7"/>
  <c r="H21" i="7"/>
  <c r="H42" i="7"/>
  <c r="H56" i="7"/>
  <c r="H61" i="7"/>
  <c r="L45" i="5"/>
  <c r="O68" i="2"/>
  <c r="D68" i="2" s="1"/>
  <c r="H28" i="7"/>
  <c r="H22" i="7"/>
  <c r="H51" i="7"/>
  <c r="H52" i="7" s="1"/>
  <c r="P158" i="2"/>
  <c r="D42" i="7"/>
  <c r="D21" i="7"/>
  <c r="D43" i="7"/>
  <c r="K27" i="2"/>
  <c r="K26" i="2"/>
  <c r="K18" i="2" s="1"/>
  <c r="D56" i="7"/>
  <c r="D61" i="7"/>
  <c r="D25" i="7"/>
  <c r="D24" i="7"/>
  <c r="D29" i="7"/>
  <c r="D16" i="7"/>
  <c r="D17" i="7"/>
  <c r="J25" i="5"/>
  <c r="K46" i="2"/>
  <c r="K79" i="2" s="1"/>
  <c r="G25" i="5"/>
  <c r="I25" i="5"/>
  <c r="P46" i="2"/>
  <c r="P79" i="2" s="1"/>
  <c r="L25" i="5"/>
  <c r="H25" i="5"/>
  <c r="P148" i="2"/>
  <c r="I21" i="7"/>
  <c r="I44" i="7"/>
  <c r="L46" i="2"/>
  <c r="L79" i="2" s="1"/>
  <c r="H7" i="1"/>
  <c r="O78" i="2"/>
  <c r="P78" i="2"/>
  <c r="O85" i="2"/>
  <c r="M46" i="2"/>
  <c r="M79" i="2" s="1"/>
  <c r="N46" i="2"/>
  <c r="N79" i="2" s="1"/>
  <c r="K85" i="2"/>
  <c r="L85" i="2"/>
  <c r="K78" i="2"/>
  <c r="M85" i="2"/>
  <c r="L78" i="2"/>
  <c r="N85" i="2"/>
  <c r="O46" i="2"/>
  <c r="O79" i="2" s="1"/>
  <c r="M78" i="2"/>
  <c r="N78" i="2"/>
  <c r="K26" i="5" l="1"/>
  <c r="K43" i="5"/>
  <c r="P161" i="2"/>
  <c r="P163" i="2" s="1"/>
  <c r="K46" i="5"/>
  <c r="K32" i="5"/>
  <c r="H47" i="7"/>
  <c r="E31" i="7"/>
  <c r="G47" i="7"/>
  <c r="N21" i="7"/>
  <c r="O35" i="7"/>
  <c r="N35" i="7"/>
  <c r="F47" i="7"/>
  <c r="N36" i="7"/>
  <c r="O36" i="7"/>
  <c r="N44" i="7"/>
  <c r="O44" i="7"/>
  <c r="H30" i="7"/>
  <c r="E32" i="7"/>
  <c r="D31" i="7"/>
  <c r="D32" i="7"/>
  <c r="D47" i="7"/>
  <c r="O42" i="7"/>
  <c r="N42" i="7"/>
  <c r="F32" i="7"/>
  <c r="F31" i="7"/>
  <c r="I47" i="7"/>
  <c r="G31" i="7"/>
  <c r="G32" i="7"/>
  <c r="H31" i="7"/>
  <c r="H32" i="7"/>
  <c r="O43" i="7"/>
  <c r="N43" i="7"/>
  <c r="O21" i="7"/>
  <c r="E47" i="7"/>
  <c r="P56" i="2"/>
  <c r="P85" i="2" s="1"/>
  <c r="H26" i="5"/>
  <c r="G46" i="5"/>
  <c r="G49" i="5"/>
  <c r="G32" i="5"/>
  <c r="G43" i="5"/>
  <c r="H43" i="5"/>
  <c r="H49" i="5"/>
  <c r="H32" i="5"/>
  <c r="H46" i="5"/>
  <c r="L46" i="5"/>
  <c r="L26" i="5"/>
  <c r="L49" i="5"/>
  <c r="M25" i="5"/>
  <c r="L43" i="5"/>
  <c r="I43" i="5"/>
  <c r="I49" i="5"/>
  <c r="I32" i="5"/>
  <c r="I46" i="5"/>
  <c r="I26" i="5"/>
  <c r="J46" i="5"/>
  <c r="J49" i="5"/>
  <c r="J43" i="5"/>
  <c r="J26" i="5"/>
  <c r="J32" i="5"/>
  <c r="P58" i="2" l="1"/>
  <c r="P60" i="2" s="1"/>
  <c r="P64" i="2" s="1"/>
  <c r="P66" i="2" s="1"/>
  <c r="P55" i="2"/>
  <c r="D55" i="2" s="1"/>
  <c r="D56" i="2" s="1"/>
  <c r="L31" i="5"/>
  <c r="L32" i="5" s="1"/>
  <c r="N47" i="7"/>
  <c r="O47" i="7"/>
  <c r="N25" i="5"/>
  <c r="M31" i="5"/>
  <c r="M37" i="5" s="1"/>
  <c r="M40" i="5" s="1"/>
  <c r="M42" i="5"/>
  <c r="M48" i="5"/>
  <c r="M45" i="5"/>
  <c r="I58" i="7" l="1"/>
  <c r="L40" i="5"/>
  <c r="L51" i="5" s="1"/>
  <c r="I59" i="7"/>
  <c r="I23" i="7"/>
  <c r="O23" i="7" s="1"/>
  <c r="I38" i="7"/>
  <c r="O38" i="7" s="1"/>
  <c r="I37" i="7"/>
  <c r="O37" i="7" s="1"/>
  <c r="L38" i="5"/>
  <c r="N38" i="7"/>
  <c r="P68" i="2"/>
  <c r="I22" i="7"/>
  <c r="I51" i="7"/>
  <c r="I52" i="7" s="1"/>
  <c r="I28" i="7"/>
  <c r="P86" i="2"/>
  <c r="I14" i="7" s="1"/>
  <c r="M51" i="5"/>
  <c r="M52" i="5" s="1"/>
  <c r="N31" i="5"/>
  <c r="N37" i="5" s="1"/>
  <c r="N40" i="5" s="1"/>
  <c r="N45" i="5"/>
  <c r="N48" i="5"/>
  <c r="N42" i="5"/>
  <c r="O25" i="5"/>
  <c r="D58" i="2"/>
  <c r="D60" i="2" s="1"/>
  <c r="D85" i="2"/>
  <c r="N23" i="7" l="1"/>
  <c r="N37" i="7"/>
  <c r="I25" i="7"/>
  <c r="I24" i="7"/>
  <c r="I16" i="7"/>
  <c r="I17" i="7"/>
  <c r="N14" i="7"/>
  <c r="I29" i="7"/>
  <c r="O14" i="7"/>
  <c r="I30" i="7"/>
  <c r="O28" i="7"/>
  <c r="N28" i="7"/>
  <c r="N22" i="7"/>
  <c r="O22" i="7"/>
  <c r="P25" i="5"/>
  <c r="O45" i="5"/>
  <c r="O48" i="5"/>
  <c r="O42" i="5"/>
  <c r="O31" i="5"/>
  <c r="O37" i="5" s="1"/>
  <c r="O40" i="5" s="1"/>
  <c r="N51" i="5"/>
  <c r="N52" i="5" s="1"/>
  <c r="D64" i="2"/>
  <c r="D66" i="2" s="1"/>
  <c r="D86" i="2"/>
  <c r="I32" i="7" l="1"/>
  <c r="I31" i="7"/>
  <c r="O29" i="7"/>
  <c r="N29" i="7"/>
  <c r="N17" i="7"/>
  <c r="O17" i="7"/>
  <c r="N16" i="7"/>
  <c r="O16" i="7"/>
  <c r="O24" i="7"/>
  <c r="N24" i="7"/>
  <c r="N25" i="7"/>
  <c r="O25" i="7"/>
  <c r="N30" i="7"/>
  <c r="O30" i="7"/>
  <c r="O51" i="5"/>
  <c r="O52" i="5" s="1"/>
  <c r="Q25" i="5"/>
  <c r="P45" i="5"/>
  <c r="P48" i="5"/>
  <c r="P42" i="5"/>
  <c r="P31" i="5"/>
  <c r="P37" i="5" s="1"/>
  <c r="P40" i="5" s="1"/>
  <c r="O31" i="7" l="1"/>
  <c r="N31" i="7"/>
  <c r="N32" i="7"/>
  <c r="O32" i="7"/>
  <c r="P51" i="5"/>
  <c r="P52" i="5" s="1"/>
  <c r="R25" i="5"/>
  <c r="Q48" i="5"/>
  <c r="Q45" i="5"/>
  <c r="Q42" i="5"/>
  <c r="Q31" i="5"/>
  <c r="Q37" i="5" s="1"/>
  <c r="Q40" i="5" s="1"/>
  <c r="Q51" i="5" l="1"/>
  <c r="Q52" i="5" s="1"/>
  <c r="S25" i="5"/>
  <c r="R48" i="5"/>
  <c r="R45" i="5"/>
  <c r="R42" i="5"/>
  <c r="R31" i="5"/>
  <c r="R37" i="5" s="1"/>
  <c r="R40" i="5" s="1"/>
  <c r="R51" i="5" l="1"/>
  <c r="R52" i="5" s="1"/>
  <c r="S45" i="5"/>
  <c r="S42" i="5"/>
  <c r="S31" i="5"/>
  <c r="S37" i="5" s="1"/>
  <c r="S40" i="5" s="1"/>
  <c r="T25" i="5"/>
  <c r="S48" i="5"/>
  <c r="U25" i="5" l="1"/>
  <c r="T48" i="5"/>
  <c r="T45" i="5"/>
  <c r="T31" i="5"/>
  <c r="T37" i="5" s="1"/>
  <c r="T40" i="5" s="1"/>
  <c r="T42" i="5"/>
  <c r="S51" i="5"/>
  <c r="S52" i="5" s="1"/>
  <c r="T51" i="5" l="1"/>
  <c r="T52" i="5" s="1"/>
  <c r="U48" i="5"/>
  <c r="U45" i="5"/>
  <c r="V25" i="5"/>
  <c r="U42" i="5"/>
  <c r="U31" i="5"/>
  <c r="U37" i="5" s="1"/>
  <c r="U40" i="5" s="1"/>
  <c r="U51" i="5" l="1"/>
  <c r="U52" i="5" s="1"/>
  <c r="V45" i="5"/>
  <c r="V42" i="5"/>
  <c r="V31" i="5"/>
  <c r="V37" i="5" s="1"/>
  <c r="V40" i="5" s="1"/>
  <c r="V48" i="5"/>
  <c r="V51" i="5" l="1"/>
  <c r="V52" i="5" s="1"/>
  <c r="V54" i="5" s="1"/>
  <c r="V55" i="5"/>
  <c r="V56" i="5" s="1"/>
  <c r="V57" i="5" l="1"/>
  <c r="V60" i="5" s="1"/>
  <c r="V62" i="5" s="1"/>
  <c r="J4" i="5" l="1"/>
  <c r="J5" i="5" s="1"/>
  <c r="C69" i="5"/>
  <c r="Q44" i="2"/>
  <c r="Q46" i="2" s="1"/>
  <c r="Q56" i="2" s="1"/>
  <c r="Q58" i="2" s="1"/>
  <c r="Q60" i="2" s="1"/>
  <c r="Q86" i="2" l="1"/>
  <c r="Q64" i="2"/>
  <c r="Q66" i="2" s="1"/>
  <c r="Q78" i="2"/>
  <c r="Q9" i="2"/>
  <c r="Q10" i="2" s="1"/>
  <c r="Q21" i="2"/>
  <c r="Q18" i="2"/>
  <c r="Q85" i="2"/>
  <c r="R78" i="2"/>
  <c r="Q79" i="2"/>
  <c r="Q27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Oscar Settje</author>
  </authors>
  <commentList>
    <comment ref="J44" authorId="0" shapeId="0" xr:uid="{15E1B754-A810-4E26-8F4A-D1C5B14C523B}">
      <text>
        <r>
          <rPr>
            <b/>
            <sz val="9"/>
            <color indexed="81"/>
            <rFont val="Tahoma"/>
            <family val="2"/>
          </rPr>
          <t>Oscar Settje:</t>
        </r>
        <r>
          <rPr>
            <sz val="9"/>
            <color indexed="81"/>
            <rFont val="Tahoma"/>
            <family val="2"/>
          </rPr>
          <t xml:space="preserve">
New Accounting Standart
Restated Rev: 10.816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Oscar Settje</author>
  </authors>
  <commentList>
    <comment ref="K8" authorId="0" shapeId="0" xr:uid="{4FACF708-819B-4637-A261-38FE60F4918A}">
      <text>
        <r>
          <rPr>
            <b/>
            <sz val="9"/>
            <color indexed="81"/>
            <rFont val="Segoe UI"/>
            <family val="2"/>
          </rPr>
          <t>Oscar Settje:</t>
        </r>
        <r>
          <rPr>
            <sz val="9"/>
            <color indexed="81"/>
            <rFont val="Segoe UI"/>
            <family val="2"/>
          </rPr>
          <t xml:space="preserve">
Aus Mittelwert ausgenommen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<sst xmlns="http://schemas.openxmlformats.org/spreadsheetml/2006/main" count="676" uniqueCount="525">
  <si>
    <t>Kering</t>
  </si>
  <si>
    <t>Investors</t>
  </si>
  <si>
    <t>Capital Structure</t>
  </si>
  <si>
    <t>Price</t>
  </si>
  <si>
    <t>Shares out.</t>
  </si>
  <si>
    <t>MC</t>
  </si>
  <si>
    <t>Cash</t>
  </si>
  <si>
    <t>Debt</t>
  </si>
  <si>
    <t>EV</t>
  </si>
  <si>
    <t xml:space="preserve">Brands </t>
  </si>
  <si>
    <t xml:space="preserve">Products </t>
  </si>
  <si>
    <t>Gucci</t>
  </si>
  <si>
    <t xml:space="preserve">Yves Saint Laurent </t>
  </si>
  <si>
    <t xml:space="preserve">Bottega Veneta </t>
  </si>
  <si>
    <t>Kering Eyewear and Corporate</t>
  </si>
  <si>
    <t>Eyeware</t>
  </si>
  <si>
    <t>Other Houeses:</t>
  </si>
  <si>
    <t xml:space="preserve">Balenciaga </t>
  </si>
  <si>
    <t>Alexander Mcqueen</t>
  </si>
  <si>
    <t>Brioni</t>
  </si>
  <si>
    <t>Boucheron</t>
  </si>
  <si>
    <t>Pomellato</t>
  </si>
  <si>
    <t>Dodo</t>
  </si>
  <si>
    <t>Qeelin</t>
  </si>
  <si>
    <t>Competitors</t>
  </si>
  <si>
    <t>Leather Goods, Shoes, Appereal</t>
  </si>
  <si>
    <t>Appereal and other</t>
  </si>
  <si>
    <t>Fregrance and Jewelery</t>
  </si>
  <si>
    <t>Jewelery</t>
  </si>
  <si>
    <t>Main</t>
  </si>
  <si>
    <t>Revenue</t>
  </si>
  <si>
    <t>Bottega Veneta</t>
  </si>
  <si>
    <t>Other Houeses</t>
  </si>
  <si>
    <t xml:space="preserve">Elminations </t>
  </si>
  <si>
    <t xml:space="preserve">Total Revenue </t>
  </si>
  <si>
    <t>FY17</t>
  </si>
  <si>
    <t>FY18</t>
  </si>
  <si>
    <t>FY19</t>
  </si>
  <si>
    <t>FY20</t>
  </si>
  <si>
    <t>FY21</t>
  </si>
  <si>
    <t>FY22</t>
  </si>
  <si>
    <t>FY23</t>
  </si>
  <si>
    <t>FY24</t>
  </si>
  <si>
    <t xml:space="preserve">COGS </t>
  </si>
  <si>
    <t>Gross Profit</t>
  </si>
  <si>
    <t>Total Recuring Operating Income</t>
  </si>
  <si>
    <t xml:space="preserve">Operating Income </t>
  </si>
  <si>
    <t xml:space="preserve">Financial Result </t>
  </si>
  <si>
    <t>Pre Tax Income</t>
  </si>
  <si>
    <t xml:space="preserve">Income Tax Expenses </t>
  </si>
  <si>
    <t>Shares</t>
  </si>
  <si>
    <t>EPS</t>
  </si>
  <si>
    <t>x</t>
  </si>
  <si>
    <t>Q224</t>
  </si>
  <si>
    <t>Total Growth</t>
  </si>
  <si>
    <t>Gross Margin</t>
  </si>
  <si>
    <t>Total Operating Margin</t>
  </si>
  <si>
    <t>Tax Rate</t>
  </si>
  <si>
    <t>Balance Sheet</t>
  </si>
  <si>
    <t>Goodwill</t>
  </si>
  <si>
    <t>Lease right-of-use assets</t>
  </si>
  <si>
    <t xml:space="preserve">Property, Plant and Equipment </t>
  </si>
  <si>
    <t>Non-current financial assets</t>
  </si>
  <si>
    <t>Deferred tax assets</t>
  </si>
  <si>
    <t xml:space="preserve">Other non-current assets </t>
  </si>
  <si>
    <t xml:space="preserve">Total non-current assets </t>
  </si>
  <si>
    <t xml:space="preserve">Inventories </t>
  </si>
  <si>
    <t xml:space="preserve">Current tax recivables </t>
  </si>
  <si>
    <t>Current financial assets</t>
  </si>
  <si>
    <t>Other current assets</t>
  </si>
  <si>
    <t xml:space="preserve">Cash and cash equivalents </t>
  </si>
  <si>
    <t xml:space="preserve">Total current assets </t>
  </si>
  <si>
    <t>Total Equity</t>
  </si>
  <si>
    <t>Non-current borrowings</t>
  </si>
  <si>
    <t>Non-current lease-liabilties</t>
  </si>
  <si>
    <t xml:space="preserve">Non-current financial liabilties </t>
  </si>
  <si>
    <t>Non-current provisions</t>
  </si>
  <si>
    <t>Deferred tax liabilities</t>
  </si>
  <si>
    <t>Other non-current liabilities</t>
  </si>
  <si>
    <t>Non-current liabilties</t>
  </si>
  <si>
    <t>Current borrowings</t>
  </si>
  <si>
    <t>Current lease liabilities</t>
  </si>
  <si>
    <t>Current financial liabilities</t>
  </si>
  <si>
    <t xml:space="preserve">Current provisions </t>
  </si>
  <si>
    <t xml:space="preserve">Current tax liabilities </t>
  </si>
  <si>
    <t xml:space="preserve">Other current liabilities </t>
  </si>
  <si>
    <t>Total current liabilities</t>
  </si>
  <si>
    <t>Total Equity and Liabilties</t>
  </si>
  <si>
    <t>Total Assets</t>
  </si>
  <si>
    <t>Cash Flow Statement</t>
  </si>
  <si>
    <t xml:space="preserve">Net Income from cont. Operations </t>
  </si>
  <si>
    <t>Depreciation &amp; Amortization</t>
  </si>
  <si>
    <t xml:space="preserve">Other non-cash (Income) expenses </t>
  </si>
  <si>
    <t xml:space="preserve">Interest paid </t>
  </si>
  <si>
    <t xml:space="preserve">Dividends received </t>
  </si>
  <si>
    <t xml:space="preserve">Current tax expenses </t>
  </si>
  <si>
    <t>Change in working capital requirements</t>
  </si>
  <si>
    <t xml:space="preserve">Income tax paid </t>
  </si>
  <si>
    <t>Interest and dividends received</t>
  </si>
  <si>
    <t>Increase/Decrease in share capital</t>
  </si>
  <si>
    <t xml:space="preserve">Divedends paid to shareholders </t>
  </si>
  <si>
    <t>Transactions with minority interests</t>
  </si>
  <si>
    <t>Issuance of bonds and bank debt</t>
  </si>
  <si>
    <t>Redemption of bonds and bank debt</t>
  </si>
  <si>
    <t>Issuance (redemption) of other borrowings</t>
  </si>
  <si>
    <t>Repayment of lease liabilities</t>
  </si>
  <si>
    <t>Interest paid and equivalent</t>
  </si>
  <si>
    <t xml:space="preserve">Net Change in Cash </t>
  </si>
  <si>
    <t>CFFO</t>
  </si>
  <si>
    <t>CFFI</t>
  </si>
  <si>
    <t>CFFF</t>
  </si>
  <si>
    <t>numbers in mio EUR</t>
  </si>
  <si>
    <t>KER.PA</t>
  </si>
  <si>
    <t>Notes:</t>
  </si>
  <si>
    <t>Disposal of Girard-Perregaux and Ulysse Nardin in 2022 (Watch-Makers)</t>
  </si>
  <si>
    <t>Revenue Stores &amp; E-Com</t>
  </si>
  <si>
    <t>Revenue Wholesale</t>
  </si>
  <si>
    <t>Date</t>
  </si>
  <si>
    <t xml:space="preserve">Company </t>
  </si>
  <si>
    <t>Multiples</t>
  </si>
  <si>
    <t xml:space="preserve">Name </t>
  </si>
  <si>
    <t>Verschuldungsgrad</t>
  </si>
  <si>
    <t xml:space="preserve">Revenue </t>
  </si>
  <si>
    <t xml:space="preserve">EBIT </t>
  </si>
  <si>
    <t>ROC</t>
  </si>
  <si>
    <t>P/CF</t>
  </si>
  <si>
    <t>EV/EBIT</t>
  </si>
  <si>
    <t>LVMH</t>
  </si>
  <si>
    <t>Hermés</t>
  </si>
  <si>
    <t>Richemont</t>
  </si>
  <si>
    <t>Pandora</t>
  </si>
  <si>
    <t>Capri Holdings (vormals Michael Kors)</t>
  </si>
  <si>
    <t>Moncler</t>
  </si>
  <si>
    <t>Hugo Boss</t>
  </si>
  <si>
    <t>Brunello Cucinelli</t>
  </si>
  <si>
    <t>Burbery</t>
  </si>
  <si>
    <t>Christian Dior</t>
  </si>
  <si>
    <t xml:space="preserve">Canada Goose Holdings </t>
  </si>
  <si>
    <t>n.a.</t>
  </si>
  <si>
    <t xml:space="preserve">Ralph Lauren </t>
  </si>
  <si>
    <t>Prada</t>
  </si>
  <si>
    <t>Salvatore Ferragamo</t>
  </si>
  <si>
    <t>Tod's S.p.A.</t>
  </si>
  <si>
    <t>Median</t>
  </si>
  <si>
    <t>Mittelwert</t>
  </si>
  <si>
    <t>Kering (onvista)</t>
  </si>
  <si>
    <t>Dividende</t>
  </si>
  <si>
    <t>P/R</t>
  </si>
  <si>
    <t>P/E</t>
  </si>
  <si>
    <t>PEG</t>
  </si>
  <si>
    <t>P/B</t>
  </si>
  <si>
    <t>Founded: 1963</t>
  </si>
  <si>
    <t>DCF</t>
  </si>
  <si>
    <t>Ticker</t>
  </si>
  <si>
    <t>Share Price</t>
  </si>
  <si>
    <t>Fair Share Price</t>
  </si>
  <si>
    <t>End of FY</t>
  </si>
  <si>
    <t>Implied Upside</t>
  </si>
  <si>
    <t>Assumptions</t>
  </si>
  <si>
    <t>Switches</t>
  </si>
  <si>
    <t>Conservative Case</t>
  </si>
  <si>
    <t>Base Case</t>
  </si>
  <si>
    <t>Optimistic Case</t>
  </si>
  <si>
    <t>Assuptions</t>
  </si>
  <si>
    <t>Year</t>
  </si>
  <si>
    <t>Metic</t>
  </si>
  <si>
    <t>EBIT</t>
  </si>
  <si>
    <t>WACC</t>
  </si>
  <si>
    <t>TGR</t>
  </si>
  <si>
    <t>Probability</t>
  </si>
  <si>
    <t>ROIC</t>
  </si>
  <si>
    <t>Implied Share Price * p</t>
  </si>
  <si>
    <t>Valuation</t>
  </si>
  <si>
    <t>Model</t>
  </si>
  <si>
    <t>Growth (%)</t>
  </si>
  <si>
    <t xml:space="preserve">Base Case </t>
  </si>
  <si>
    <t>Optimisitic Case</t>
  </si>
  <si>
    <t>% of Sales</t>
  </si>
  <si>
    <t>Taxes</t>
  </si>
  <si>
    <t>Tax Rate (%)</t>
  </si>
  <si>
    <t>Nopat</t>
  </si>
  <si>
    <t>D&amp;A and other non-cash Expenses</t>
  </si>
  <si>
    <t>CapEx</t>
  </si>
  <si>
    <t>Change in WC</t>
  </si>
  <si>
    <t>Unlevered Free Cashflow</t>
  </si>
  <si>
    <t>Present Value of unlevered FC</t>
  </si>
  <si>
    <t>Discount Period</t>
  </si>
  <si>
    <t>Sum of Present Value</t>
  </si>
  <si>
    <t>Terminal Value</t>
  </si>
  <si>
    <t>Present Value of TV</t>
  </si>
  <si>
    <t>Enterprise Value</t>
  </si>
  <si>
    <t>(+) Cash and other non-operating assets</t>
  </si>
  <si>
    <t>(-) Debt and other non-equity claims</t>
  </si>
  <si>
    <t>Equity Value</t>
  </si>
  <si>
    <t xml:space="preserve">Number of Shares </t>
  </si>
  <si>
    <t>Sensitivity Analysis</t>
  </si>
  <si>
    <t>Ratios</t>
  </si>
  <si>
    <t>Shares o/s</t>
  </si>
  <si>
    <t>Market Cap</t>
  </si>
  <si>
    <t>Net Debt</t>
  </si>
  <si>
    <t>Value Driver</t>
  </si>
  <si>
    <t>Capital Emloyed</t>
  </si>
  <si>
    <t>=Long Term Assets + Working Capital (Exclusive of cash)-Accounts Payables</t>
  </si>
  <si>
    <t>Invested Capital</t>
  </si>
  <si>
    <t>=Net Working Capital + PP&amp;E + Other Net Operating Assets (net of Liabilties) + (Intangibles)</t>
  </si>
  <si>
    <t>Total Funds Invested</t>
  </si>
  <si>
    <t>Invested Capital + Non-Operating Assets</t>
  </si>
  <si>
    <t>NOPAT</t>
  </si>
  <si>
    <t>EBITA * (1-Marginal Tax Rate)</t>
  </si>
  <si>
    <t>Net Investment</t>
  </si>
  <si>
    <t>=Invested Capital (t+1)-Invested Capital (t)</t>
  </si>
  <si>
    <t>FCF</t>
  </si>
  <si>
    <t>=NOPAT + non-cash Expenses - Investments in Invested Capital</t>
  </si>
  <si>
    <t>Investment Rate</t>
  </si>
  <si>
    <t>=Net Investment/NOPAT</t>
  </si>
  <si>
    <t>Economic Profit</t>
  </si>
  <si>
    <t>=Invested Capital *(ROIC-WACC)</t>
  </si>
  <si>
    <t>Efficency-Ratios</t>
  </si>
  <si>
    <t>Capital Turnover</t>
  </si>
  <si>
    <t>=Revenue/Total Assets</t>
  </si>
  <si>
    <t>Return on Equity (ROE)</t>
  </si>
  <si>
    <t>=Net Income/Book Value of Equity</t>
  </si>
  <si>
    <t>Return on Capital Employed (ROCE)</t>
  </si>
  <si>
    <t>=EBIT/Capital Employed</t>
  </si>
  <si>
    <t>Return on Capital Invested (ROIC)</t>
  </si>
  <si>
    <t>=NOPAT/Invested Capital</t>
  </si>
  <si>
    <t>ROIC without Intangibles</t>
  </si>
  <si>
    <t>=NOPAT/(Invested Capital exclusive of Intangibles)</t>
  </si>
  <si>
    <t>Decomposed ROIC</t>
  </si>
  <si>
    <t>= ROIC = (1-operating cash tax)* (EBITA/Revenues) * (Revenue/Invested Capital)</t>
  </si>
  <si>
    <t>Retention Rate</t>
  </si>
  <si>
    <t>=1 - Dividends/Net Income</t>
  </si>
  <si>
    <t>Reinvestment Rate</t>
  </si>
  <si>
    <t>=Net CapEx + Change in WC / EBIT * (1-t)</t>
  </si>
  <si>
    <t>Epected Growth in Net Income</t>
  </si>
  <si>
    <t>=ROE * Retention Rate</t>
  </si>
  <si>
    <t>Expected Growth in NOPAT</t>
  </si>
  <si>
    <t>=ROIC * Reinvestment Rate</t>
  </si>
  <si>
    <t>Finacial Stability Ratios</t>
  </si>
  <si>
    <t>Equity/Debt Ratio</t>
  </si>
  <si>
    <t>=Book Value of Equtiy/Book Value of Debt</t>
  </si>
  <si>
    <t>Gearing</t>
  </si>
  <si>
    <t>=(Debt - Cash (Net Debt))/Book Value of Equity</t>
  </si>
  <si>
    <t>Interest Coverage Ratio</t>
  </si>
  <si>
    <t>=EBIT/Interest Expenses</t>
  </si>
  <si>
    <t>Net Debt / EBITDA</t>
  </si>
  <si>
    <t>=Net Debt/EBITDA</t>
  </si>
  <si>
    <t>Cash Burn Rate</t>
  </si>
  <si>
    <t>=Book Value of Equity/Absolute value of Loss</t>
  </si>
  <si>
    <t>WC-Managment Ratios</t>
  </si>
  <si>
    <t>Debitor-Duration</t>
  </si>
  <si>
    <t>=Accounts Receivables/Revenue*360</t>
  </si>
  <si>
    <t>Creditor-Duration</t>
  </si>
  <si>
    <t>=Accounts Payable/Revenue*360</t>
  </si>
  <si>
    <t>Inventory Intensity</t>
  </si>
  <si>
    <t>=Inventory/Balance Sheet Total</t>
  </si>
  <si>
    <t>Invetory Turnover</t>
  </si>
  <si>
    <t>=Cogs/Inventory</t>
  </si>
  <si>
    <t>Storage-Duration</t>
  </si>
  <si>
    <t>=360/Inventory Turnover</t>
  </si>
  <si>
    <t>Cash Conversion Cycle</t>
  </si>
  <si>
    <t>=Debitor Duration + Storage Duration - Creditor Duration</t>
  </si>
  <si>
    <t>Multipliers</t>
  </si>
  <si>
    <t>Equitymultiples</t>
  </si>
  <si>
    <t>P/E Ratio</t>
  </si>
  <si>
    <t>=Share Price/EPS</t>
  </si>
  <si>
    <t>PEG Ratio</t>
  </si>
  <si>
    <t>=P/E Ratio / Growth</t>
  </si>
  <si>
    <t>P/B Ratio</t>
  </si>
  <si>
    <t>=Market Cap/Book Vakue of Equity</t>
  </si>
  <si>
    <t>P/TB Ratio</t>
  </si>
  <si>
    <t>=Market Cap / Tangible Book Value</t>
  </si>
  <si>
    <t>P/Cf Ratio</t>
  </si>
  <si>
    <t>=Share Price/Cashflow per share</t>
  </si>
  <si>
    <t>P/R Ratio</t>
  </si>
  <si>
    <t>=Share Price/Revenue per Share</t>
  </si>
  <si>
    <t>Entitymultiples</t>
  </si>
  <si>
    <t>EV/EBITDA</t>
  </si>
  <si>
    <t>=EV/EBITDA</t>
  </si>
  <si>
    <t>=EV/EBIT</t>
  </si>
  <si>
    <t>EV/FCF</t>
  </si>
  <si>
    <t>=EV/FCF</t>
  </si>
  <si>
    <t>EV/Sales</t>
  </si>
  <si>
    <t>=EV/Revenue</t>
  </si>
  <si>
    <t>Cost of Capital</t>
  </si>
  <si>
    <t>Cost of Equity (CAPM)</t>
  </si>
  <si>
    <t>Riskfree Rate</t>
  </si>
  <si>
    <t>Expected Inflation</t>
  </si>
  <si>
    <t>=(1+Nominal Rate)/(1+Real Rate)-1</t>
  </si>
  <si>
    <t>Average Real Interest Rate</t>
  </si>
  <si>
    <t>= Average Interest Rate of the Past</t>
  </si>
  <si>
    <t>=Goverment Bond or Expected Inflation + Average Real Interest Rate</t>
  </si>
  <si>
    <t>Adjustments for Industry/Company Risk</t>
  </si>
  <si>
    <t xml:space="preserve">Raw Beta </t>
  </si>
  <si>
    <t>=Raw beta slope of regression line aginst total market -&gt; Ri= alpha + beta*Rm + standard error</t>
  </si>
  <si>
    <t>Debt to Value Ratio</t>
  </si>
  <si>
    <t>Value of Debt/Enterpries Value</t>
  </si>
  <si>
    <t>Unlevered Beta</t>
  </si>
  <si>
    <t>= Raw Beta* Debt-to-Equity Ratio (Book Value)</t>
  </si>
  <si>
    <t>Unlevered Industry Beta</t>
  </si>
  <si>
    <t>=Median of Peer Group</t>
  </si>
  <si>
    <t>Levered Industry Beta</t>
  </si>
  <si>
    <t>=Unlevered Industry Beta * Market Value of Debt to Market Value of Equity</t>
  </si>
  <si>
    <t>Expected Equity Risk Premium</t>
  </si>
  <si>
    <t>Estimated Future Market Return</t>
  </si>
  <si>
    <t>= 1/P/E * (1.g/ROE) + g , g = real growth in GDP, P/E =&gt; P/E ratio for S&amp;P500 or MSCI World Index, ROE = Average ROE in S&amp;P500 or MSCI World</t>
  </si>
  <si>
    <t>=&gt; ER(i)=rf+beta(i)*(Er(m)-rf)</t>
  </si>
  <si>
    <t>Cost of Debt</t>
  </si>
  <si>
    <t>Yield to Maturity on Trading Bonds</t>
  </si>
  <si>
    <t>=&gt; Price = Coupon/(1+YTM)+Coupon(1+YTM)^2 + … + (Face Value + Coupon)/(1+YTM)^n =&gt; solve for YTM</t>
  </si>
  <si>
    <t>or</t>
  </si>
  <si>
    <t>Credit Default Spread</t>
  </si>
  <si>
    <t>Country Rsik Premium</t>
  </si>
  <si>
    <t>Market Value of Debt</t>
  </si>
  <si>
    <t xml:space="preserve">Market Value of Equity </t>
  </si>
  <si>
    <t>Total  Enterprise Value</t>
  </si>
  <si>
    <t>Marginal Tax Rate</t>
  </si>
  <si>
    <t>=&gt; WACC = (D/D+E)*kd * (1-t) + (E/D+E) * ke</t>
  </si>
  <si>
    <t>GUCCI</t>
  </si>
  <si>
    <t>H123</t>
  </si>
  <si>
    <t>H223</t>
  </si>
  <si>
    <t>H124</t>
  </si>
  <si>
    <t>H224</t>
  </si>
  <si>
    <t>H125</t>
  </si>
  <si>
    <t>H225</t>
  </si>
  <si>
    <t>Kering Eyewear &amp; Corporate</t>
  </si>
  <si>
    <t>Yves Saint Laurent</t>
  </si>
  <si>
    <t>Gucci Operating</t>
  </si>
  <si>
    <t>Personal Expenses</t>
  </si>
  <si>
    <t>Other reoccuring Opex and Income</t>
  </si>
  <si>
    <t>OpeEx</t>
  </si>
  <si>
    <t>Non-reoccuring Opex</t>
  </si>
  <si>
    <t>Discontinued Operations</t>
  </si>
  <si>
    <t>Net Income</t>
  </si>
  <si>
    <t>Net Income to minorities</t>
  </si>
  <si>
    <t>Net Income to company</t>
  </si>
  <si>
    <t xml:space="preserve">Brands/other Intangibles </t>
  </si>
  <si>
    <t>Equity Investments</t>
  </si>
  <si>
    <t>Trade receivables &amp; accrued income</t>
  </si>
  <si>
    <t xml:space="preserve">Equity to minority interests </t>
  </si>
  <si>
    <t>Equity to Group</t>
  </si>
  <si>
    <t>Non-current provisions for pensions &amp; other</t>
  </si>
  <si>
    <t>Trade payables &amp; accrued expenses</t>
  </si>
  <si>
    <t>Current provisions for pensions &amp; other</t>
  </si>
  <si>
    <t>Income from subsidiaries &amp; associates</t>
  </si>
  <si>
    <t xml:space="preserve">Income from other financial assets </t>
  </si>
  <si>
    <t>Acquisitions of Kering treasury shares</t>
  </si>
  <si>
    <t>Exchnage Rates</t>
  </si>
  <si>
    <t>Cash from disc. Operations</t>
  </si>
  <si>
    <t>Cash and cash equivalents BoP</t>
  </si>
  <si>
    <t>Cash and cash equivalents EoP</t>
  </si>
  <si>
    <t>% of Rev</t>
  </si>
  <si>
    <t>Total Stores</t>
  </si>
  <si>
    <t>RPS</t>
  </si>
  <si>
    <t>Europe Stores</t>
  </si>
  <si>
    <t>Japan Stores</t>
  </si>
  <si>
    <t>Asia Stores (excl. Japan)</t>
  </si>
  <si>
    <t>Rest of World</t>
  </si>
  <si>
    <t>Jan. 2024 -&gt; Acquistion of strategic Real Estate in New York 10.700 sqm for 885 mio EUR 715-175 Fith Evenue</t>
  </si>
  <si>
    <t>April 2024 -&gt; Acquistion of company that ownes real estate in  at 8 Via 11,800 sqm for 1,3 bil EUR
Montenapoleone in Milan</t>
  </si>
  <si>
    <t>Asia Revenue</t>
  </si>
  <si>
    <t>Western Europe Revenue</t>
  </si>
  <si>
    <t>North America Revenue</t>
  </si>
  <si>
    <t>Japan Revenue</t>
  </si>
  <si>
    <t>Rest of the World Revenue</t>
  </si>
  <si>
    <t>Wholesale Revenue</t>
  </si>
  <si>
    <t>Store Revenue</t>
  </si>
  <si>
    <t>Gucci Stores</t>
  </si>
  <si>
    <t>90% of Revenue in driectly operated stores</t>
  </si>
  <si>
    <t>10% of Revenue in Wholesale</t>
  </si>
  <si>
    <t>Gucci RPS</t>
  </si>
  <si>
    <t>Saint Laurent Stores</t>
  </si>
  <si>
    <t>Products:</t>
  </si>
  <si>
    <t>81% of Revenue in driectly operated stores</t>
  </si>
  <si>
    <t>19% of Revenue in Wholesale</t>
  </si>
  <si>
    <t>Saint Laurent RPS</t>
  </si>
  <si>
    <t>Bottega Stores</t>
  </si>
  <si>
    <t>Bottega RPS</t>
  </si>
  <si>
    <t>Bottega Venetta</t>
  </si>
  <si>
    <t>84% of Revenue in driectly operated stores</t>
  </si>
  <si>
    <t>16% of Revenue in Wholesale</t>
  </si>
  <si>
    <t>Other Houses</t>
  </si>
  <si>
    <t>73% of Revenue in driectly operated stores</t>
  </si>
  <si>
    <t>27% of Revenue in Wholesale</t>
  </si>
  <si>
    <t>Other</t>
  </si>
  <si>
    <t>Other Houes Stores</t>
  </si>
  <si>
    <t>Other Houes RPS</t>
  </si>
  <si>
    <t>Kering Eyewear</t>
  </si>
  <si>
    <t>Dual Tranche Bond: 1 bil EUR for 8-year matuiry 3,375% Coupon, 750 Mil for 12 year maturity 3,625% Coupon</t>
  </si>
  <si>
    <t>Valentino</t>
  </si>
  <si>
    <t>North America Stores</t>
  </si>
  <si>
    <t>Store Growth</t>
  </si>
  <si>
    <t>CEO: Francois - Henri Pinault</t>
  </si>
  <si>
    <t>CFO: Armelle Poulou</t>
  </si>
  <si>
    <t>Invested Capital (excl. Intangibles)</t>
  </si>
  <si>
    <t>Average</t>
  </si>
  <si>
    <t>Expected Growth in NOPAT (excl. Int)</t>
  </si>
  <si>
    <t>Creative Director: Anthony Vaccarello</t>
  </si>
  <si>
    <t>CEO: Bartolomeo Rongone</t>
  </si>
  <si>
    <t>CEO: Stefano Cantino (succeeding Jean Franqouis Palus)</t>
  </si>
  <si>
    <t>https://www.gq-magazin.de/artikel/gucci-sabato-de-sarno-spring-summer-2025</t>
  </si>
  <si>
    <t>Red -&gt; New main colour of GUCCI</t>
  </si>
  <si>
    <t xml:space="preserve">Contrast  to Allesandro Michele -&gt; less  loud </t>
  </si>
  <si>
    <t>https://www.vogue.de/artikel/gucci-kreativdirektor-sabato-de-sarno-interview</t>
  </si>
  <si>
    <t>GUCCI Design Idea</t>
  </si>
  <si>
    <t>https://bellevue.nzz.ch/mode-beauty/wer-ist-sabato-de-sarno-gucci-zeigt-film-ueber-neuen-chefdesigner-ld.1822928</t>
  </si>
  <si>
    <t>Gucci Collections:</t>
  </si>
  <si>
    <t>https://www.vogue.com/fashion-shows/designer/gucci</t>
  </si>
  <si>
    <t>next Collection</t>
  </si>
  <si>
    <t>50% Leather Goods</t>
  </si>
  <si>
    <t>21% Shoes</t>
  </si>
  <si>
    <t>17% Ready-to-Wear</t>
  </si>
  <si>
    <t>4% Wathches &amp; Jewelery</t>
  </si>
  <si>
    <t>8% other</t>
  </si>
  <si>
    <t>70% Leather Goods</t>
  </si>
  <si>
    <t>7% Shoes</t>
  </si>
  <si>
    <t>12% Ready-to-Wear</t>
  </si>
  <si>
    <t>11% other</t>
  </si>
  <si>
    <t>79% Leather Goods</t>
  </si>
  <si>
    <t>9% Shoes</t>
  </si>
  <si>
    <t>9% Ready-to-Wear</t>
  </si>
  <si>
    <t>3% other</t>
  </si>
  <si>
    <t>17% Leather Goods</t>
  </si>
  <si>
    <t>25% Shoes</t>
  </si>
  <si>
    <t>26% Ready-to-Wear</t>
  </si>
  <si>
    <t>28% Wathches &amp; Jewelery</t>
  </si>
  <si>
    <t>4% other</t>
  </si>
  <si>
    <t>Products: Eyewear</t>
  </si>
  <si>
    <t>Brands: Lindberg, Maui Jim, Zeal Optics, Gucci, Cartier, Saint Laurent, Bottega Veneta, Balenciaga, Chloé, Alexander Mcqueen, Montblanc, Dunhill, Alaïa, Puma</t>
  </si>
  <si>
    <t>CEO: Roberto Vedovotto</t>
  </si>
  <si>
    <t>Balenciaga</t>
  </si>
  <si>
    <t>Alexander McQueen</t>
  </si>
  <si>
    <t xml:space="preserve">Boucheron </t>
  </si>
  <si>
    <t>DoDo</t>
  </si>
  <si>
    <t>Queelin</t>
  </si>
  <si>
    <t>Kering Beatué</t>
  </si>
  <si>
    <t>Ready-to-Wear, Shoes, Leather Goods etc</t>
  </si>
  <si>
    <t>Suits, Shoes etc</t>
  </si>
  <si>
    <t>Creative Director: Demna Gvasalia</t>
  </si>
  <si>
    <t>Creative Director: Sean McGirr</t>
  </si>
  <si>
    <t>CEO: Gianfilippo Testa</t>
  </si>
  <si>
    <t>CEO: Mehdi Benabadji</t>
  </si>
  <si>
    <t>Creative Director: Justin O'Shea</t>
  </si>
  <si>
    <t>CEO: Helene Poulit-Duquesne</t>
  </si>
  <si>
    <t>CEO: Sabina Belli</t>
  </si>
  <si>
    <t>CEO: Christophe Artaux</t>
  </si>
  <si>
    <t>Creative Director: Dennis Chan</t>
  </si>
  <si>
    <t>Creative Dircetor: Vincenzo Castaldo</t>
  </si>
  <si>
    <t>Creative Dircetor: Claire Choisne</t>
  </si>
  <si>
    <t>Ginori 1735</t>
  </si>
  <si>
    <t>CEO: Massimiliano Righi</t>
  </si>
  <si>
    <t>Tabletop and Home Decor</t>
  </si>
  <si>
    <t>CEO: Raffaella Cornaggia</t>
  </si>
  <si>
    <t>Parfume for Bottega Veneta, Balenciaga, Alexander McQueen, Pomellato, Qeelin and Creed</t>
  </si>
  <si>
    <t>Market Size by Revenue 2024</t>
  </si>
  <si>
    <t>FY25</t>
  </si>
  <si>
    <t>FY26</t>
  </si>
  <si>
    <t>FY27</t>
  </si>
  <si>
    <t>FY28</t>
  </si>
  <si>
    <t>FY29</t>
  </si>
  <si>
    <t>FY30</t>
  </si>
  <si>
    <t>Luxury Eyewear Global Revenue</t>
  </si>
  <si>
    <t>Luxury Fashion Global Revenue</t>
  </si>
  <si>
    <t>Luxury Leather Goods Global Revenue</t>
  </si>
  <si>
    <t>Luxury Watches &amp; Jewelery Global Revenue</t>
  </si>
  <si>
    <t>Luxury Beauty Products Global Revenue</t>
  </si>
  <si>
    <t>Total Market</t>
  </si>
  <si>
    <t>https://www.statista.com/outlook/cmo/luxury-goods/worldwide#revenue</t>
  </si>
  <si>
    <t>Kering Revenue in USD</t>
  </si>
  <si>
    <t>Market Share in %</t>
  </si>
  <si>
    <t>EUR/USD</t>
  </si>
  <si>
    <t>Total Market Growth</t>
  </si>
  <si>
    <t>Scenario Model Price</t>
  </si>
  <si>
    <t>Q324</t>
  </si>
  <si>
    <t>Eliminations</t>
  </si>
  <si>
    <t>Q124</t>
  </si>
  <si>
    <t>Q123</t>
  </si>
  <si>
    <t>Q223</t>
  </si>
  <si>
    <t>Q323</t>
  </si>
  <si>
    <t>Q423</t>
  </si>
  <si>
    <t>Q424</t>
  </si>
  <si>
    <t>Saint Laurent</t>
  </si>
  <si>
    <t>Q324: Ewa Abrams appointed President of Kering Americas</t>
  </si>
  <si>
    <t>Boucheron fist Store in NY</t>
  </si>
  <si>
    <t>Q122</t>
  </si>
  <si>
    <t>Q322</t>
  </si>
  <si>
    <t>Q222</t>
  </si>
  <si>
    <t>Q422</t>
  </si>
  <si>
    <t>Revenues:</t>
  </si>
  <si>
    <t>Growth</t>
  </si>
  <si>
    <t>https://quartr.com/insights/company-research/house-of-pinault-the-history-and-business-of-kering-and-gucci?utm_source=edge&amp;utm_medium=email&amp;utm_campaign=edge_45</t>
  </si>
  <si>
    <t>15-01-25: Real Estate Deal with Adrian for these properties: Hôtel de Nocé, located 26, place Vendôme, and two buildings located on avenue Montaigne, at 35-37 and 56, Kerings investment amounts to 837 mio EUR</t>
  </si>
  <si>
    <t>29-01-25: Patnership with 0-93. Lab</t>
  </si>
  <si>
    <t xml:space="preserve">07-02-25: Gucci endes collaboration with Sabato de Sarno </t>
  </si>
  <si>
    <t>Assets Held for Sale</t>
  </si>
  <si>
    <t>Liabilties asc. with assets held for sale</t>
  </si>
  <si>
    <t>COO: Jean-Marc Duplaix</t>
  </si>
  <si>
    <t>Brand Development: Francessca Bellettini</t>
  </si>
  <si>
    <t>Employees</t>
  </si>
  <si>
    <t>Valentino will be incoporated in the group within 3 years</t>
  </si>
  <si>
    <t>Strategy</t>
  </si>
  <si>
    <t>4 Pillars:</t>
  </si>
  <si>
    <t>3.Distribution and Client Experience: Increase exclusivity</t>
  </si>
  <si>
    <t xml:space="preserve">4. Excellence in Execution: Improving organization </t>
  </si>
  <si>
    <t>1.Brand Building: Convey brand narrative</t>
  </si>
  <si>
    <t>2.Product Strategy: covering relevant range</t>
  </si>
  <si>
    <t>Focus on direclty operated online stores, lower wholesale penetration, close outlets and stores with low profitability</t>
  </si>
  <si>
    <t>Kering Beaute: Launch of Bottega and Balenciaga fragrances in H2.24</t>
  </si>
  <si>
    <t xml:space="preserve">November 2024: 750mio EUR bond 10 year maturity 3,625% coupon </t>
  </si>
  <si>
    <t>CEO: Cedric Charbit (former: Francesca Bellettini)</t>
  </si>
  <si>
    <t>CEO: Gianfranco Gianangeli  (former: Cedric Charbit, now at YSL)</t>
  </si>
  <si>
    <t>Creative Director:  Louise Trotter (former: Matthieu Blazy)</t>
  </si>
  <si>
    <t>Management</t>
  </si>
  <si>
    <t>Bottega Venetta first Parfume collection through Kering Beautue</t>
  </si>
  <si>
    <t>13-03-25: Demna new creative director of Gucci</t>
  </si>
  <si>
    <t xml:space="preserve"> Former: Sabato de Sano, Alessandro Michele</t>
  </si>
  <si>
    <t>Demna Gvasalia: Founder of Vetments, former creative director of Balenciaga</t>
  </si>
  <si>
    <t>03-04-25: acquisition of Visard and Mistral by Kering Eyewear</t>
  </si>
  <si>
    <t>Supply Chain</t>
  </si>
  <si>
    <t>Q125</t>
  </si>
  <si>
    <t>Q225</t>
  </si>
  <si>
    <t>Q325</t>
  </si>
  <si>
    <t>Q425</t>
  </si>
  <si>
    <t xml:space="preserve">Creative Director: </t>
  </si>
  <si>
    <t>Peirpaolo Piccioli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</si>
</sst>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#,##0.0;[Red]#,##0.0"/>
    <numFmt numFmtId="165" formatCode="#,##0;\(#,##0\)"/>
    <numFmt numFmtId="166" formatCode="#,##0.0;\(#,##0.0\)"/>
    <numFmt numFmtId="167" formatCode="0.0"/>
    <numFmt numFmtId="168" formatCode="0.0%"/>
    <numFmt numFmtId="169" formatCode="&quot;FY&quot;0&quot;A&quot;"/>
    <numFmt numFmtId="170" formatCode="\F\Y#,##0"/>
    <numFmt numFmtId="171" formatCode="#,##0.00;\(#,##0.00\)"/>
    <numFmt numFmtId="172" formatCode="&quot;FY&quot;0&quot;P&quot;"/>
    <numFmt numFmtId="173" formatCode="0.000"/>
    <numFmt numFmtId="174" formatCode="#,##0.0"/>
  </numFmts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1"/>
      <color theme="0" tint="-0.499984740745262"/>
      <name val="Aptos Narrow"/>
      <family val="2"/>
      <scheme val="minor"/>
    </font>
    <font>
      <sz val="12"/>
      <color theme="0" tint="-0.499984740745262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b/>
      <sz val="15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1"/>
      <color theme="0" tint="-0.14999847407452621"/>
      <name val="Aptos Narrow"/>
      <family val="2"/>
      <scheme val="minor"/>
    </font>
    <font>
      <sz val="11"/>
      <name val="Aptos Narrow"/>
      <family val="2"/>
      <scheme val="minor"/>
    </font>
    <font>
      <u/>
      <sz val="11"/>
      <name val="Aptos Narrow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name val="Aptos Narrow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9.9978637043366805E-2"/>
        <bgColor indexed="64"/>
      </patternFill>
    </fill>
    <fill>
      <patternFill patternType="solid">
        <fgColor rgb="FFF1E9D2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0" tint="-4.9989318521683403E-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121">
    <xf numFmtId="0" fontId="0" fillId="0" borderId="0" xfId="0"/>
    <xf numFmtId="0" fontId="2" fillId="0" borderId="0" xfId="0" applyFont="1"/>
    <xf numFmtId="0" fontId="3" fillId="0" borderId="0" xfId="0" applyFon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5" fillId="0" borderId="9" xfId="0" applyFont="1" applyBorder="1"/>
    <xf numFmtId="0" fontId="5" fillId="0" borderId="10" xfId="0" applyFont="1" applyBorder="1"/>
    <xf numFmtId="0" fontId="5" fillId="0" borderId="11" xfId="0" applyFont="1" applyBorder="1"/>
    <xf numFmtId="0" fontId="4" fillId="0" borderId="0" xfId="2"/>
    <xf numFmtId="0" fontId="0" fillId="0" borderId="0" xfId="0" applyAlignment="1">
      <alignment horizontal="left" indent="1"/>
    </xf>
    <xf numFmtId="164" fontId="0" fillId="0" borderId="0" xfId="0" applyNumberFormat="1"/>
    <xf numFmtId="0" fontId="5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9" fontId="0" fillId="0" borderId="0" xfId="1" applyFont="1"/>
    <xf numFmtId="0" fontId="2" fillId="0" borderId="0" xfId="0" applyFont="1" applyAlignment="1">
      <alignment horizontal="left"/>
    </xf>
    <xf numFmtId="9" fontId="2" fillId="0" borderId="0" xfId="1" applyFont="1"/>
    <xf numFmtId="0" fontId="3" fillId="0" borderId="4" xfId="0" applyFont="1" applyBorder="1"/>
    <xf numFmtId="9" fontId="0" fillId="0" borderId="0" xfId="0" applyNumberFormat="1"/>
    <xf numFmtId="165" fontId="0" fillId="0" borderId="0" xfId="0" applyNumberFormat="1"/>
    <xf numFmtId="166" fontId="0" fillId="0" borderId="0" xfId="0" applyNumberFormat="1"/>
    <xf numFmtId="165" fontId="2" fillId="0" borderId="0" xfId="0" applyNumberFormat="1" applyFont="1"/>
    <xf numFmtId="0" fontId="8" fillId="0" borderId="0" xfId="0" applyFont="1" applyAlignment="1">
      <alignment horizontal="left"/>
    </xf>
    <xf numFmtId="0" fontId="0" fillId="0" borderId="0" xfId="0" applyAlignment="1">
      <alignment horizontal="center"/>
    </xf>
    <xf numFmtId="0" fontId="8" fillId="2" borderId="0" xfId="0" applyFont="1" applyFill="1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0" fontId="9" fillId="3" borderId="0" xfId="0" applyFont="1" applyFill="1" applyAlignment="1">
      <alignment horizontal="center"/>
    </xf>
    <xf numFmtId="0" fontId="10" fillId="3" borderId="0" xfId="0" applyFont="1" applyFill="1" applyAlignment="1">
      <alignment horizontal="center"/>
    </xf>
    <xf numFmtId="164" fontId="0" fillId="0" borderId="7" xfId="0" applyNumberFormat="1" applyBorder="1"/>
    <xf numFmtId="0" fontId="6" fillId="4" borderId="9" xfId="0" applyFont="1" applyFill="1" applyBorder="1"/>
    <xf numFmtId="168" fontId="0" fillId="0" borderId="0" xfId="0" applyNumberFormat="1" applyAlignment="1">
      <alignment horizontal="center"/>
    </xf>
    <xf numFmtId="164" fontId="6" fillId="4" borderId="10" xfId="0" applyNumberFormat="1" applyFont="1" applyFill="1" applyBorder="1" applyAlignment="1">
      <alignment horizontal="center"/>
    </xf>
    <xf numFmtId="164" fontId="6" fillId="4" borderId="11" xfId="0" applyNumberFormat="1" applyFont="1" applyFill="1" applyBorder="1" applyAlignment="1">
      <alignment horizontal="center"/>
    </xf>
    <xf numFmtId="164" fontId="6" fillId="4" borderId="7" xfId="0" applyNumberFormat="1" applyFont="1" applyFill="1" applyBorder="1" applyAlignment="1">
      <alignment horizontal="center"/>
    </xf>
    <xf numFmtId="164" fontId="6" fillId="4" borderId="8" xfId="0" applyNumberFormat="1" applyFont="1" applyFill="1" applyBorder="1" applyAlignment="1">
      <alignment horizontal="center"/>
    </xf>
    <xf numFmtId="0" fontId="2" fillId="0" borderId="9" xfId="0" applyFont="1" applyBorder="1"/>
    <xf numFmtId="167" fontId="0" fillId="5" borderId="10" xfId="0" applyNumberFormat="1" applyFill="1" applyBorder="1" applyAlignment="1">
      <alignment horizontal="center"/>
    </xf>
    <xf numFmtId="167" fontId="0" fillId="6" borderId="10" xfId="0" applyNumberFormat="1" applyFill="1" applyBorder="1" applyAlignment="1">
      <alignment horizontal="center"/>
    </xf>
    <xf numFmtId="2" fontId="0" fillId="5" borderId="10" xfId="0" applyNumberFormat="1" applyFill="1" applyBorder="1" applyAlignment="1">
      <alignment horizontal="center"/>
    </xf>
    <xf numFmtId="2" fontId="0" fillId="6" borderId="11" xfId="0" applyNumberFormat="1" applyFill="1" applyBorder="1" applyAlignment="1">
      <alignment horizontal="center"/>
    </xf>
    <xf numFmtId="0" fontId="6" fillId="7" borderId="0" xfId="0" applyFont="1" applyFill="1"/>
    <xf numFmtId="0" fontId="6" fillId="7" borderId="0" xfId="0" applyFont="1" applyFill="1" applyAlignment="1">
      <alignment horizontal="center"/>
    </xf>
    <xf numFmtId="0" fontId="6" fillId="7" borderId="0" xfId="0" applyFont="1" applyFill="1" applyAlignment="1">
      <alignment horizontal="left"/>
    </xf>
    <xf numFmtId="165" fontId="0" fillId="0" borderId="10" xfId="0" applyNumberFormat="1" applyBorder="1"/>
    <xf numFmtId="168" fontId="0" fillId="0" borderId="10" xfId="0" applyNumberFormat="1" applyBorder="1" applyAlignment="1">
      <alignment horizontal="center"/>
    </xf>
    <xf numFmtId="165" fontId="6" fillId="4" borderId="10" xfId="0" applyNumberFormat="1" applyFont="1" applyFill="1" applyBorder="1"/>
    <xf numFmtId="168" fontId="6" fillId="4" borderId="10" xfId="0" applyNumberFormat="1" applyFont="1" applyFill="1" applyBorder="1" applyAlignment="1">
      <alignment horizontal="center"/>
    </xf>
    <xf numFmtId="0" fontId="4" fillId="0" borderId="7" xfId="2" applyBorder="1"/>
    <xf numFmtId="0" fontId="13" fillId="0" borderId="7" xfId="0" applyFont="1" applyBorder="1"/>
    <xf numFmtId="0" fontId="0" fillId="0" borderId="12" xfId="0" applyBorder="1"/>
    <xf numFmtId="0" fontId="0" fillId="8" borderId="13" xfId="0" applyFill="1" applyBorder="1" applyAlignment="1">
      <alignment horizontal="center"/>
    </xf>
    <xf numFmtId="2" fontId="0" fillId="8" borderId="13" xfId="0" applyNumberFormat="1" applyFill="1" applyBorder="1" applyAlignment="1">
      <alignment horizontal="center"/>
    </xf>
    <xf numFmtId="0" fontId="0" fillId="8" borderId="14" xfId="0" applyFill="1" applyBorder="1" applyAlignment="1">
      <alignment horizontal="center"/>
    </xf>
    <xf numFmtId="9" fontId="0" fillId="8" borderId="14" xfId="1" applyFont="1" applyFill="1" applyBorder="1" applyAlignment="1">
      <alignment horizontal="center"/>
    </xf>
    <xf numFmtId="0" fontId="6" fillId="9" borderId="0" xfId="0" applyFont="1" applyFill="1"/>
    <xf numFmtId="0" fontId="7" fillId="9" borderId="0" xfId="0" applyFont="1" applyFill="1"/>
    <xf numFmtId="168" fontId="0" fillId="8" borderId="14" xfId="1" applyNumberFormat="1" applyFont="1" applyFill="1" applyBorder="1" applyAlignment="1">
      <alignment horizontal="center"/>
    </xf>
    <xf numFmtId="169" fontId="6" fillId="7" borderId="0" xfId="0" applyNumberFormat="1" applyFont="1" applyFill="1"/>
    <xf numFmtId="0" fontId="14" fillId="0" borderId="0" xfId="0" applyFont="1" applyAlignment="1">
      <alignment horizontal="left" indent="1"/>
    </xf>
    <xf numFmtId="0" fontId="14" fillId="0" borderId="0" xfId="0" applyFont="1"/>
    <xf numFmtId="9" fontId="14" fillId="0" borderId="0" xfId="1" applyFont="1"/>
    <xf numFmtId="168" fontId="0" fillId="8" borderId="14" xfId="1" applyNumberFormat="1" applyFont="1" applyFill="1" applyBorder="1" applyAlignment="1">
      <alignment horizontal="right"/>
    </xf>
    <xf numFmtId="0" fontId="2" fillId="10" borderId="9" xfId="0" applyFont="1" applyFill="1" applyBorder="1"/>
    <xf numFmtId="0" fontId="2" fillId="10" borderId="10" xfId="0" applyFont="1" applyFill="1" applyBorder="1"/>
    <xf numFmtId="168" fontId="14" fillId="0" borderId="0" xfId="1" applyNumberFormat="1" applyFont="1"/>
    <xf numFmtId="168" fontId="14" fillId="0" borderId="0" xfId="0" applyNumberFormat="1" applyFont="1"/>
    <xf numFmtId="164" fontId="2" fillId="10" borderId="1" xfId="0" applyNumberFormat="1" applyFont="1" applyFill="1" applyBorder="1"/>
    <xf numFmtId="164" fontId="2" fillId="10" borderId="2" xfId="0" applyNumberFormat="1" applyFont="1" applyFill="1" applyBorder="1"/>
    <xf numFmtId="164" fontId="2" fillId="10" borderId="6" xfId="0" applyNumberFormat="1" applyFont="1" applyFill="1" applyBorder="1"/>
    <xf numFmtId="164" fontId="2" fillId="10" borderId="7" xfId="0" applyNumberFormat="1" applyFont="1" applyFill="1" applyBorder="1"/>
    <xf numFmtId="0" fontId="0" fillId="0" borderId="10" xfId="0" applyBorder="1"/>
    <xf numFmtId="164" fontId="0" fillId="0" borderId="10" xfId="0" applyNumberFormat="1" applyBorder="1"/>
    <xf numFmtId="0" fontId="0" fillId="3" borderId="1" xfId="0" applyFill="1" applyBorder="1"/>
    <xf numFmtId="2" fontId="15" fillId="3" borderId="2" xfId="0" applyNumberFormat="1" applyFont="1" applyFill="1" applyBorder="1"/>
    <xf numFmtId="10" fontId="6" fillId="3" borderId="2" xfId="0" applyNumberFormat="1" applyFont="1" applyFill="1" applyBorder="1"/>
    <xf numFmtId="168" fontId="6" fillId="3" borderId="0" xfId="0" applyNumberFormat="1" applyFont="1" applyFill="1"/>
    <xf numFmtId="167" fontId="0" fillId="0" borderId="0" xfId="0" applyNumberFormat="1"/>
    <xf numFmtId="0" fontId="0" fillId="0" borderId="0" xfId="0" quotePrefix="1"/>
    <xf numFmtId="2" fontId="0" fillId="0" borderId="0" xfId="0" applyNumberFormat="1"/>
    <xf numFmtId="170" fontId="16" fillId="0" borderId="0" xfId="0" applyNumberFormat="1" applyFont="1" applyAlignment="1">
      <alignment horizontal="right"/>
    </xf>
    <xf numFmtId="0" fontId="17" fillId="0" borderId="0" xfId="0" applyFont="1"/>
    <xf numFmtId="0" fontId="0" fillId="0" borderId="9" xfId="0" applyBorder="1"/>
    <xf numFmtId="171" fontId="0" fillId="0" borderId="0" xfId="0" applyNumberFormat="1"/>
    <xf numFmtId="172" fontId="6" fillId="7" borderId="0" xfId="0" applyNumberFormat="1" applyFont="1" applyFill="1"/>
    <xf numFmtId="165" fontId="2" fillId="10" borderId="10" xfId="0" applyNumberFormat="1" applyFont="1" applyFill="1" applyBorder="1"/>
    <xf numFmtId="165" fontId="2" fillId="10" borderId="11" xfId="0" applyNumberFormat="1" applyFont="1" applyFill="1" applyBorder="1"/>
    <xf numFmtId="165" fontId="2" fillId="10" borderId="2" xfId="0" applyNumberFormat="1" applyFont="1" applyFill="1" applyBorder="1"/>
    <xf numFmtId="165" fontId="2" fillId="10" borderId="3" xfId="0" applyNumberFormat="1" applyFont="1" applyFill="1" applyBorder="1"/>
    <xf numFmtId="165" fontId="2" fillId="10" borderId="7" xfId="0" applyNumberFormat="1" applyFont="1" applyFill="1" applyBorder="1"/>
    <xf numFmtId="165" fontId="2" fillId="10" borderId="8" xfId="0" applyNumberFormat="1" applyFont="1" applyFill="1" applyBorder="1"/>
    <xf numFmtId="165" fontId="0" fillId="0" borderId="0" xfId="0" applyNumberFormat="1" applyAlignment="1">
      <alignment horizontal="right"/>
    </xf>
    <xf numFmtId="165" fontId="0" fillId="0" borderId="7" xfId="0" applyNumberFormat="1" applyBorder="1" applyAlignment="1">
      <alignment horizontal="right"/>
    </xf>
    <xf numFmtId="165" fontId="0" fillId="0" borderId="10" xfId="0" applyNumberFormat="1" applyBorder="1" applyAlignment="1">
      <alignment horizontal="right"/>
    </xf>
    <xf numFmtId="16" fontId="0" fillId="8" borderId="13" xfId="0" applyNumberFormat="1" applyFill="1" applyBorder="1" applyAlignment="1">
      <alignment horizontal="center"/>
    </xf>
    <xf numFmtId="16" fontId="0" fillId="8" borderId="14" xfId="0" applyNumberFormat="1" applyFill="1" applyBorder="1" applyAlignment="1">
      <alignment horizontal="center"/>
    </xf>
    <xf numFmtId="3" fontId="0" fillId="0" borderId="0" xfId="0" applyNumberFormat="1"/>
    <xf numFmtId="173" fontId="0" fillId="0" borderId="0" xfId="0" applyNumberFormat="1"/>
    <xf numFmtId="0" fontId="16" fillId="0" borderId="0" xfId="0" applyFont="1"/>
    <xf numFmtId="0" fontId="20" fillId="0" borderId="0" xfId="0" applyFont="1"/>
    <xf numFmtId="10" fontId="0" fillId="0" borderId="0" xfId="0" applyNumberFormat="1"/>
    <xf numFmtId="9" fontId="0" fillId="0" borderId="11" xfId="1" applyFont="1" applyBorder="1"/>
    <xf numFmtId="168" fontId="0" fillId="0" borderId="11" xfId="1" applyNumberFormat="1" applyFont="1" applyBorder="1"/>
    <xf numFmtId="171" fontId="0" fillId="0" borderId="7" xfId="0" applyNumberFormat="1" applyBorder="1" applyAlignment="1">
      <alignment horizontal="right"/>
    </xf>
    <xf numFmtId="2" fontId="0" fillId="8" borderId="14" xfId="1" applyNumberFormat="1" applyFont="1" applyFill="1" applyBorder="1" applyAlignment="1">
      <alignment horizontal="center"/>
    </xf>
    <xf numFmtId="168" fontId="0" fillId="0" borderId="0" xfId="1" applyNumberFormat="1" applyFont="1"/>
    <xf numFmtId="167" fontId="0" fillId="6" borderId="0" xfId="0" applyNumberFormat="1" applyFill="1"/>
    <xf numFmtId="9" fontId="0" fillId="0" borderId="0" xfId="1" applyFont="1" applyAlignment="1">
      <alignment horizontal="right"/>
    </xf>
    <xf numFmtId="3" fontId="0" fillId="0" borderId="0" xfId="0" applyNumberFormat="1" applyAlignment="1">
      <alignment horizontal="left"/>
    </xf>
    <xf numFmtId="174" fontId="0" fillId="0" borderId="0" xfId="0" applyNumberFormat="1"/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15" xfId="0" applyFont="1" applyFill="1" applyBorder="1" applyAlignment="1">
      <alignment horizontal="center" vertical="center" textRotation="90"/>
    </xf>
    <xf numFmtId="0" fontId="2" fillId="3" borderId="16" xfId="0" applyFont="1" applyFill="1" applyBorder="1" applyAlignment="1">
      <alignment horizontal="center" vertical="center" textRotation="90"/>
    </xf>
    <xf numFmtId="0" fontId="8" fillId="0" borderId="0" xfId="0" applyFont="1" applyAlignment="1">
      <alignment horizontal="center"/>
    </xf>
  </cellXfs>
  <cellStyles count="3">
    <cellStyle name="Hyperlink" xfId="2" builtinId="8"/>
    <cellStyle name="Normal" xfId="0" builtinId="0"/>
    <cellStyle name="Per cent" xfId="1" builtinId="5"/>
  </cellStyles>
  <dxfs count="80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4764</xdr:colOff>
      <xdr:row>19</xdr:row>
      <xdr:rowOff>142876</xdr:rowOff>
    </xdr:from>
    <xdr:to>
      <xdr:col>3</xdr:col>
      <xdr:colOff>173147</xdr:colOff>
      <xdr:row>33</xdr:row>
      <xdr:rowOff>23814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9480E6-E343-FE66-7A6E-FD156A288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4" y="3762376"/>
          <a:ext cx="2654408" cy="2547938"/>
        </a:xfrm>
        <a:prstGeom prst="rect">
          <a:avLst/>
        </a:prstGeom>
      </xdr:spPr>
    </xdr:pic>
    <xdr:clientData/>
  </xdr:twoCellAnchor>
  <xdr:twoCellAnchor editAs="oneCell">
    <xdr:from>
      <xdr:col>3</xdr:col>
      <xdr:colOff>157163</xdr:colOff>
      <xdr:row>20</xdr:row>
      <xdr:rowOff>28576</xdr:rowOff>
    </xdr:from>
    <xdr:to>
      <xdr:col>7</xdr:col>
      <xdr:colOff>169297</xdr:colOff>
      <xdr:row>32</xdr:row>
      <xdr:rowOff>47626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3DE96D-3CF0-EB66-4A62-78CA65C7F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3188" y="3838576"/>
          <a:ext cx="4136459" cy="230505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4</xdr:row>
      <xdr:rowOff>19051</xdr:rowOff>
    </xdr:from>
    <xdr:to>
      <xdr:col>16</xdr:col>
      <xdr:colOff>120068</xdr:colOff>
      <xdr:row>14</xdr:row>
      <xdr:rowOff>76201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BE0F125-EBC0-3D83-0731-CF6CDF9C4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781051"/>
          <a:ext cx="3739568" cy="1962150"/>
        </a:xfrm>
        <a:prstGeom prst="rect">
          <a:avLst/>
        </a:prstGeom>
      </xdr:spPr>
    </xdr:pic>
    <xdr:clientData/>
  </xdr:twoCellAnchor>
  <xdr:twoCellAnchor editAs="oneCell">
    <xdr:from>
      <xdr:col>10</xdr:col>
      <xdr:colOff>528638</xdr:colOff>
      <xdr:row>17</xdr:row>
      <xdr:rowOff>42862</xdr:rowOff>
    </xdr:from>
    <xdr:to>
      <xdr:col>16</xdr:col>
      <xdr:colOff>265847</xdr:colOff>
      <xdr:row>31</xdr:row>
      <xdr:rowOff>23813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1C3D9F-35BC-11F0-4A77-02DB51A6C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7788" y="3281362"/>
          <a:ext cx="3394809" cy="26479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433388</xdr:colOff>
      <xdr:row>0</xdr:row>
      <xdr:rowOff>52388</xdr:rowOff>
    </xdr:from>
    <xdr:to>
      <xdr:col>18</xdr:col>
      <xdr:colOff>103264</xdr:colOff>
      <xdr:row>9</xdr:row>
      <xdr:rowOff>100013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9FD9FD-66C0-2725-296A-C7A6D9FD7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3713" y="52388"/>
          <a:ext cx="3937076" cy="17621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596900</xdr:colOff>
      <xdr:row>2</xdr:row>
      <xdr:rowOff>107951</xdr:rowOff>
    </xdr:from>
    <xdr:to>
      <xdr:col>7</xdr:col>
      <xdr:colOff>290981</xdr:colOff>
      <xdr:row>16</xdr:row>
      <xdr:rowOff>139701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2EAFEC-21DE-44F0-19BA-51AF6EAA9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900" y="1028701"/>
          <a:ext cx="3948581" cy="2609850"/>
        </a:xfrm>
        <a:prstGeom prst="rect">
          <a:avLst/>
        </a:prstGeom>
      </xdr:spPr>
    </xdr:pic>
    <xdr:clientData/>
  </xdr:twoCellAnchor>
  <xdr:twoCellAnchor editAs="oneCell">
    <xdr:from>
      <xdr:col>8</xdr:col>
      <xdr:colOff>298451</xdr:colOff>
      <xdr:row>2</xdr:row>
      <xdr:rowOff>76200</xdr:rowOff>
    </xdr:from>
    <xdr:to>
      <xdr:col>14</xdr:col>
      <xdr:colOff>577851</xdr:colOff>
      <xdr:row>16</xdr:row>
      <xdr:rowOff>110997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C52796-9433-858C-4743-96B772A03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7101" y="996950"/>
          <a:ext cx="3937000" cy="261289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17</xdr:row>
      <xdr:rowOff>88900</xdr:rowOff>
    </xdr:from>
    <xdr:to>
      <xdr:col>7</xdr:col>
      <xdr:colOff>285750</xdr:colOff>
      <xdr:row>32</xdr:row>
      <xdr:rowOff>4798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4EC7CF-AD43-76BB-9846-DBD33425B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" y="3771900"/>
          <a:ext cx="3917950" cy="2678148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228601</xdr:colOff>
      <xdr:row>17</xdr:row>
      <xdr:rowOff>69850</xdr:rowOff>
    </xdr:from>
    <xdr:to>
      <xdr:col>15</xdr:col>
      <xdr:colOff>44450</xdr:colOff>
      <xdr:row>32</xdr:row>
      <xdr:rowOff>72644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973DBEE-64E5-8136-D70C-131ECC416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7251" y="3752850"/>
          <a:ext cx="4083049" cy="276504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7937</xdr:colOff>
      <xdr:row>0</xdr:row>
      <xdr:rowOff>0</xdr:rowOff>
    </xdr:from>
    <xdr:to>
      <xdr:col>17</xdr:col>
      <xdr:colOff>14287</xdr:colOff>
      <xdr:row>164</xdr:row>
      <xdr:rowOff>177800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29638B6F-B22E-A4D0-BA0A-B3040EB532B2}"/>
            </a:ext>
          </a:extLst>
        </xdr:cNvPr>
        <xdr:cNvCxnSpPr/>
      </xdr:nvCxnSpPr>
      <xdr:spPr>
        <a:xfrm flipH="1">
          <a:off x="11876087" y="0"/>
          <a:ext cx="6350" cy="314198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</xdr:row>
      <xdr:rowOff>0</xdr:rowOff>
    </xdr:from>
    <xdr:to>
      <xdr:col>5</xdr:col>
      <xdr:colOff>6350</xdr:colOff>
      <xdr:row>164</xdr:row>
      <xdr:rowOff>25400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FCDA377B-C1F7-30A9-2AF1-1C457E60D97C}"/>
            </a:ext>
          </a:extLst>
        </xdr:cNvPr>
        <xdr:cNvCxnSpPr/>
      </xdr:nvCxnSpPr>
      <xdr:spPr>
        <a:xfrm>
          <a:off x="4679950" y="184150"/>
          <a:ext cx="6350" cy="283845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590550</xdr:colOff>
      <xdr:row>1</xdr:row>
      <xdr:rowOff>9525</xdr:rowOff>
    </xdr:from>
    <xdr:to>
      <xdr:col>10</xdr:col>
      <xdr:colOff>0</xdr:colOff>
      <xdr:row>65</xdr:row>
      <xdr:rowOff>3175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9029F032-442C-AA45-41B8-4B2CF77E0A86}"/>
            </a:ext>
          </a:extLst>
        </xdr:cNvPr>
        <xdr:cNvCxnSpPr/>
      </xdr:nvCxnSpPr>
      <xdr:spPr>
        <a:xfrm flipH="1">
          <a:off x="7153275" y="200025"/>
          <a:ext cx="19050" cy="1218565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</xdr:colOff>
      <xdr:row>3</xdr:row>
      <xdr:rowOff>172354</xdr:rowOff>
    </xdr:from>
    <xdr:to>
      <xdr:col>9</xdr:col>
      <xdr:colOff>18143</xdr:colOff>
      <xdr:row>25</xdr:row>
      <xdr:rowOff>0</xdr:rowOff>
    </xdr:to>
    <xdr:cxnSp macro="">
      <xdr:nvCxnSpPr>
        <xdr:cNvPr id="2" name="Gerader Verbinder 2">
          <a:extLst>
            <a:ext uri="{FF2B5EF4-FFF2-40B4-BE49-F238E27FC236}">
              <a16:creationId xmlns:a16="http://schemas.microsoft.com/office/drawing/2014/main" id="{5776F495-11CD-4DE0-BE21-F320F6139EED}"/>
            </a:ext>
          </a:extLst>
        </xdr:cNvPr>
        <xdr:cNvCxnSpPr/>
      </xdr:nvCxnSpPr>
      <xdr:spPr>
        <a:xfrm>
          <a:off x="8648702" y="566054"/>
          <a:ext cx="18141" cy="78531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7ff36870b9739543/Dokumente/1.Investing/1.Analysen/Fashion/Companies/Kering/Research%20und%20Bewertung/Kering.excl/Kering-Update%202024.xlsx" TargetMode="External"/><Relationship Id="rId1" Type="http://schemas.openxmlformats.org/officeDocument/2006/relationships/externalLinkPath" Target="https://d.docs.live.net/7ff36870b9739543/Dokumente/1.Investing/1.Analysen/Fashion/Companies/Kering/Research%20und%20Bewertung/Kering.excl/Kering-Update%20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rands Products "/>
      <sheetName val="Aktienkurs "/>
      <sheetName val="Input"/>
      <sheetName val="Financials-&gt;"/>
      <sheetName val="Income Statement "/>
      <sheetName val="Balance Sheet"/>
      <sheetName val="Cashflow Statement "/>
      <sheetName val="Ratios "/>
      <sheetName val="Relative Valuation"/>
    </sheetNames>
    <sheetDataSet>
      <sheetData sheetId="0">
        <row r="29">
          <cell r="D29">
            <v>7182</v>
          </cell>
        </row>
      </sheetData>
      <sheetData sheetId="1"/>
      <sheetData sheetId="2"/>
      <sheetData sheetId="3"/>
      <sheetData sheetId="4"/>
      <sheetData sheetId="5">
        <row r="16">
          <cell r="L16">
            <v>15198</v>
          </cell>
        </row>
        <row r="29">
          <cell r="L29">
            <v>5395</v>
          </cell>
        </row>
        <row r="38">
          <cell r="L38"/>
        </row>
      </sheetData>
      <sheetData sheetId="6">
        <row r="30">
          <cell r="L30">
            <v>4420</v>
          </cell>
        </row>
      </sheetData>
      <sheetData sheetId="7">
        <row r="19">
          <cell r="L19">
            <v>-1597</v>
          </cell>
        </row>
      </sheetData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kering.com/en/finance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kering.com/en/news/pierpaolo-piccioli-appointed-creative-director-of-balenciaga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76D03-558C-464F-8F0F-AA9F5CEE4D93}">
  <dimension ref="A1:N53"/>
  <sheetViews>
    <sheetView topLeftCell="E1" zoomScale="200" zoomScaleNormal="200" workbookViewId="0">
      <selection activeCell="H6" sqref="H6"/>
    </sheetView>
  </sheetViews>
  <sheetFormatPr defaultRowHeight="15" x14ac:dyDescent="0.25"/>
  <cols>
    <col min="1" max="1" width="4.28515625" customWidth="1"/>
    <col min="2" max="2" width="25.140625" customWidth="1"/>
    <col min="3" max="3" width="7.85546875" bestFit="1" customWidth="1"/>
    <col min="4" max="4" width="26.85546875" bestFit="1" customWidth="1"/>
    <col min="5" max="5" width="16.140625" customWidth="1"/>
    <col min="7" max="7" width="9.7109375" customWidth="1"/>
  </cols>
  <sheetData>
    <row r="1" spans="1:14" x14ac:dyDescent="0.25">
      <c r="A1" s="1" t="s">
        <v>0</v>
      </c>
    </row>
    <row r="2" spans="1:14" x14ac:dyDescent="0.25">
      <c r="A2" t="s">
        <v>111</v>
      </c>
      <c r="G2" t="s">
        <v>3</v>
      </c>
      <c r="H2">
        <v>174</v>
      </c>
    </row>
    <row r="3" spans="1:14" x14ac:dyDescent="0.25">
      <c r="G3" t="s">
        <v>4</v>
      </c>
      <c r="H3" s="13">
        <v>122.617597</v>
      </c>
      <c r="I3" s="16" t="s">
        <v>519</v>
      </c>
      <c r="M3" s="2"/>
    </row>
    <row r="4" spans="1:14" x14ac:dyDescent="0.25">
      <c r="B4" t="s">
        <v>112</v>
      </c>
      <c r="G4" t="s">
        <v>5</v>
      </c>
      <c r="H4" s="23">
        <f>H3*H2</f>
        <v>21335.461878000002</v>
      </c>
      <c r="K4" s="2"/>
      <c r="N4" s="23"/>
    </row>
    <row r="5" spans="1:14" x14ac:dyDescent="0.25">
      <c r="B5" s="11" t="s">
        <v>1</v>
      </c>
      <c r="G5" t="s">
        <v>6</v>
      </c>
      <c r="H5" s="23">
        <v>3518</v>
      </c>
      <c r="I5" s="16" t="s">
        <v>519</v>
      </c>
      <c r="N5" s="23"/>
    </row>
    <row r="6" spans="1:14" x14ac:dyDescent="0.25">
      <c r="G6" t="s">
        <v>7</v>
      </c>
      <c r="H6" s="23">
        <f>3479+10556</f>
        <v>14035</v>
      </c>
      <c r="I6" s="16" t="s">
        <v>519</v>
      </c>
      <c r="N6" s="23"/>
    </row>
    <row r="7" spans="1:14" x14ac:dyDescent="0.25">
      <c r="B7" s="8" t="s">
        <v>9</v>
      </c>
      <c r="C7" s="9" t="s">
        <v>351</v>
      </c>
      <c r="D7" s="9" t="s">
        <v>10</v>
      </c>
      <c r="E7" s="10" t="s">
        <v>24</v>
      </c>
      <c r="G7" t="s">
        <v>8</v>
      </c>
      <c r="H7" s="23">
        <f>H4+H6-H5</f>
        <v>31852.461878000002</v>
      </c>
      <c r="N7" s="23"/>
    </row>
    <row r="8" spans="1:14" x14ac:dyDescent="0.25">
      <c r="B8" s="3" t="s">
        <v>11</v>
      </c>
      <c r="C8" s="22">
        <f>1-SUM(C9:C12)</f>
        <v>0.43999999999999995</v>
      </c>
      <c r="D8" t="s">
        <v>25</v>
      </c>
      <c r="E8" s="4"/>
      <c r="N8" s="23"/>
    </row>
    <row r="9" spans="1:14" x14ac:dyDescent="0.25">
      <c r="B9" s="3" t="s">
        <v>12</v>
      </c>
      <c r="C9" s="22">
        <v>0.16</v>
      </c>
      <c r="D9" t="s">
        <v>25</v>
      </c>
      <c r="E9" s="4"/>
      <c r="H9" s="23"/>
    </row>
    <row r="10" spans="1:14" x14ac:dyDescent="0.25">
      <c r="B10" s="3" t="s">
        <v>13</v>
      </c>
      <c r="C10" s="22">
        <v>0.09</v>
      </c>
      <c r="D10" t="s">
        <v>25</v>
      </c>
      <c r="E10" s="4"/>
      <c r="G10" t="s">
        <v>151</v>
      </c>
    </row>
    <row r="11" spans="1:14" x14ac:dyDescent="0.25">
      <c r="B11" s="3" t="s">
        <v>14</v>
      </c>
      <c r="C11" s="22">
        <v>0.19</v>
      </c>
      <c r="D11" t="s">
        <v>15</v>
      </c>
      <c r="E11" s="4"/>
      <c r="G11" t="s">
        <v>498</v>
      </c>
      <c r="H11" s="114">
        <v>46930</v>
      </c>
    </row>
    <row r="12" spans="1:14" x14ac:dyDescent="0.25">
      <c r="B12" s="21" t="s">
        <v>16</v>
      </c>
      <c r="C12" s="22">
        <v>0.12</v>
      </c>
      <c r="E12" s="4"/>
    </row>
    <row r="13" spans="1:14" x14ac:dyDescent="0.25">
      <c r="B13" s="3" t="s">
        <v>17</v>
      </c>
      <c r="D13" t="s">
        <v>26</v>
      </c>
      <c r="E13" s="4"/>
      <c r="G13" s="2" t="s">
        <v>512</v>
      </c>
    </row>
    <row r="14" spans="1:14" x14ac:dyDescent="0.25">
      <c r="B14" s="3" t="s">
        <v>18</v>
      </c>
      <c r="D14" t="s">
        <v>26</v>
      </c>
      <c r="E14" s="4"/>
      <c r="G14" t="s">
        <v>392</v>
      </c>
    </row>
    <row r="15" spans="1:14" x14ac:dyDescent="0.25">
      <c r="B15" s="3" t="s">
        <v>19</v>
      </c>
      <c r="D15" t="s">
        <v>26</v>
      </c>
      <c r="E15" s="4"/>
      <c r="G15" t="s">
        <v>393</v>
      </c>
    </row>
    <row r="16" spans="1:14" x14ac:dyDescent="0.25">
      <c r="B16" s="3" t="s">
        <v>20</v>
      </c>
      <c r="D16" t="s">
        <v>27</v>
      </c>
      <c r="E16" s="4"/>
      <c r="G16" t="s">
        <v>497</v>
      </c>
    </row>
    <row r="17" spans="2:12" x14ac:dyDescent="0.25">
      <c r="B17" s="3" t="s">
        <v>21</v>
      </c>
      <c r="D17" t="s">
        <v>28</v>
      </c>
      <c r="E17" s="4"/>
      <c r="G17" t="s">
        <v>496</v>
      </c>
      <c r="L17" s="2" t="s">
        <v>518</v>
      </c>
    </row>
    <row r="18" spans="2:12" x14ac:dyDescent="0.25">
      <c r="B18" s="3" t="s">
        <v>22</v>
      </c>
      <c r="D18" t="s">
        <v>28</v>
      </c>
      <c r="E18" s="4"/>
    </row>
    <row r="19" spans="2:12" x14ac:dyDescent="0.25">
      <c r="B19" s="5" t="s">
        <v>23</v>
      </c>
      <c r="C19" s="6"/>
      <c r="D19" s="6" t="s">
        <v>28</v>
      </c>
      <c r="E19" s="7"/>
      <c r="G19" t="s">
        <v>470</v>
      </c>
      <c r="H19">
        <v>1.07</v>
      </c>
    </row>
    <row r="31" spans="2:12" x14ac:dyDescent="0.25">
      <c r="J31" s="2" t="s">
        <v>500</v>
      </c>
    </row>
    <row r="32" spans="2:12" x14ac:dyDescent="0.25">
      <c r="J32" t="s">
        <v>501</v>
      </c>
    </row>
    <row r="33" spans="2:11" x14ac:dyDescent="0.25">
      <c r="J33" t="s">
        <v>504</v>
      </c>
    </row>
    <row r="34" spans="2:11" x14ac:dyDescent="0.25">
      <c r="J34" t="s">
        <v>505</v>
      </c>
    </row>
    <row r="35" spans="2:11" x14ac:dyDescent="0.25">
      <c r="J35" t="s">
        <v>502</v>
      </c>
    </row>
    <row r="36" spans="2:11" x14ac:dyDescent="0.25">
      <c r="B36" t="s">
        <v>115</v>
      </c>
      <c r="C36" s="22">
        <v>0.78</v>
      </c>
      <c r="J36" t="s">
        <v>503</v>
      </c>
    </row>
    <row r="37" spans="2:11" x14ac:dyDescent="0.25">
      <c r="B37" t="s">
        <v>116</v>
      </c>
      <c r="C37" s="22">
        <v>0.22</v>
      </c>
      <c r="J37" t="s">
        <v>506</v>
      </c>
    </row>
    <row r="39" spans="2:11" x14ac:dyDescent="0.25">
      <c r="B39" s="2" t="s">
        <v>113</v>
      </c>
      <c r="J39" s="2" t="s">
        <v>337</v>
      </c>
    </row>
    <row r="40" spans="2:11" x14ac:dyDescent="0.25">
      <c r="B40" t="s">
        <v>114</v>
      </c>
      <c r="J40" t="s">
        <v>389</v>
      </c>
      <c r="K40" s="102">
        <v>1768</v>
      </c>
    </row>
    <row r="41" spans="2:11" x14ac:dyDescent="0.25">
      <c r="B41" t="s">
        <v>358</v>
      </c>
      <c r="J41" t="s">
        <v>384</v>
      </c>
      <c r="K41">
        <v>75</v>
      </c>
    </row>
    <row r="42" spans="2:11" x14ac:dyDescent="0.25">
      <c r="B42" t="s">
        <v>359</v>
      </c>
      <c r="J42" t="s">
        <v>499</v>
      </c>
    </row>
    <row r="43" spans="2:11" x14ac:dyDescent="0.25">
      <c r="B43" t="s">
        <v>388</v>
      </c>
    </row>
    <row r="44" spans="2:11" x14ac:dyDescent="0.25">
      <c r="B44" t="s">
        <v>508</v>
      </c>
    </row>
    <row r="45" spans="2:11" x14ac:dyDescent="0.25">
      <c r="B45" t="s">
        <v>482</v>
      </c>
    </row>
    <row r="46" spans="2:11" x14ac:dyDescent="0.25">
      <c r="B46" t="s">
        <v>483</v>
      </c>
    </row>
    <row r="47" spans="2:11" x14ac:dyDescent="0.25">
      <c r="B47" t="s">
        <v>513</v>
      </c>
    </row>
    <row r="48" spans="2:11" x14ac:dyDescent="0.25">
      <c r="B48" t="s">
        <v>491</v>
      </c>
    </row>
    <row r="49" spans="2:2" x14ac:dyDescent="0.25">
      <c r="B49" t="s">
        <v>492</v>
      </c>
    </row>
    <row r="50" spans="2:2" x14ac:dyDescent="0.25">
      <c r="B50" t="s">
        <v>493</v>
      </c>
    </row>
    <row r="51" spans="2:2" x14ac:dyDescent="0.25">
      <c r="B51" t="s">
        <v>507</v>
      </c>
    </row>
    <row r="52" spans="2:2" x14ac:dyDescent="0.25">
      <c r="B52" t="s">
        <v>514</v>
      </c>
    </row>
    <row r="53" spans="2:2" x14ac:dyDescent="0.25">
      <c r="B53" t="s">
        <v>517</v>
      </c>
    </row>
  </sheetData>
  <hyperlinks>
    <hyperlink ref="B5" r:id="rId1" xr:uid="{7ACF1402-D1B3-4913-A96D-2DF9C97870DB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D5ED4-7405-435A-A1C5-535959068216}">
  <dimension ref="A1:J81"/>
  <sheetViews>
    <sheetView showGridLines="0" tabSelected="1" zoomScale="200" zoomScaleNormal="200" workbookViewId="0">
      <selection activeCell="D47" sqref="D47"/>
    </sheetView>
  </sheetViews>
  <sheetFormatPr defaultRowHeight="15" x14ac:dyDescent="0.25"/>
  <cols>
    <col min="1" max="1" width="4.7109375" bestFit="1" customWidth="1"/>
  </cols>
  <sheetData>
    <row r="1" spans="1:10" x14ac:dyDescent="0.25">
      <c r="A1" s="11" t="s">
        <v>29</v>
      </c>
    </row>
    <row r="3" spans="1:10" x14ac:dyDescent="0.25">
      <c r="B3" s="1" t="s">
        <v>318</v>
      </c>
    </row>
    <row r="4" spans="1:10" x14ac:dyDescent="0.25">
      <c r="B4" t="s">
        <v>399</v>
      </c>
      <c r="I4" s="2" t="s">
        <v>372</v>
      </c>
      <c r="J4" t="s">
        <v>409</v>
      </c>
    </row>
    <row r="5" spans="1:10" x14ac:dyDescent="0.25">
      <c r="B5" t="s">
        <v>438</v>
      </c>
      <c r="J5" t="s">
        <v>410</v>
      </c>
    </row>
    <row r="6" spans="1:10" x14ac:dyDescent="0.25">
      <c r="B6" t="s">
        <v>515</v>
      </c>
      <c r="J6" t="s">
        <v>411</v>
      </c>
    </row>
    <row r="7" spans="1:10" x14ac:dyDescent="0.25">
      <c r="B7" t="s">
        <v>368</v>
      </c>
      <c r="J7" t="s">
        <v>412</v>
      </c>
    </row>
    <row r="8" spans="1:10" x14ac:dyDescent="0.25">
      <c r="B8" t="s">
        <v>369</v>
      </c>
      <c r="J8" t="s">
        <v>413</v>
      </c>
    </row>
    <row r="10" spans="1:10" x14ac:dyDescent="0.25">
      <c r="B10" s="2" t="s">
        <v>404</v>
      </c>
    </row>
    <row r="11" spans="1:10" x14ac:dyDescent="0.25">
      <c r="B11" t="s">
        <v>516</v>
      </c>
    </row>
    <row r="12" spans="1:10" x14ac:dyDescent="0.25">
      <c r="B12" s="84"/>
    </row>
    <row r="13" spans="1:10" x14ac:dyDescent="0.25">
      <c r="B13" t="s">
        <v>401</v>
      </c>
    </row>
    <row r="14" spans="1:10" x14ac:dyDescent="0.25">
      <c r="B14" t="s">
        <v>402</v>
      </c>
    </row>
    <row r="16" spans="1:10" x14ac:dyDescent="0.25">
      <c r="B16" t="s">
        <v>400</v>
      </c>
    </row>
    <row r="17" spans="2:10" x14ac:dyDescent="0.25">
      <c r="B17" t="s">
        <v>403</v>
      </c>
    </row>
    <row r="18" spans="2:10" x14ac:dyDescent="0.25">
      <c r="B18" t="s">
        <v>405</v>
      </c>
    </row>
    <row r="20" spans="2:10" x14ac:dyDescent="0.25">
      <c r="B20" t="s">
        <v>406</v>
      </c>
      <c r="D20" t="s">
        <v>407</v>
      </c>
    </row>
    <row r="21" spans="2:10" x14ac:dyDescent="0.25">
      <c r="B21" t="s">
        <v>408</v>
      </c>
    </row>
    <row r="23" spans="2:10" x14ac:dyDescent="0.25">
      <c r="B23" s="1" t="s">
        <v>326</v>
      </c>
    </row>
    <row r="24" spans="2:10" x14ac:dyDescent="0.25">
      <c r="B24" t="s">
        <v>509</v>
      </c>
      <c r="I24" s="2" t="s">
        <v>372</v>
      </c>
      <c r="J24" t="s">
        <v>414</v>
      </c>
    </row>
    <row r="25" spans="2:10" x14ac:dyDescent="0.25">
      <c r="B25" t="s">
        <v>397</v>
      </c>
      <c r="J25" t="s">
        <v>415</v>
      </c>
    </row>
    <row r="26" spans="2:10" x14ac:dyDescent="0.25">
      <c r="B26" t="s">
        <v>373</v>
      </c>
      <c r="J26" t="s">
        <v>416</v>
      </c>
    </row>
    <row r="27" spans="2:10" x14ac:dyDescent="0.25">
      <c r="B27" t="s">
        <v>374</v>
      </c>
      <c r="J27" t="s">
        <v>417</v>
      </c>
    </row>
    <row r="30" spans="2:10" x14ac:dyDescent="0.25">
      <c r="B30" s="1" t="s">
        <v>378</v>
      </c>
      <c r="I30" s="2" t="s">
        <v>372</v>
      </c>
      <c r="J30" t="s">
        <v>418</v>
      </c>
    </row>
    <row r="31" spans="2:10" x14ac:dyDescent="0.25">
      <c r="B31" t="s">
        <v>398</v>
      </c>
      <c r="J31" t="s">
        <v>419</v>
      </c>
    </row>
    <row r="32" spans="2:10" x14ac:dyDescent="0.25">
      <c r="B32" t="s">
        <v>511</v>
      </c>
      <c r="J32" t="s">
        <v>420</v>
      </c>
    </row>
    <row r="33" spans="2:10" x14ac:dyDescent="0.25">
      <c r="B33" t="s">
        <v>379</v>
      </c>
      <c r="J33" t="s">
        <v>421</v>
      </c>
    </row>
    <row r="34" spans="2:10" x14ac:dyDescent="0.25">
      <c r="B34" t="s">
        <v>380</v>
      </c>
    </row>
    <row r="37" spans="2:10" x14ac:dyDescent="0.25">
      <c r="B37" s="1" t="s">
        <v>381</v>
      </c>
      <c r="I37" s="2" t="s">
        <v>372</v>
      </c>
      <c r="J37" t="s">
        <v>422</v>
      </c>
    </row>
    <row r="38" spans="2:10" x14ac:dyDescent="0.25">
      <c r="B38" t="s">
        <v>382</v>
      </c>
      <c r="J38" t="s">
        <v>423</v>
      </c>
    </row>
    <row r="39" spans="2:10" x14ac:dyDescent="0.25">
      <c r="B39" t="s">
        <v>383</v>
      </c>
      <c r="J39" t="s">
        <v>424</v>
      </c>
    </row>
    <row r="40" spans="2:10" x14ac:dyDescent="0.25">
      <c r="J40" t="s">
        <v>425</v>
      </c>
    </row>
    <row r="41" spans="2:10" x14ac:dyDescent="0.25">
      <c r="B41" s="2" t="s">
        <v>430</v>
      </c>
      <c r="E41" s="2"/>
      <c r="J41" t="s">
        <v>426</v>
      </c>
    </row>
    <row r="42" spans="2:10" x14ac:dyDescent="0.25">
      <c r="B42" t="s">
        <v>510</v>
      </c>
      <c r="I42" s="2" t="s">
        <v>372</v>
      </c>
    </row>
    <row r="43" spans="2:10" x14ac:dyDescent="0.25">
      <c r="B43" t="s">
        <v>523</v>
      </c>
      <c r="D43" s="11" t="s">
        <v>524</v>
      </c>
      <c r="I43" t="s">
        <v>436</v>
      </c>
    </row>
    <row r="45" spans="2:10" x14ac:dyDescent="0.25">
      <c r="B45" s="2" t="s">
        <v>431</v>
      </c>
      <c r="E45" s="2"/>
      <c r="G45" s="2" t="s">
        <v>372</v>
      </c>
    </row>
    <row r="46" spans="2:10" x14ac:dyDescent="0.25">
      <c r="B46" t="s">
        <v>440</v>
      </c>
      <c r="G46" t="s">
        <v>436</v>
      </c>
    </row>
    <row r="47" spans="2:10" x14ac:dyDescent="0.25">
      <c r="B47" t="s">
        <v>439</v>
      </c>
    </row>
    <row r="49" spans="2:7" x14ac:dyDescent="0.25">
      <c r="B49" s="2" t="s">
        <v>19</v>
      </c>
      <c r="E49" s="2"/>
      <c r="G49" s="2" t="s">
        <v>372</v>
      </c>
    </row>
    <row r="50" spans="2:7" x14ac:dyDescent="0.25">
      <c r="B50" t="s">
        <v>441</v>
      </c>
      <c r="G50" t="s">
        <v>437</v>
      </c>
    </row>
    <row r="51" spans="2:7" x14ac:dyDescent="0.25">
      <c r="B51" t="s">
        <v>442</v>
      </c>
    </row>
    <row r="53" spans="2:7" x14ac:dyDescent="0.25">
      <c r="B53" s="2" t="s">
        <v>432</v>
      </c>
      <c r="E53" s="2"/>
      <c r="G53" s="2" t="s">
        <v>372</v>
      </c>
    </row>
    <row r="54" spans="2:7" x14ac:dyDescent="0.25">
      <c r="B54" t="s">
        <v>443</v>
      </c>
      <c r="G54" t="s">
        <v>28</v>
      </c>
    </row>
    <row r="55" spans="2:7" x14ac:dyDescent="0.25">
      <c r="B55" t="s">
        <v>448</v>
      </c>
    </row>
    <row r="57" spans="2:7" x14ac:dyDescent="0.25">
      <c r="B57" s="2" t="s">
        <v>21</v>
      </c>
      <c r="E57" s="2"/>
      <c r="G57" s="2" t="s">
        <v>372</v>
      </c>
    </row>
    <row r="58" spans="2:7" x14ac:dyDescent="0.25">
      <c r="B58" t="s">
        <v>444</v>
      </c>
      <c r="G58" t="s">
        <v>28</v>
      </c>
    </row>
    <row r="59" spans="2:7" x14ac:dyDescent="0.25">
      <c r="B59" t="s">
        <v>447</v>
      </c>
    </row>
    <row r="61" spans="2:7" x14ac:dyDescent="0.25">
      <c r="B61" s="2" t="s">
        <v>433</v>
      </c>
      <c r="E61" s="2"/>
      <c r="G61" s="2" t="s">
        <v>372</v>
      </c>
    </row>
    <row r="62" spans="2:7" x14ac:dyDescent="0.25">
      <c r="B62" t="s">
        <v>444</v>
      </c>
      <c r="G62" t="s">
        <v>28</v>
      </c>
    </row>
    <row r="63" spans="2:7" x14ac:dyDescent="0.25">
      <c r="B63" t="s">
        <v>447</v>
      </c>
    </row>
    <row r="65" spans="2:10" x14ac:dyDescent="0.25">
      <c r="B65" s="2" t="s">
        <v>434</v>
      </c>
      <c r="E65" s="2"/>
      <c r="G65" s="2" t="s">
        <v>372</v>
      </c>
    </row>
    <row r="66" spans="2:10" x14ac:dyDescent="0.25">
      <c r="B66" t="s">
        <v>445</v>
      </c>
      <c r="G66" t="s">
        <v>28</v>
      </c>
    </row>
    <row r="67" spans="2:10" x14ac:dyDescent="0.25">
      <c r="B67" t="s">
        <v>446</v>
      </c>
    </row>
    <row r="69" spans="2:10" x14ac:dyDescent="0.25">
      <c r="B69" s="2" t="s">
        <v>449</v>
      </c>
      <c r="E69" s="2"/>
      <c r="G69" s="2" t="s">
        <v>372</v>
      </c>
    </row>
    <row r="70" spans="2:10" x14ac:dyDescent="0.25">
      <c r="B70" t="s">
        <v>450</v>
      </c>
      <c r="G70" t="s">
        <v>451</v>
      </c>
    </row>
    <row r="72" spans="2:10" x14ac:dyDescent="0.25">
      <c r="B72" s="2" t="s">
        <v>435</v>
      </c>
      <c r="E72" s="2"/>
      <c r="G72" s="2" t="s">
        <v>372</v>
      </c>
    </row>
    <row r="73" spans="2:10" x14ac:dyDescent="0.25">
      <c r="B73" t="s">
        <v>452</v>
      </c>
      <c r="G73" t="s">
        <v>453</v>
      </c>
    </row>
    <row r="75" spans="2:10" x14ac:dyDescent="0.25">
      <c r="B75" s="1" t="s">
        <v>387</v>
      </c>
      <c r="J75" t="s">
        <v>427</v>
      </c>
    </row>
    <row r="76" spans="2:10" x14ac:dyDescent="0.25">
      <c r="B76" t="s">
        <v>429</v>
      </c>
      <c r="J76" t="s">
        <v>428</v>
      </c>
    </row>
    <row r="77" spans="2:10" x14ac:dyDescent="0.25">
      <c r="B77" t="s">
        <v>382</v>
      </c>
    </row>
    <row r="78" spans="2:10" x14ac:dyDescent="0.25">
      <c r="B78" t="s">
        <v>383</v>
      </c>
    </row>
    <row r="81" spans="2:2" x14ac:dyDescent="0.25">
      <c r="B81" t="s">
        <v>490</v>
      </c>
    </row>
  </sheetData>
  <hyperlinks>
    <hyperlink ref="A1" location="Main!A1" display="Main" xr:uid="{2E095623-426A-4877-A454-314422E3B28F}"/>
    <hyperlink ref="D43" r:id="rId1" xr:uid="{8E1BC609-4B93-434C-8446-FD0156E75F1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18374-23ED-4A40-9C48-9BEB4D31C926}">
  <dimension ref="A1:B51"/>
  <sheetViews>
    <sheetView showGridLines="0" topLeftCell="A43" zoomScale="200" zoomScaleNormal="200" workbookViewId="0">
      <selection activeCell="B51" sqref="B51"/>
    </sheetView>
  </sheetViews>
  <sheetFormatPr defaultRowHeight="15" x14ac:dyDescent="0.25"/>
  <cols>
    <col min="1" max="1" width="2.42578125" customWidth="1"/>
  </cols>
  <sheetData>
    <row r="1" spans="1:1" s="1" customFormat="1" x14ac:dyDescent="0.25">
      <c r="A1" s="1" t="s">
        <v>454</v>
      </c>
    </row>
    <row r="51" spans="2:2" x14ac:dyDescent="0.25">
      <c r="B51" t="s">
        <v>467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2968D-F7BE-47B4-8A09-15EA14A5A04E}">
  <dimension ref="A1:BH183"/>
  <sheetViews>
    <sheetView zoomScale="200" zoomScaleNormal="200" workbookViewId="0">
      <pane xSplit="2" ySplit="2" topLeftCell="I3" activePane="bottomRight" state="frozen"/>
      <selection pane="topRight" activeCell="C1" sqref="C1"/>
      <selection pane="bottomLeft" activeCell="A3" sqref="A3"/>
      <selection pane="bottomRight" activeCell="J44" sqref="J44:Q44"/>
    </sheetView>
  </sheetViews>
  <sheetFormatPr defaultRowHeight="15" x14ac:dyDescent="0.25"/>
  <cols>
    <col min="1" max="1" width="4.7109375" bestFit="1" customWidth="1"/>
    <col min="2" max="2" width="36.140625" bestFit="1" customWidth="1"/>
  </cols>
  <sheetData>
    <row r="1" spans="1:24" x14ac:dyDescent="0.25">
      <c r="A1" s="11" t="s">
        <v>29</v>
      </c>
    </row>
    <row r="2" spans="1:24" x14ac:dyDescent="0.25">
      <c r="B2" s="2" t="s">
        <v>173</v>
      </c>
      <c r="C2" s="16" t="s">
        <v>319</v>
      </c>
      <c r="D2" s="16" t="s">
        <v>320</v>
      </c>
      <c r="E2" s="16" t="s">
        <v>321</v>
      </c>
      <c r="F2" s="16" t="s">
        <v>322</v>
      </c>
      <c r="G2" s="16" t="s">
        <v>323</v>
      </c>
      <c r="H2" s="16" t="s">
        <v>324</v>
      </c>
      <c r="I2" s="16"/>
      <c r="J2" s="16" t="s">
        <v>35</v>
      </c>
      <c r="K2" s="16" t="s">
        <v>36</v>
      </c>
      <c r="L2" s="16" t="s">
        <v>37</v>
      </c>
      <c r="M2" s="16" t="s">
        <v>38</v>
      </c>
      <c r="N2" s="16" t="s">
        <v>39</v>
      </c>
      <c r="O2" s="16" t="s">
        <v>40</v>
      </c>
      <c r="P2" s="16" t="s">
        <v>41</v>
      </c>
      <c r="Q2" s="16" t="s">
        <v>42</v>
      </c>
      <c r="R2" s="16" t="s">
        <v>455</v>
      </c>
      <c r="S2" s="16" t="s">
        <v>456</v>
      </c>
      <c r="T2" s="16" t="s">
        <v>457</v>
      </c>
      <c r="U2" s="16" t="s">
        <v>458</v>
      </c>
      <c r="V2" s="16" t="s">
        <v>459</v>
      </c>
      <c r="W2" s="16" t="s">
        <v>460</v>
      </c>
    </row>
    <row r="3" spans="1:24" x14ac:dyDescent="0.25">
      <c r="B3" t="s">
        <v>461</v>
      </c>
      <c r="C3" s="23"/>
      <c r="D3" s="23"/>
      <c r="E3" s="23"/>
      <c r="F3" s="23"/>
      <c r="G3" s="23"/>
      <c r="H3" s="23"/>
      <c r="I3" s="23"/>
      <c r="J3" s="23"/>
      <c r="K3" s="23">
        <v>26740</v>
      </c>
      <c r="L3" s="23">
        <v>27550</v>
      </c>
      <c r="M3" s="23">
        <v>21940</v>
      </c>
      <c r="N3" s="23">
        <v>24870</v>
      </c>
      <c r="O3" s="23">
        <v>26470</v>
      </c>
      <c r="P3" s="23">
        <v>29180</v>
      </c>
      <c r="Q3" s="23">
        <v>29830</v>
      </c>
      <c r="R3" s="23">
        <v>30520</v>
      </c>
      <c r="S3" s="23">
        <v>31190</v>
      </c>
      <c r="T3" s="23">
        <v>31870</v>
      </c>
      <c r="U3" s="23">
        <v>32530</v>
      </c>
      <c r="V3" s="23">
        <v>33190</v>
      </c>
      <c r="W3" s="23"/>
      <c r="X3" s="23"/>
    </row>
    <row r="4" spans="1:24" x14ac:dyDescent="0.25">
      <c r="B4" t="s">
        <v>462</v>
      </c>
      <c r="C4" s="23"/>
      <c r="D4" s="23"/>
      <c r="E4" s="23"/>
      <c r="F4" s="23"/>
      <c r="G4" s="23"/>
      <c r="H4" s="23"/>
      <c r="I4" s="23"/>
      <c r="J4" s="23"/>
      <c r="K4" s="23">
        <v>117900</v>
      </c>
      <c r="L4" s="23">
        <v>124700</v>
      </c>
      <c r="M4" s="23">
        <v>110900</v>
      </c>
      <c r="N4" s="23">
        <v>120000</v>
      </c>
      <c r="O4" s="23">
        <v>125500</v>
      </c>
      <c r="P4" s="23">
        <v>142100</v>
      </c>
      <c r="Q4" s="23">
        <v>145400</v>
      </c>
      <c r="R4" s="23">
        <v>150400</v>
      </c>
      <c r="S4" s="23">
        <v>155300</v>
      </c>
      <c r="T4" s="23">
        <v>160200</v>
      </c>
      <c r="U4" s="23">
        <v>165000</v>
      </c>
      <c r="V4" s="23">
        <v>169800</v>
      </c>
      <c r="W4" s="23"/>
      <c r="X4" s="23"/>
    </row>
    <row r="5" spans="1:24" x14ac:dyDescent="0.25">
      <c r="B5" t="s">
        <v>463</v>
      </c>
      <c r="C5" s="23"/>
      <c r="D5" s="23"/>
      <c r="E5" s="23"/>
      <c r="F5" s="23"/>
      <c r="G5" s="23"/>
      <c r="H5" s="23"/>
      <c r="I5" s="23"/>
      <c r="J5" s="23"/>
      <c r="K5" s="23">
        <v>50860</v>
      </c>
      <c r="L5" s="23">
        <v>55900</v>
      </c>
      <c r="M5" s="23">
        <v>46490</v>
      </c>
      <c r="N5" s="23">
        <v>55990</v>
      </c>
      <c r="O5" s="23">
        <v>59620</v>
      </c>
      <c r="P5" s="23">
        <v>69130</v>
      </c>
      <c r="Q5" s="23">
        <v>72350</v>
      </c>
      <c r="R5" s="23">
        <v>76130</v>
      </c>
      <c r="S5" s="23">
        <v>79840</v>
      </c>
      <c r="T5" s="23">
        <v>83520</v>
      </c>
      <c r="U5" s="23">
        <v>87170</v>
      </c>
      <c r="V5" s="23">
        <v>90780</v>
      </c>
      <c r="W5" s="23"/>
      <c r="X5" s="23"/>
    </row>
    <row r="6" spans="1:24" x14ac:dyDescent="0.25">
      <c r="B6" t="s">
        <v>464</v>
      </c>
      <c r="C6" s="23"/>
      <c r="D6" s="23"/>
      <c r="E6" s="23"/>
      <c r="F6" s="23"/>
      <c r="G6" s="23"/>
      <c r="H6" s="23"/>
      <c r="I6" s="23"/>
      <c r="J6" s="23"/>
      <c r="K6" s="23">
        <v>122000</v>
      </c>
      <c r="L6" s="23">
        <v>129300</v>
      </c>
      <c r="M6" s="23">
        <v>106800</v>
      </c>
      <c r="N6" s="23">
        <v>122300</v>
      </c>
      <c r="O6" s="23">
        <v>129900</v>
      </c>
      <c r="P6" s="23">
        <v>150600</v>
      </c>
      <c r="Q6" s="23">
        <v>157600</v>
      </c>
      <c r="R6" s="23">
        <v>166400</v>
      </c>
      <c r="S6" s="23">
        <v>175200</v>
      </c>
      <c r="T6" s="23">
        <v>183900</v>
      </c>
      <c r="U6" s="23">
        <v>192400</v>
      </c>
      <c r="V6" s="23">
        <v>200900</v>
      </c>
      <c r="W6" s="23"/>
      <c r="X6" s="23"/>
    </row>
    <row r="7" spans="1:24" x14ac:dyDescent="0.25">
      <c r="B7" t="s">
        <v>465</v>
      </c>
      <c r="C7" s="23"/>
      <c r="D7" s="23"/>
      <c r="E7" s="23"/>
      <c r="F7" s="23"/>
      <c r="G7" s="23"/>
      <c r="H7" s="23"/>
      <c r="I7" s="23"/>
      <c r="J7" s="23"/>
      <c r="K7" s="23">
        <v>58240</v>
      </c>
      <c r="L7" s="23">
        <v>62100</v>
      </c>
      <c r="M7" s="23">
        <v>52010</v>
      </c>
      <c r="N7" s="23">
        <v>59010</v>
      </c>
      <c r="O7" s="23">
        <v>64430</v>
      </c>
      <c r="P7" s="23">
        <v>63300</v>
      </c>
      <c r="Q7" s="23">
        <v>68750</v>
      </c>
      <c r="R7" s="23">
        <v>71700</v>
      </c>
      <c r="S7" s="23">
        <v>74590</v>
      </c>
      <c r="T7" s="23">
        <v>77450</v>
      </c>
      <c r="U7" s="23">
        <v>80280</v>
      </c>
      <c r="V7" s="23">
        <v>83080</v>
      </c>
      <c r="W7" s="23"/>
      <c r="X7" s="23"/>
    </row>
    <row r="8" spans="1:24" x14ac:dyDescent="0.25">
      <c r="B8" t="s">
        <v>466</v>
      </c>
      <c r="C8" s="23"/>
      <c r="D8" s="23"/>
      <c r="E8" s="23"/>
      <c r="F8" s="23"/>
      <c r="G8" s="23"/>
      <c r="H8" s="23"/>
      <c r="I8" s="23"/>
      <c r="J8" s="23"/>
      <c r="K8" s="23">
        <f>+SUM(K3:K7)</f>
        <v>375740</v>
      </c>
      <c r="L8" s="23">
        <f t="shared" ref="L8" si="0">+SUM(L3:L7)</f>
        <v>399550</v>
      </c>
      <c r="M8" s="23">
        <f t="shared" ref="M8:P8" si="1">+SUM(M3:M7)</f>
        <v>338140</v>
      </c>
      <c r="N8" s="23">
        <f t="shared" si="1"/>
        <v>382170</v>
      </c>
      <c r="O8" s="23">
        <f t="shared" si="1"/>
        <v>405920</v>
      </c>
      <c r="P8" s="23">
        <f t="shared" si="1"/>
        <v>454310</v>
      </c>
      <c r="Q8" s="23">
        <f t="shared" ref="Q8" si="2">+SUM(Q3:Q7)</f>
        <v>473930</v>
      </c>
      <c r="R8" s="23">
        <f t="shared" ref="R8" si="3">+SUM(R3:R7)</f>
        <v>495150</v>
      </c>
      <c r="S8" s="23">
        <f t="shared" ref="S8" si="4">+SUM(S3:S7)</f>
        <v>516120</v>
      </c>
      <c r="T8" s="23">
        <f t="shared" ref="T8" si="5">+SUM(T3:T7)</f>
        <v>536940</v>
      </c>
      <c r="U8" s="23">
        <f t="shared" ref="U8" si="6">+SUM(U3:U7)</f>
        <v>557380</v>
      </c>
      <c r="V8" s="23">
        <f t="shared" ref="V8" si="7">+SUM(V3:V7)</f>
        <v>577750</v>
      </c>
      <c r="W8" s="23"/>
      <c r="X8" s="23"/>
    </row>
    <row r="9" spans="1:24" x14ac:dyDescent="0.25">
      <c r="B9" t="s">
        <v>468</v>
      </c>
      <c r="C9" s="23"/>
      <c r="D9" s="23"/>
      <c r="E9" s="23"/>
      <c r="F9" s="23"/>
      <c r="G9" s="23"/>
      <c r="H9" s="23"/>
      <c r="I9" s="23"/>
      <c r="J9" s="23"/>
      <c r="K9" s="23">
        <f>+K44*Main!$H$19</f>
        <v>14621.764000000001</v>
      </c>
      <c r="L9" s="23">
        <f>+L44*Main!$H$19</f>
        <v>16995.345000000001</v>
      </c>
      <c r="M9" s="23">
        <f>+M44*Main!$H$19</f>
        <v>14017.214</v>
      </c>
      <c r="N9" s="23">
        <f>+N44*Main!$H$19</f>
        <v>18880.150000000001</v>
      </c>
      <c r="O9" s="23">
        <f>+O44*Main!$H$19</f>
        <v>21775.57</v>
      </c>
      <c r="P9" s="23">
        <f>+P44*Main!$H$19</f>
        <v>20935.620000000003</v>
      </c>
      <c r="Q9" s="23">
        <f>+Q44*Main!$H$19</f>
        <v>18397.580000000002</v>
      </c>
      <c r="R9" s="23">
        <f>+R8*R10</f>
        <v>22281.75</v>
      </c>
      <c r="S9" s="23">
        <f t="shared" ref="S9:V9" si="8">+S8*S10</f>
        <v>24257.64</v>
      </c>
      <c r="T9" s="23">
        <f t="shared" si="8"/>
        <v>26847</v>
      </c>
      <c r="U9" s="23">
        <f t="shared" si="8"/>
        <v>28983.759999999998</v>
      </c>
      <c r="V9" s="23">
        <f t="shared" si="8"/>
        <v>31776.25</v>
      </c>
      <c r="W9" s="23"/>
      <c r="X9" s="23"/>
    </row>
    <row r="10" spans="1:24" x14ac:dyDescent="0.25">
      <c r="B10" t="s">
        <v>469</v>
      </c>
      <c r="C10" s="23"/>
      <c r="D10" s="23"/>
      <c r="E10" s="23"/>
      <c r="F10" s="23"/>
      <c r="G10" s="23"/>
      <c r="H10" s="23"/>
      <c r="I10" s="23"/>
      <c r="J10" s="23"/>
      <c r="K10" s="111">
        <f>+K9/K8</f>
        <v>3.8914579230318838E-2</v>
      </c>
      <c r="L10" s="111">
        <f t="shared" ref="L10:Q10" si="9">+L9/L8</f>
        <v>4.2536215742710555E-2</v>
      </c>
      <c r="M10" s="111">
        <f t="shared" si="9"/>
        <v>4.1453877092328624E-2</v>
      </c>
      <c r="N10" s="111">
        <f t="shared" si="9"/>
        <v>4.9402491038019733E-2</v>
      </c>
      <c r="O10" s="111">
        <f t="shared" si="9"/>
        <v>5.3644979306267243E-2</v>
      </c>
      <c r="P10" s="111">
        <f t="shared" si="9"/>
        <v>4.6082234597521525E-2</v>
      </c>
      <c r="Q10" s="111">
        <f t="shared" si="9"/>
        <v>3.8819192707783855E-2</v>
      </c>
      <c r="R10" s="111">
        <v>4.4999999999999998E-2</v>
      </c>
      <c r="S10" s="111">
        <v>4.7E-2</v>
      </c>
      <c r="T10" s="111">
        <v>0.05</v>
      </c>
      <c r="U10" s="111">
        <v>5.1999999999999998E-2</v>
      </c>
      <c r="V10" s="111">
        <v>5.5E-2</v>
      </c>
      <c r="W10" s="23"/>
      <c r="X10" s="23"/>
    </row>
    <row r="11" spans="1:24" x14ac:dyDescent="0.25">
      <c r="B11" s="2"/>
      <c r="C11" s="16"/>
      <c r="D11" s="16"/>
      <c r="E11" s="16"/>
      <c r="F11" s="16"/>
      <c r="G11" s="16"/>
      <c r="H11" s="16"/>
      <c r="I11" s="16"/>
      <c r="J11" s="16"/>
      <c r="K11" s="113"/>
      <c r="L11" s="113"/>
      <c r="M11" s="113"/>
      <c r="N11" s="113"/>
      <c r="O11" s="113"/>
      <c r="P11" s="113"/>
      <c r="Q11" s="16"/>
    </row>
    <row r="12" spans="1:24" x14ac:dyDescent="0.25">
      <c r="B12" t="s">
        <v>354</v>
      </c>
      <c r="C12" s="16">
        <v>349</v>
      </c>
      <c r="D12" s="16">
        <f>P12</f>
        <v>367</v>
      </c>
      <c r="E12" s="16">
        <v>378</v>
      </c>
      <c r="F12" s="16"/>
      <c r="G12" s="16"/>
      <c r="H12" s="16"/>
      <c r="I12" s="16"/>
      <c r="J12" s="16">
        <v>367</v>
      </c>
      <c r="K12" s="16">
        <v>305</v>
      </c>
      <c r="L12" s="16">
        <v>324</v>
      </c>
      <c r="M12" s="16">
        <v>313</v>
      </c>
      <c r="N12" s="16">
        <v>330</v>
      </c>
      <c r="O12" s="16">
        <v>347</v>
      </c>
      <c r="P12" s="16">
        <v>367</v>
      </c>
      <c r="Q12" s="16">
        <v>379</v>
      </c>
      <c r="R12" s="16">
        <v>408</v>
      </c>
      <c r="S12" s="16">
        <v>428</v>
      </c>
      <c r="T12" s="16">
        <v>448</v>
      </c>
      <c r="U12" s="16">
        <v>468</v>
      </c>
      <c r="V12" s="16">
        <v>488</v>
      </c>
    </row>
    <row r="13" spans="1:24" x14ac:dyDescent="0.25">
      <c r="B13" t="s">
        <v>390</v>
      </c>
      <c r="C13" s="16">
        <v>293</v>
      </c>
      <c r="D13" s="16">
        <f t="shared" ref="D13:D16" si="10">P13</f>
        <v>316</v>
      </c>
      <c r="E13" s="16">
        <v>326</v>
      </c>
      <c r="F13" s="16"/>
      <c r="G13" s="16"/>
      <c r="H13" s="16"/>
      <c r="I13" s="16"/>
      <c r="J13" s="16">
        <v>219</v>
      </c>
      <c r="K13" s="16">
        <v>212</v>
      </c>
      <c r="L13" s="16">
        <v>228</v>
      </c>
      <c r="M13" s="16">
        <v>229</v>
      </c>
      <c r="N13" s="16">
        <v>251</v>
      </c>
      <c r="O13" s="16">
        <v>278</v>
      </c>
      <c r="P13" s="16">
        <v>316</v>
      </c>
      <c r="Q13" s="16">
        <v>329</v>
      </c>
      <c r="R13" s="16">
        <v>345</v>
      </c>
      <c r="S13" s="16">
        <v>363</v>
      </c>
      <c r="T13" s="16">
        <v>376</v>
      </c>
      <c r="U13" s="16">
        <v>393</v>
      </c>
      <c r="V13" s="16">
        <v>408</v>
      </c>
    </row>
    <row r="14" spans="1:24" x14ac:dyDescent="0.25">
      <c r="B14" t="s">
        <v>355</v>
      </c>
      <c r="C14" s="23">
        <v>238</v>
      </c>
      <c r="D14" s="16">
        <f t="shared" si="10"/>
        <v>238</v>
      </c>
      <c r="E14" s="23">
        <v>232</v>
      </c>
      <c r="F14" s="23"/>
      <c r="G14" s="23"/>
      <c r="H14" s="23"/>
      <c r="I14" s="23"/>
      <c r="J14" s="23">
        <v>260</v>
      </c>
      <c r="K14" s="23">
        <v>213</v>
      </c>
      <c r="L14" s="23">
        <v>220</v>
      </c>
      <c r="M14" s="23">
        <v>228</v>
      </c>
      <c r="N14" s="23">
        <v>233</v>
      </c>
      <c r="O14" s="23">
        <v>239</v>
      </c>
      <c r="P14" s="23">
        <v>238</v>
      </c>
      <c r="Q14" s="23">
        <v>241</v>
      </c>
      <c r="R14" s="23">
        <v>224</v>
      </c>
      <c r="S14" s="23">
        <v>218</v>
      </c>
      <c r="T14" s="23">
        <v>214</v>
      </c>
      <c r="U14" s="23">
        <v>213</v>
      </c>
      <c r="V14" s="23">
        <v>212</v>
      </c>
    </row>
    <row r="15" spans="1:24" x14ac:dyDescent="0.25">
      <c r="B15" t="s">
        <v>356</v>
      </c>
      <c r="C15" s="23">
        <v>672</v>
      </c>
      <c r="D15" s="16">
        <f t="shared" si="10"/>
        <v>698</v>
      </c>
      <c r="E15" s="23">
        <v>706</v>
      </c>
      <c r="F15" s="23"/>
      <c r="G15" s="23"/>
      <c r="H15" s="23"/>
      <c r="I15" s="23"/>
      <c r="J15" s="23">
        <v>0</v>
      </c>
      <c r="K15" s="23">
        <v>0</v>
      </c>
      <c r="L15" s="23">
        <v>0</v>
      </c>
      <c r="M15" s="23">
        <v>0</v>
      </c>
      <c r="N15" s="23">
        <v>625</v>
      </c>
      <c r="O15" s="23">
        <v>662</v>
      </c>
      <c r="P15" s="23">
        <v>698</v>
      </c>
      <c r="Q15" s="23">
        <v>708</v>
      </c>
      <c r="R15" s="23">
        <v>731</v>
      </c>
      <c r="S15" s="23">
        <v>751</v>
      </c>
      <c r="T15" s="23">
        <v>779</v>
      </c>
      <c r="U15" s="23">
        <v>799</v>
      </c>
      <c r="V15" s="23">
        <v>819</v>
      </c>
    </row>
    <row r="16" spans="1:24" x14ac:dyDescent="0.25">
      <c r="B16" t="s">
        <v>357</v>
      </c>
      <c r="C16" s="23">
        <v>142</v>
      </c>
      <c r="D16" s="16">
        <f t="shared" si="10"/>
        <v>152</v>
      </c>
      <c r="E16" s="23">
        <v>159</v>
      </c>
      <c r="F16" s="23"/>
      <c r="G16" s="23"/>
      <c r="H16" s="23"/>
      <c r="I16" s="23"/>
      <c r="J16" s="23">
        <v>542</v>
      </c>
      <c r="K16" s="23">
        <v>548</v>
      </c>
      <c r="L16" s="23">
        <v>609</v>
      </c>
      <c r="M16" s="23">
        <v>663</v>
      </c>
      <c r="N16" s="23">
        <v>120</v>
      </c>
      <c r="O16" s="23">
        <v>137</v>
      </c>
      <c r="P16" s="23">
        <v>152</v>
      </c>
      <c r="Q16" s="23">
        <v>156</v>
      </c>
      <c r="R16" s="23">
        <v>179</v>
      </c>
      <c r="S16" s="23">
        <v>194</v>
      </c>
      <c r="T16" s="23">
        <v>209</v>
      </c>
      <c r="U16" s="23">
        <v>221</v>
      </c>
      <c r="V16" s="23">
        <v>236</v>
      </c>
    </row>
    <row r="17" spans="2:60" x14ac:dyDescent="0.25">
      <c r="B17" t="s">
        <v>352</v>
      </c>
      <c r="C17" s="23">
        <f>+SUM(C12:C16)</f>
        <v>1694</v>
      </c>
      <c r="D17" s="23">
        <f>+SUM(D12:D16)</f>
        <v>1771</v>
      </c>
      <c r="E17" s="23">
        <v>1801</v>
      </c>
      <c r="F17" s="23"/>
      <c r="G17" s="23"/>
      <c r="H17" s="23"/>
      <c r="I17" s="23"/>
      <c r="J17" s="23">
        <f t="shared" ref="J17:O17" si="11">+SUM(J12:J16)</f>
        <v>1388</v>
      </c>
      <c r="K17" s="23">
        <f t="shared" si="11"/>
        <v>1278</v>
      </c>
      <c r="L17" s="23">
        <f t="shared" si="11"/>
        <v>1381</v>
      </c>
      <c r="M17" s="23">
        <f t="shared" si="11"/>
        <v>1433</v>
      </c>
      <c r="N17" s="23">
        <f t="shared" si="11"/>
        <v>1559</v>
      </c>
      <c r="O17" s="23">
        <f t="shared" si="11"/>
        <v>1663</v>
      </c>
      <c r="P17" s="23">
        <f>+SUM(P12:P16)</f>
        <v>1771</v>
      </c>
      <c r="Q17" s="23">
        <f t="shared" ref="Q17:V17" si="12">+SUM(Q12:Q16)</f>
        <v>1813</v>
      </c>
      <c r="R17" s="23">
        <f t="shared" si="12"/>
        <v>1887</v>
      </c>
      <c r="S17" s="23">
        <f t="shared" si="12"/>
        <v>1954</v>
      </c>
      <c r="T17" s="23">
        <f t="shared" si="12"/>
        <v>2026</v>
      </c>
      <c r="U17" s="23">
        <f t="shared" si="12"/>
        <v>2094</v>
      </c>
      <c r="V17" s="23">
        <f t="shared" si="12"/>
        <v>2163</v>
      </c>
    </row>
    <row r="18" spans="2:60" x14ac:dyDescent="0.25">
      <c r="B18" t="s">
        <v>353</v>
      </c>
      <c r="C18" s="24">
        <f>C26/C17</f>
        <v>4.6068181818181815</v>
      </c>
      <c r="D18" s="24">
        <f>D26/D17</f>
        <v>4.3151044607566345</v>
      </c>
      <c r="E18" s="24">
        <f>E26/E17</f>
        <v>3.7053414769572459</v>
      </c>
      <c r="F18" s="23"/>
      <c r="G18" s="23"/>
      <c r="H18" s="23"/>
      <c r="I18" s="23"/>
      <c r="J18" s="24">
        <f t="shared" ref="J18:V18" si="13">J26/J17</f>
        <v>8.3633105187319892</v>
      </c>
      <c r="K18" s="24">
        <f t="shared" si="13"/>
        <v>8.2333364632237878</v>
      </c>
      <c r="L18" s="24">
        <f t="shared" si="13"/>
        <v>8.9711296162201304</v>
      </c>
      <c r="M18" s="24">
        <f t="shared" si="13"/>
        <v>6.9272854152128396</v>
      </c>
      <c r="N18" s="24">
        <f t="shared" si="13"/>
        <v>8.8402180885182808</v>
      </c>
      <c r="O18" s="24">
        <f t="shared" si="13"/>
        <v>9.6253758268190026</v>
      </c>
      <c r="P18" s="24">
        <f t="shared" si="13"/>
        <v>8.7216261998870692</v>
      </c>
      <c r="Q18" s="24">
        <f>Q26/Q17</f>
        <v>7.2076337562051851</v>
      </c>
      <c r="R18" s="24">
        <f t="shared" si="13"/>
        <v>8.7180772030964455</v>
      </c>
      <c r="S18" s="24">
        <f t="shared" si="13"/>
        <v>9.281757047609025</v>
      </c>
      <c r="T18" s="24">
        <f t="shared" si="13"/>
        <v>9.9074646418983132</v>
      </c>
      <c r="U18" s="24">
        <f t="shared" si="13"/>
        <v>10.348663292540323</v>
      </c>
      <c r="V18" s="24">
        <f t="shared" si="13"/>
        <v>10.983792845692856</v>
      </c>
    </row>
    <row r="19" spans="2:60" x14ac:dyDescent="0.25">
      <c r="B19" s="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</row>
    <row r="20" spans="2:60" x14ac:dyDescent="0.25">
      <c r="B20" t="s">
        <v>360</v>
      </c>
      <c r="C20" s="23">
        <v>3710</v>
      </c>
      <c r="D20" s="23">
        <f>P20-C20</f>
        <v>3138</v>
      </c>
      <c r="E20" s="23">
        <v>2897</v>
      </c>
      <c r="F20" s="23"/>
      <c r="G20" s="23"/>
      <c r="H20" s="23"/>
      <c r="I20" s="23"/>
      <c r="J20" s="23">
        <v>4184.8</v>
      </c>
      <c r="K20" s="23">
        <v>4420.3</v>
      </c>
      <c r="L20" s="23">
        <v>5421.6</v>
      </c>
      <c r="M20" s="23">
        <v>4975.7</v>
      </c>
      <c r="N20" s="23">
        <v>6695.4</v>
      </c>
      <c r="O20" s="23">
        <v>6568</v>
      </c>
      <c r="P20" s="23">
        <v>6848</v>
      </c>
      <c r="Q20" s="23">
        <f>30%*Q44</f>
        <v>5158.2</v>
      </c>
      <c r="R20" s="23">
        <f>36%*R44</f>
        <v>7496.6635514018681</v>
      </c>
      <c r="S20" s="23">
        <f>38%*S44</f>
        <v>8614.8628037383169</v>
      </c>
      <c r="T20" s="23">
        <f>38%*T44</f>
        <v>9534.4485981308408</v>
      </c>
      <c r="U20" s="23">
        <f>39%*U44</f>
        <v>10564.174205607475</v>
      </c>
      <c r="V20" s="23">
        <f t="shared" ref="V20" si="14">40%*V44</f>
        <v>11878.971962616823</v>
      </c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</row>
    <row r="21" spans="2:60" x14ac:dyDescent="0.25">
      <c r="B21" t="s">
        <v>361</v>
      </c>
      <c r="C21" s="23">
        <v>2739</v>
      </c>
      <c r="D21" s="23">
        <f t="shared" ref="D21:D27" si="15">P21-C21</f>
        <v>2666</v>
      </c>
      <c r="E21" s="23">
        <v>2555</v>
      </c>
      <c r="F21" s="23"/>
      <c r="G21" s="23"/>
      <c r="H21" s="23"/>
      <c r="I21" s="23"/>
      <c r="J21" s="23">
        <v>5077.1000000000004</v>
      </c>
      <c r="K21" s="23">
        <v>4471.5</v>
      </c>
      <c r="L21" s="23">
        <v>5120.2</v>
      </c>
      <c r="M21" s="23">
        <v>3657.1</v>
      </c>
      <c r="N21" s="23">
        <v>4945</v>
      </c>
      <c r="O21" s="23">
        <v>5566</v>
      </c>
      <c r="P21" s="23">
        <v>5405</v>
      </c>
      <c r="Q21" s="23">
        <f>29%*Q44</f>
        <v>4986.2599999999993</v>
      </c>
      <c r="R21" s="23">
        <f>27%*R44</f>
        <v>5622.4976635514022</v>
      </c>
      <c r="S21" s="23">
        <f>26%*S44</f>
        <v>5894.3798130841114</v>
      </c>
      <c r="T21" s="23">
        <f>26%*T44</f>
        <v>6523.5700934579436</v>
      </c>
      <c r="U21" s="23">
        <f t="shared" ref="U21" si="16">26%*U44</f>
        <v>7042.7828037383169</v>
      </c>
      <c r="V21" s="23">
        <f>26%*V44</f>
        <v>7721.3317757009336</v>
      </c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</row>
    <row r="22" spans="2:60" x14ac:dyDescent="0.25">
      <c r="B22" t="s">
        <v>362</v>
      </c>
      <c r="C22" s="23">
        <v>2266</v>
      </c>
      <c r="D22" s="23">
        <f t="shared" si="15"/>
        <v>2234</v>
      </c>
      <c r="E22" s="23">
        <v>2057</v>
      </c>
      <c r="F22" s="23"/>
      <c r="G22" s="23"/>
      <c r="H22" s="23"/>
      <c r="I22" s="23"/>
      <c r="J22" s="23">
        <v>3306</v>
      </c>
      <c r="K22" s="23">
        <v>2704.7</v>
      </c>
      <c r="L22" s="23">
        <v>3039.7</v>
      </c>
      <c r="M22" s="23">
        <v>2742.4</v>
      </c>
      <c r="N22" s="23">
        <v>4685.3</v>
      </c>
      <c r="O22" s="23">
        <v>5547</v>
      </c>
      <c r="P22" s="23">
        <v>4500</v>
      </c>
      <c r="Q22" s="23">
        <f>24%*Q44</f>
        <v>4126.5599999999995</v>
      </c>
      <c r="R22" s="23">
        <f>23%*R44</f>
        <v>4789.5350467289718</v>
      </c>
      <c r="S22" s="23">
        <f t="shared" ref="S22:U22" si="17">23%*S44</f>
        <v>5214.2590654205605</v>
      </c>
      <c r="T22" s="23">
        <f t="shared" si="17"/>
        <v>5770.8504672897197</v>
      </c>
      <c r="U22" s="23">
        <f t="shared" si="17"/>
        <v>6230.1540186915881</v>
      </c>
      <c r="V22" s="23">
        <f>22%*V44</f>
        <v>6533.434579439252</v>
      </c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</row>
    <row r="23" spans="2:60" x14ac:dyDescent="0.25">
      <c r="B23" t="s">
        <v>363</v>
      </c>
      <c r="C23" s="23">
        <v>683</v>
      </c>
      <c r="D23" s="23">
        <f t="shared" si="15"/>
        <v>717</v>
      </c>
      <c r="E23" s="23">
        <v>737</v>
      </c>
      <c r="F23" s="23"/>
      <c r="G23" s="23"/>
      <c r="H23" s="23"/>
      <c r="I23" s="23"/>
      <c r="J23" s="23">
        <v>1291.2</v>
      </c>
      <c r="K23" s="23">
        <v>1157.5</v>
      </c>
      <c r="L23" s="23">
        <v>1309.8</v>
      </c>
      <c r="M23" s="23">
        <v>931.1</v>
      </c>
      <c r="N23" s="23">
        <v>1059.4000000000001</v>
      </c>
      <c r="O23" s="23">
        <v>1244</v>
      </c>
      <c r="P23" s="23">
        <v>1400</v>
      </c>
      <c r="Q23" s="23">
        <f>8%*Q44</f>
        <v>1375.52</v>
      </c>
      <c r="R23" s="23">
        <f>6%*R44</f>
        <v>1249.4439252336447</v>
      </c>
      <c r="S23" s="23">
        <f>5%*S44</f>
        <v>1133.5345794392522</v>
      </c>
      <c r="T23" s="23">
        <f>5%*T44</f>
        <v>1254.532710280374</v>
      </c>
      <c r="U23" s="23">
        <f>5%*U44</f>
        <v>1354.3813084112148</v>
      </c>
      <c r="V23" s="23">
        <f>5%*V44</f>
        <v>1484.8714953271028</v>
      </c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</row>
    <row r="24" spans="2:60" x14ac:dyDescent="0.25">
      <c r="B24" t="s">
        <v>364</v>
      </c>
      <c r="C24" s="23">
        <v>737</v>
      </c>
      <c r="D24" s="23">
        <f t="shared" si="15"/>
        <v>676</v>
      </c>
      <c r="E24" s="23">
        <v>772</v>
      </c>
      <c r="F24" s="23"/>
      <c r="G24" s="23"/>
      <c r="H24" s="23"/>
      <c r="I24" s="23"/>
      <c r="J24" s="23">
        <f>1032.9+594.7</f>
        <v>1627.6000000000001</v>
      </c>
      <c r="K24" s="23">
        <f>725.1+186.1</f>
        <v>911.2</v>
      </c>
      <c r="L24" s="23">
        <f>770.2+222.1</f>
        <v>992.30000000000007</v>
      </c>
      <c r="M24" s="23">
        <v>793.9</v>
      </c>
      <c r="N24" s="23">
        <v>1160.0999999999999</v>
      </c>
      <c r="O24" s="23">
        <v>1425</v>
      </c>
      <c r="P24" s="23">
        <v>1413</v>
      </c>
      <c r="Q24" s="23">
        <f>9%*Q44</f>
        <v>1547.46</v>
      </c>
      <c r="R24" s="23">
        <f t="shared" ref="R24:V24" si="18">8%*R44</f>
        <v>1665.9252336448596</v>
      </c>
      <c r="S24" s="23">
        <f t="shared" si="18"/>
        <v>1813.6553271028035</v>
      </c>
      <c r="T24" s="23">
        <f t="shared" si="18"/>
        <v>2007.252336448598</v>
      </c>
      <c r="U24" s="23">
        <f t="shared" si="18"/>
        <v>2167.0100934579436</v>
      </c>
      <c r="V24" s="23">
        <f t="shared" si="18"/>
        <v>2375.7943925233644</v>
      </c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</row>
    <row r="25" spans="2:60" x14ac:dyDescent="0.25">
      <c r="C25" s="23"/>
      <c r="D25" s="23"/>
      <c r="E25" s="23"/>
      <c r="F25" s="23"/>
      <c r="G25" s="23"/>
      <c r="H25" s="23"/>
      <c r="I25" s="23"/>
      <c r="J25" s="23"/>
      <c r="K25" s="18"/>
      <c r="L25" s="18"/>
      <c r="M25" s="18"/>
      <c r="N25" s="18"/>
      <c r="O25" s="18"/>
      <c r="P25" s="18"/>
      <c r="Q25" s="18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</row>
    <row r="26" spans="2:60" x14ac:dyDescent="0.25">
      <c r="B26" t="s">
        <v>366</v>
      </c>
      <c r="C26" s="23">
        <f>0.77*C44</f>
        <v>7803.95</v>
      </c>
      <c r="D26" s="23">
        <f t="shared" si="15"/>
        <v>7642.05</v>
      </c>
      <c r="E26" s="23">
        <f>0.74*E44</f>
        <v>6673.32</v>
      </c>
      <c r="F26" s="23"/>
      <c r="G26" s="23"/>
      <c r="H26" s="23"/>
      <c r="I26" s="23"/>
      <c r="J26" s="23">
        <f>0.75*J44</f>
        <v>11608.275000000001</v>
      </c>
      <c r="K26" s="23">
        <f>0.77*K44</f>
        <v>10522.204000000002</v>
      </c>
      <c r="L26" s="23">
        <f>0.78*L44</f>
        <v>12389.130000000001</v>
      </c>
      <c r="M26" s="23">
        <v>9926.7999999999993</v>
      </c>
      <c r="N26" s="23">
        <v>13781.9</v>
      </c>
      <c r="O26" s="23">
        <v>16007</v>
      </c>
      <c r="P26" s="23">
        <v>15446</v>
      </c>
      <c r="Q26" s="23">
        <f>76%*Q44</f>
        <v>13067.44</v>
      </c>
      <c r="R26" s="23">
        <f t="shared" ref="R26" si="19">79%*R44</f>
        <v>16451.011682242992</v>
      </c>
      <c r="S26" s="23">
        <f>80%*S44</f>
        <v>18136.553271028035</v>
      </c>
      <c r="T26" s="23">
        <f t="shared" ref="T26:V26" si="20">80%*T44</f>
        <v>20072.523364485984</v>
      </c>
      <c r="U26" s="23">
        <f t="shared" si="20"/>
        <v>21670.100934579437</v>
      </c>
      <c r="V26" s="23">
        <f t="shared" si="20"/>
        <v>23757.943925233645</v>
      </c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</row>
    <row r="27" spans="2:60" x14ac:dyDescent="0.25">
      <c r="B27" t="s">
        <v>365</v>
      </c>
      <c r="C27" s="23">
        <f>0.23*C44</f>
        <v>2331.0500000000002</v>
      </c>
      <c r="D27" s="23">
        <f t="shared" si="15"/>
        <v>1788.9499999999998</v>
      </c>
      <c r="E27" s="23">
        <f>0.26*E44</f>
        <v>2344.6800000000003</v>
      </c>
      <c r="F27" s="23"/>
      <c r="G27" s="23"/>
      <c r="H27" s="23"/>
      <c r="I27" s="23"/>
      <c r="J27" s="23">
        <f>0.75*J45</f>
        <v>4008.5249999999996</v>
      </c>
      <c r="K27" s="23">
        <f>0.23*K44</f>
        <v>3142.9960000000001</v>
      </c>
      <c r="L27" s="23">
        <f>0.22*L44</f>
        <v>3494.37</v>
      </c>
      <c r="M27" s="23">
        <v>3173.4</v>
      </c>
      <c r="N27" s="23">
        <v>3863.3</v>
      </c>
      <c r="O27" s="23">
        <v>4344</v>
      </c>
      <c r="P27" s="23">
        <v>4120</v>
      </c>
      <c r="Q27" s="23">
        <f>+Q44-Q26</f>
        <v>4126.5599999999995</v>
      </c>
      <c r="R27" s="23">
        <f t="shared" ref="R27:V27" si="21">+R44-R26</f>
        <v>4373.0537383177543</v>
      </c>
      <c r="S27" s="23">
        <f t="shared" si="21"/>
        <v>4534.1383177570096</v>
      </c>
      <c r="T27" s="23">
        <f t="shared" si="21"/>
        <v>5018.1308411214923</v>
      </c>
      <c r="U27" s="23">
        <f t="shared" si="21"/>
        <v>5417.5252336448575</v>
      </c>
      <c r="V27" s="23">
        <f t="shared" si="21"/>
        <v>5939.4859813084076</v>
      </c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</row>
    <row r="28" spans="2:60" x14ac:dyDescent="0.25">
      <c r="B28" s="2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</row>
    <row r="29" spans="2:60" x14ac:dyDescent="0.25">
      <c r="B29" t="s">
        <v>367</v>
      </c>
      <c r="C29" s="23">
        <v>536</v>
      </c>
      <c r="D29" s="23">
        <f>P29</f>
        <v>538</v>
      </c>
      <c r="E29" s="23">
        <v>536</v>
      </c>
      <c r="F29" s="23"/>
      <c r="G29" s="23"/>
      <c r="H29" s="23"/>
      <c r="I29" s="23"/>
      <c r="J29" s="23">
        <v>529</v>
      </c>
      <c r="K29" s="23">
        <v>469</v>
      </c>
      <c r="L29" s="23">
        <v>487</v>
      </c>
      <c r="M29" s="23">
        <v>483</v>
      </c>
      <c r="N29" s="23">
        <v>501</v>
      </c>
      <c r="O29" s="23">
        <v>528</v>
      </c>
      <c r="P29" s="23">
        <v>538</v>
      </c>
      <c r="Q29" s="23">
        <v>529</v>
      </c>
      <c r="R29" s="23">
        <v>540</v>
      </c>
      <c r="S29" s="23">
        <v>550</v>
      </c>
      <c r="T29" s="23">
        <v>560</v>
      </c>
      <c r="U29" s="23">
        <v>570</v>
      </c>
      <c r="V29" s="23">
        <v>580</v>
      </c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</row>
    <row r="30" spans="2:60" x14ac:dyDescent="0.25">
      <c r="B30" t="s">
        <v>370</v>
      </c>
      <c r="C30" s="24">
        <f>C38*0.91/C29</f>
        <v>8.7061194029850757</v>
      </c>
      <c r="D30" s="24">
        <f>D38*0.91/D29</f>
        <v>8.0259293680297397</v>
      </c>
      <c r="E30" s="24">
        <f>E38*0.9/E29</f>
        <v>6.8591417910447765</v>
      </c>
      <c r="F30" s="23"/>
      <c r="G30" s="23"/>
      <c r="H30" s="23"/>
      <c r="I30" s="23"/>
      <c r="J30" s="24">
        <f>0.85*J38/J29</f>
        <v>9.9798676748582213</v>
      </c>
      <c r="K30" s="24">
        <f>0.85*K38/K29</f>
        <v>15.01545842217484</v>
      </c>
      <c r="L30" s="24">
        <f>0.85*L38/L29</f>
        <v>16.805215605749485</v>
      </c>
      <c r="M30" s="24">
        <f>0.87*M38/M29</f>
        <v>13.40232298136646</v>
      </c>
      <c r="N30" s="24">
        <f>0.91*N38/N29</f>
        <v>17.675069860279443</v>
      </c>
      <c r="O30" s="24">
        <f>0.91*O38/O29</f>
        <v>18.074185606060606</v>
      </c>
      <c r="P30" s="24">
        <f>0.91*P38/P29</f>
        <v>16.699684014869888</v>
      </c>
      <c r="Q30" s="24">
        <f t="shared" ref="Q30:V30" si="22">0.91*Q38/Q29</f>
        <v>13.159735349716446</v>
      </c>
      <c r="R30" s="24">
        <f t="shared" si="22"/>
        <v>16.844355140186916</v>
      </c>
      <c r="S30" s="24">
        <f t="shared" si="22"/>
        <v>17.254457271028038</v>
      </c>
      <c r="T30" s="24">
        <f t="shared" si="22"/>
        <v>17.939817757009347</v>
      </c>
      <c r="U30" s="24">
        <f t="shared" si="22"/>
        <v>18.162966178061975</v>
      </c>
      <c r="V30" s="24">
        <f t="shared" si="22"/>
        <v>19.103639824363515</v>
      </c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</row>
    <row r="31" spans="2:60" x14ac:dyDescent="0.25">
      <c r="B31" t="s">
        <v>371</v>
      </c>
      <c r="C31" s="23">
        <v>288</v>
      </c>
      <c r="D31" s="23">
        <f>P31</f>
        <v>308</v>
      </c>
      <c r="E31" s="23">
        <v>320</v>
      </c>
      <c r="F31" s="23"/>
      <c r="G31" s="23"/>
      <c r="H31" s="23"/>
      <c r="I31" s="23"/>
      <c r="J31" s="23">
        <v>184</v>
      </c>
      <c r="K31" s="23">
        <v>194</v>
      </c>
      <c r="L31" s="23">
        <v>222</v>
      </c>
      <c r="M31" s="23">
        <v>239</v>
      </c>
      <c r="N31" s="23">
        <v>268</v>
      </c>
      <c r="O31" s="23">
        <v>280</v>
      </c>
      <c r="P31" s="23">
        <v>308</v>
      </c>
      <c r="Q31" s="23">
        <v>318</v>
      </c>
      <c r="R31" s="23">
        <v>335</v>
      </c>
      <c r="S31" s="23">
        <v>350</v>
      </c>
      <c r="T31" s="23">
        <v>367</v>
      </c>
      <c r="U31" s="23">
        <v>386</v>
      </c>
      <c r="V31" s="23">
        <v>405</v>
      </c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</row>
    <row r="32" spans="2:60" x14ac:dyDescent="0.25">
      <c r="B32" t="s">
        <v>375</v>
      </c>
      <c r="C32" s="24">
        <f>+C39*0.8/C31</f>
        <v>4.3777777777777782</v>
      </c>
      <c r="D32" s="24">
        <f>+D39*0.81/D31</f>
        <v>4.2156818181818183</v>
      </c>
      <c r="E32" s="24">
        <f>+E39*0.81/E31</f>
        <v>3.6475312500000001</v>
      </c>
      <c r="F32" s="23"/>
      <c r="G32" s="23"/>
      <c r="H32" s="23"/>
      <c r="I32" s="23"/>
      <c r="J32" s="24">
        <f>0.69*J39/J31</f>
        <v>5.6324999999999994</v>
      </c>
      <c r="K32" s="24">
        <f>0.68*K39/K31</f>
        <v>6.1129896907216494</v>
      </c>
      <c r="L32" s="24">
        <f>0.69*L39/L31</f>
        <v>6.3688243243243239</v>
      </c>
      <c r="M32" s="24">
        <f>0.69*M39/M31</f>
        <v>5.0361338912133888</v>
      </c>
      <c r="N32" s="24">
        <f>0.74*N39/N31</f>
        <v>6.9609701492537308</v>
      </c>
      <c r="O32" s="24">
        <f>0.77*O39/O31</f>
        <v>9.0749999999999993</v>
      </c>
      <c r="P32" s="24">
        <f>0.81*P39/P31</f>
        <v>8.3603571428571435</v>
      </c>
      <c r="Q32" s="24">
        <f>0.82*Q39/Q31</f>
        <v>7.4289937106918238</v>
      </c>
      <c r="R32" s="24">
        <f t="shared" ref="R32:V32" si="23">0.81*R39/R31</f>
        <v>8.5596233086901936</v>
      </c>
      <c r="S32" s="24">
        <f t="shared" si="23"/>
        <v>8.9192978050734322</v>
      </c>
      <c r="T32" s="24">
        <f t="shared" si="23"/>
        <v>9.4141228449922334</v>
      </c>
      <c r="U32" s="24">
        <f t="shared" si="23"/>
        <v>9.6631246719287205</v>
      </c>
      <c r="V32" s="24">
        <f t="shared" si="23"/>
        <v>10.69107476635514</v>
      </c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</row>
    <row r="33" spans="2:60" x14ac:dyDescent="0.25">
      <c r="B33" t="s">
        <v>376</v>
      </c>
      <c r="C33" s="23">
        <v>279</v>
      </c>
      <c r="D33" s="23">
        <v>288</v>
      </c>
      <c r="E33" s="23">
        <v>301</v>
      </c>
      <c r="F33" s="23"/>
      <c r="G33" s="23"/>
      <c r="H33" s="23"/>
      <c r="I33" s="23"/>
      <c r="J33" s="23">
        <v>270</v>
      </c>
      <c r="K33" s="23">
        <v>255</v>
      </c>
      <c r="L33" s="23">
        <v>268</v>
      </c>
      <c r="M33" s="23">
        <v>261</v>
      </c>
      <c r="N33" s="23">
        <v>263</v>
      </c>
      <c r="O33" s="23">
        <v>271</v>
      </c>
      <c r="P33" s="23">
        <v>288</v>
      </c>
      <c r="Q33" s="23">
        <v>307</v>
      </c>
      <c r="R33" s="23">
        <v>318</v>
      </c>
      <c r="S33" s="23">
        <v>330</v>
      </c>
      <c r="T33" s="23">
        <v>342</v>
      </c>
      <c r="U33" s="23">
        <v>354</v>
      </c>
      <c r="V33" s="23">
        <v>364</v>
      </c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</row>
    <row r="34" spans="2:60" x14ac:dyDescent="0.25">
      <c r="B34" t="s">
        <v>377</v>
      </c>
      <c r="C34" s="24">
        <f>+C40*0.8/C33</f>
        <v>2.3885304659498212</v>
      </c>
      <c r="D34" s="24">
        <f>+D40*0.84/D33</f>
        <v>2.3683333333333332</v>
      </c>
      <c r="E34" s="24">
        <f>+E40*0.84/E33</f>
        <v>2.3330232558139534</v>
      </c>
      <c r="F34" s="23"/>
      <c r="G34" s="23"/>
      <c r="H34" s="23"/>
      <c r="I34" s="23"/>
      <c r="J34" s="24">
        <f>0.83*J40/J33</f>
        <v>3.6151111111111107</v>
      </c>
      <c r="K34" s="24">
        <f>0.82*K40/K33</f>
        <v>3.5661960784313727</v>
      </c>
      <c r="L34" s="24">
        <f>0.81*L40/L33</f>
        <v>3.5289402985074627</v>
      </c>
      <c r="M34" s="24">
        <f>0.73*M40/M33</f>
        <v>3.3851302681992332</v>
      </c>
      <c r="N34" s="24">
        <f>0.75*N40/N33</f>
        <v>4.2861216730038025</v>
      </c>
      <c r="O34" s="24">
        <f>0.78*O40/O33</f>
        <v>5.0081180811808119</v>
      </c>
      <c r="P34" s="24">
        <f>0.82*P40/P33</f>
        <v>4.6836805555555552</v>
      </c>
      <c r="Q34" s="24">
        <f>0.85*Q40/Q33</f>
        <v>4.7428338762214981</v>
      </c>
      <c r="R34" s="24">
        <f t="shared" ref="R34:V34" si="24">0.82*R40/R33</f>
        <v>4.2957820490213354</v>
      </c>
      <c r="S34" s="24">
        <f t="shared" si="24"/>
        <v>3.9433263551401869</v>
      </c>
      <c r="T34" s="24">
        <f t="shared" si="24"/>
        <v>4.2111214953271032</v>
      </c>
      <c r="U34" s="24">
        <f t="shared" si="24"/>
        <v>3.7647209250752405</v>
      </c>
      <c r="V34" s="24">
        <f t="shared" si="24"/>
        <v>4.0140482181370025</v>
      </c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</row>
    <row r="35" spans="2:60" x14ac:dyDescent="0.25">
      <c r="B35" t="s">
        <v>385</v>
      </c>
      <c r="C35" s="23">
        <v>591</v>
      </c>
      <c r="D35" s="23">
        <v>618</v>
      </c>
      <c r="E35" s="23">
        <v>625</v>
      </c>
      <c r="F35" s="23"/>
      <c r="G35" s="23"/>
      <c r="H35" s="23"/>
      <c r="I35" s="23"/>
      <c r="J35" s="23">
        <v>405</v>
      </c>
      <c r="K35" s="23">
        <v>360</v>
      </c>
      <c r="L35" s="23">
        <v>404</v>
      </c>
      <c r="M35" s="23">
        <v>450</v>
      </c>
      <c r="N35" s="23">
        <v>533</v>
      </c>
      <c r="O35" s="23">
        <v>584</v>
      </c>
      <c r="P35" s="23">
        <v>618</v>
      </c>
      <c r="Q35" s="23">
        <v>640</v>
      </c>
      <c r="R35" s="23">
        <v>655</v>
      </c>
      <c r="S35" s="23">
        <v>680</v>
      </c>
      <c r="T35" s="23">
        <v>705</v>
      </c>
      <c r="U35" s="23">
        <v>730</v>
      </c>
      <c r="V35" s="23">
        <v>755</v>
      </c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</row>
    <row r="36" spans="2:60" x14ac:dyDescent="0.25">
      <c r="B36" t="s">
        <v>386</v>
      </c>
      <c r="C36" s="24">
        <f>C41*0.68/C35</f>
        <v>2.1354991539763115</v>
      </c>
      <c r="D36" s="24">
        <f>D41*0.73/D35</f>
        <v>1.9584789644012943</v>
      </c>
      <c r="E36" s="24">
        <f>E41*0.73/E35</f>
        <v>2.0054560000000001</v>
      </c>
      <c r="F36" s="23"/>
      <c r="G36" s="23"/>
      <c r="H36" s="23"/>
      <c r="I36" s="23"/>
      <c r="J36" s="24">
        <f>0.45*J41/J35</f>
        <v>1.8044444444444445</v>
      </c>
      <c r="K36" s="24">
        <f>0.51*K41/K35</f>
        <v>2.9877499999999997</v>
      </c>
      <c r="L36" s="24">
        <f>0.56*L41/L35</f>
        <v>3.517326732673268</v>
      </c>
      <c r="M36" s="24">
        <f>0.58*M41/M35</f>
        <v>2.9403422222222222</v>
      </c>
      <c r="N36" s="24">
        <f>0.59*N41/N35</f>
        <v>3.6363039399624761</v>
      </c>
      <c r="O36" s="24">
        <f>0.66*O41/O35</f>
        <v>4.3781506849315068</v>
      </c>
      <c r="P36" s="24">
        <f>0.72*P41/P35</f>
        <v>4.0939805825242717</v>
      </c>
      <c r="Q36" s="24">
        <f>0.75*Q41/Q35</f>
        <v>3.7746093749999998</v>
      </c>
      <c r="R36" s="24">
        <f t="shared" ref="R36:V36" si="25">0.72*R41/R35</f>
        <v>4.5781151458942713</v>
      </c>
      <c r="S36" s="24">
        <f t="shared" si="25"/>
        <v>4.8008523364485978</v>
      </c>
      <c r="T36" s="24">
        <f t="shared" si="25"/>
        <v>5.1248995824219534</v>
      </c>
      <c r="U36" s="24">
        <f t="shared" si="25"/>
        <v>5.3433125592113679</v>
      </c>
      <c r="V36" s="24">
        <f t="shared" si="25"/>
        <v>5.6641455715788824</v>
      </c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</row>
    <row r="37" spans="2:60" x14ac:dyDescent="0.25">
      <c r="C37" s="23"/>
      <c r="D37" s="23"/>
      <c r="E37" s="23"/>
      <c r="F37" s="23"/>
      <c r="G37" s="23"/>
      <c r="H37" s="23"/>
      <c r="I37" s="23"/>
      <c r="J37" s="23"/>
      <c r="K37" s="111"/>
      <c r="L37" s="111"/>
      <c r="M37" s="111"/>
      <c r="N37" s="111"/>
      <c r="O37" s="111"/>
      <c r="P37" s="111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</row>
    <row r="38" spans="2:60" x14ac:dyDescent="0.25">
      <c r="B38" s="12" t="s">
        <v>11</v>
      </c>
      <c r="C38" s="23">
        <v>5128</v>
      </c>
      <c r="D38" s="23">
        <f>P38-C38</f>
        <v>4745</v>
      </c>
      <c r="E38" s="23">
        <v>4085</v>
      </c>
      <c r="F38" s="23"/>
      <c r="G38" s="23"/>
      <c r="H38" s="23"/>
      <c r="I38" s="23"/>
      <c r="J38" s="23">
        <v>6211</v>
      </c>
      <c r="K38" s="23">
        <v>8285</v>
      </c>
      <c r="L38" s="23">
        <v>9628.4</v>
      </c>
      <c r="M38" s="23">
        <v>7440.6</v>
      </c>
      <c r="N38" s="23">
        <v>9731</v>
      </c>
      <c r="O38" s="23">
        <v>10487</v>
      </c>
      <c r="P38" s="23">
        <v>9873</v>
      </c>
      <c r="Q38" s="23">
        <v>7650</v>
      </c>
      <c r="R38" s="23">
        <f>+R44*48%</f>
        <v>9995.5514018691574</v>
      </c>
      <c r="S38" s="13">
        <f>+S44*46%</f>
        <v>10428.518130841121</v>
      </c>
      <c r="T38" s="13">
        <f>+T44*44%</f>
        <v>11039.88785046729</v>
      </c>
      <c r="U38" s="13">
        <f>+U44*42%</f>
        <v>11376.802990654203</v>
      </c>
      <c r="V38" s="13">
        <f>+V44*41%</f>
        <v>12175.94626168224</v>
      </c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</row>
    <row r="39" spans="2:60" x14ac:dyDescent="0.25">
      <c r="B39" s="12" t="s">
        <v>12</v>
      </c>
      <c r="C39" s="23">
        <v>1576</v>
      </c>
      <c r="D39" s="23">
        <f t="shared" ref="D39:D65" si="26">P39-C39</f>
        <v>1603</v>
      </c>
      <c r="E39" s="23">
        <v>1441</v>
      </c>
      <c r="F39" s="23"/>
      <c r="G39" s="23"/>
      <c r="H39" s="23"/>
      <c r="I39" s="23"/>
      <c r="J39" s="23">
        <v>1502</v>
      </c>
      <c r="K39" s="23">
        <v>1744</v>
      </c>
      <c r="L39" s="23">
        <v>2049.1</v>
      </c>
      <c r="M39" s="23">
        <v>1744.4</v>
      </c>
      <c r="N39" s="23">
        <v>2521</v>
      </c>
      <c r="O39" s="23">
        <v>3300</v>
      </c>
      <c r="P39" s="23">
        <v>3179</v>
      </c>
      <c r="Q39" s="23">
        <v>2881</v>
      </c>
      <c r="R39" s="23">
        <f>+R44*17%</f>
        <v>3540.0911214953271</v>
      </c>
      <c r="S39" s="23">
        <f t="shared" ref="S39:U39" si="27">+S44*17%</f>
        <v>3854.0175700934578</v>
      </c>
      <c r="T39" s="23">
        <f t="shared" si="27"/>
        <v>4265.4112149532712</v>
      </c>
      <c r="U39" s="23">
        <f t="shared" si="27"/>
        <v>4604.8964485981305</v>
      </c>
      <c r="V39" s="23">
        <f>+V44*18%</f>
        <v>5345.5373831775696</v>
      </c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</row>
    <row r="40" spans="2:60" x14ac:dyDescent="0.25">
      <c r="B40" s="12" t="s">
        <v>31</v>
      </c>
      <c r="C40" s="23">
        <v>833</v>
      </c>
      <c r="D40" s="23">
        <f t="shared" si="26"/>
        <v>812</v>
      </c>
      <c r="E40" s="23">
        <v>836</v>
      </c>
      <c r="F40" s="23"/>
      <c r="G40" s="23"/>
      <c r="H40" s="23"/>
      <c r="I40" s="23"/>
      <c r="J40" s="23">
        <v>1176</v>
      </c>
      <c r="K40" s="23">
        <v>1109</v>
      </c>
      <c r="L40" s="23">
        <v>1167.5999999999999</v>
      </c>
      <c r="M40" s="23">
        <v>1210.3</v>
      </c>
      <c r="N40" s="23">
        <v>1503</v>
      </c>
      <c r="O40" s="23">
        <v>1740</v>
      </c>
      <c r="P40" s="23">
        <v>1645</v>
      </c>
      <c r="Q40" s="23">
        <v>1713</v>
      </c>
      <c r="R40" s="23">
        <f>+R44*8%</f>
        <v>1665.9252336448596</v>
      </c>
      <c r="S40" s="23">
        <f>+S44*7%</f>
        <v>1586.9484112149532</v>
      </c>
      <c r="T40" s="23">
        <f>+T44*7%</f>
        <v>1756.3457943925234</v>
      </c>
      <c r="U40" s="23">
        <f>+U44*6%</f>
        <v>1625.2575700934576</v>
      </c>
      <c r="V40" s="23">
        <f>+V44*6%</f>
        <v>1781.8457943925232</v>
      </c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</row>
    <row r="41" spans="2:60" x14ac:dyDescent="0.25">
      <c r="B41" s="12" t="s">
        <v>32</v>
      </c>
      <c r="C41" s="23">
        <v>1856</v>
      </c>
      <c r="D41" s="23">
        <f t="shared" si="26"/>
        <v>1658</v>
      </c>
      <c r="E41" s="23">
        <v>1717</v>
      </c>
      <c r="F41" s="23"/>
      <c r="G41" s="23"/>
      <c r="H41" s="23"/>
      <c r="I41" s="23"/>
      <c r="J41" s="23">
        <v>1624</v>
      </c>
      <c r="K41" s="23">
        <v>2109</v>
      </c>
      <c r="L41" s="23">
        <v>2537.5</v>
      </c>
      <c r="M41" s="23">
        <v>2281.3000000000002</v>
      </c>
      <c r="N41" s="23">
        <v>3285</v>
      </c>
      <c r="O41" s="23">
        <v>3874</v>
      </c>
      <c r="P41" s="23">
        <v>3514</v>
      </c>
      <c r="Q41" s="23">
        <v>3221</v>
      </c>
      <c r="R41" s="23">
        <f>20%*R44</f>
        <v>4164.8130841121492</v>
      </c>
      <c r="S41" s="23">
        <f t="shared" ref="S41:V41" si="28">20%*S44</f>
        <v>4534.1383177570087</v>
      </c>
      <c r="T41" s="23">
        <f t="shared" si="28"/>
        <v>5018.1308411214959</v>
      </c>
      <c r="U41" s="23">
        <f t="shared" si="28"/>
        <v>5417.5252336448593</v>
      </c>
      <c r="V41" s="23">
        <f t="shared" si="28"/>
        <v>5939.4859813084113</v>
      </c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</row>
    <row r="42" spans="2:60" x14ac:dyDescent="0.25">
      <c r="B42" s="12" t="s">
        <v>14</v>
      </c>
      <c r="C42" s="23">
        <v>869</v>
      </c>
      <c r="D42" s="23">
        <f t="shared" si="26"/>
        <v>699</v>
      </c>
      <c r="E42" s="23">
        <v>1067</v>
      </c>
      <c r="F42" s="23"/>
      <c r="G42" s="23"/>
      <c r="H42" s="23"/>
      <c r="I42" s="23"/>
      <c r="J42" s="23">
        <v>302.10000000000002</v>
      </c>
      <c r="K42" s="23">
        <v>418.2</v>
      </c>
      <c r="L42" s="23">
        <v>500.9</v>
      </c>
      <c r="M42" s="23">
        <v>423.6</v>
      </c>
      <c r="N42" s="23">
        <v>733</v>
      </c>
      <c r="O42" s="23">
        <v>1139</v>
      </c>
      <c r="P42" s="23">
        <v>1568</v>
      </c>
      <c r="Q42" s="23">
        <v>1941</v>
      </c>
      <c r="R42" s="23">
        <f>+R44*13%</f>
        <v>2707.1285046728972</v>
      </c>
      <c r="S42" s="13">
        <f>+S44*15%</f>
        <v>3400.6037383177568</v>
      </c>
      <c r="T42" s="13">
        <f>+T44*16%</f>
        <v>4014.5046728971961</v>
      </c>
      <c r="U42" s="13">
        <f t="shared" ref="U42:V42" si="29">+U44*16%</f>
        <v>4334.0201869158873</v>
      </c>
      <c r="V42" s="13">
        <f t="shared" si="29"/>
        <v>4751.5887850467288</v>
      </c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</row>
    <row r="43" spans="2:60" x14ac:dyDescent="0.25">
      <c r="B43" s="12" t="s">
        <v>33</v>
      </c>
      <c r="C43" s="23">
        <v>-127</v>
      </c>
      <c r="D43" s="23">
        <f t="shared" si="26"/>
        <v>-86</v>
      </c>
      <c r="E43" s="23">
        <v>-128</v>
      </c>
      <c r="F43" s="23"/>
      <c r="G43" s="23"/>
      <c r="H43" s="23"/>
      <c r="I43" s="23"/>
      <c r="J43" s="23">
        <v>0</v>
      </c>
      <c r="K43" s="23">
        <v>0</v>
      </c>
      <c r="L43" s="23">
        <v>0</v>
      </c>
      <c r="M43" s="23">
        <v>0</v>
      </c>
      <c r="N43" s="23">
        <v>-128</v>
      </c>
      <c r="O43" s="23">
        <v>-189</v>
      </c>
      <c r="P43" s="23">
        <v>-213</v>
      </c>
      <c r="Q43" s="23">
        <v>-212</v>
      </c>
      <c r="R43" s="23">
        <f>-1%*R44</f>
        <v>-208.24065420560746</v>
      </c>
      <c r="S43" s="23">
        <f t="shared" ref="S43:V43" si="30">-1%*S44</f>
        <v>-226.70691588785044</v>
      </c>
      <c r="T43" s="23">
        <f t="shared" si="30"/>
        <v>-250.90654205607476</v>
      </c>
      <c r="U43" s="23">
        <f t="shared" si="30"/>
        <v>-270.87626168224295</v>
      </c>
      <c r="V43" s="23">
        <f t="shared" si="30"/>
        <v>-296.97429906542055</v>
      </c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</row>
    <row r="44" spans="2:60" x14ac:dyDescent="0.25">
      <c r="B44" s="1" t="s">
        <v>34</v>
      </c>
      <c r="C44" s="25">
        <f t="shared" ref="C44:H44" si="31">SUM(C38:C43)</f>
        <v>10135</v>
      </c>
      <c r="D44" s="25">
        <f t="shared" si="31"/>
        <v>9431</v>
      </c>
      <c r="E44" s="25">
        <f t="shared" si="31"/>
        <v>9018</v>
      </c>
      <c r="F44" s="25">
        <f t="shared" si="31"/>
        <v>0</v>
      </c>
      <c r="G44" s="25">
        <f t="shared" si="31"/>
        <v>0</v>
      </c>
      <c r="H44" s="25">
        <f t="shared" si="31"/>
        <v>0</v>
      </c>
      <c r="I44" s="23"/>
      <c r="J44" s="25">
        <v>15477.7</v>
      </c>
      <c r="K44" s="25">
        <f>SUM(K38:K43)</f>
        <v>13665.2</v>
      </c>
      <c r="L44" s="25">
        <f t="shared" ref="L44:Q44" si="32">SUM(L38:L43)</f>
        <v>15883.5</v>
      </c>
      <c r="M44" s="25">
        <f t="shared" si="32"/>
        <v>13100.199999999999</v>
      </c>
      <c r="N44" s="25">
        <f t="shared" si="32"/>
        <v>17645</v>
      </c>
      <c r="O44" s="25">
        <f t="shared" si="32"/>
        <v>20351</v>
      </c>
      <c r="P44" s="25">
        <f t="shared" si="32"/>
        <v>19566</v>
      </c>
      <c r="Q44" s="25">
        <f t="shared" si="32"/>
        <v>17194</v>
      </c>
      <c r="R44" s="25">
        <f>+R9/Main!$H$19</f>
        <v>20824.065420560746</v>
      </c>
      <c r="S44" s="25">
        <f>+S9/Main!$H$19</f>
        <v>22670.691588785045</v>
      </c>
      <c r="T44" s="25">
        <f>+T9/Main!$H$19</f>
        <v>25090.654205607476</v>
      </c>
      <c r="U44" s="25">
        <f>+U9/Main!$H$19</f>
        <v>27087.626168224295</v>
      </c>
      <c r="V44" s="25">
        <f>+V9/Main!$H$19</f>
        <v>29697.429906542053</v>
      </c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</row>
    <row r="45" spans="2:60" x14ac:dyDescent="0.25">
      <c r="B45" t="s">
        <v>43</v>
      </c>
      <c r="C45" s="23">
        <v>2405</v>
      </c>
      <c r="D45" s="23">
        <f t="shared" si="26"/>
        <v>2234</v>
      </c>
      <c r="E45" s="23">
        <v>2310</v>
      </c>
      <c r="F45" s="23"/>
      <c r="G45" s="23"/>
      <c r="H45" s="23"/>
      <c r="I45" s="23"/>
      <c r="J45" s="23">
        <v>5344.7</v>
      </c>
      <c r="K45" s="23">
        <v>3467</v>
      </c>
      <c r="L45" s="23">
        <v>4108.5</v>
      </c>
      <c r="M45" s="23">
        <v>3590.6</v>
      </c>
      <c r="N45" s="23">
        <v>4577</v>
      </c>
      <c r="O45" s="23">
        <v>5153</v>
      </c>
      <c r="P45" s="23">
        <v>4639</v>
      </c>
      <c r="Q45" s="23">
        <v>4513</v>
      </c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</row>
    <row r="46" spans="2:60" x14ac:dyDescent="0.25">
      <c r="B46" t="s">
        <v>44</v>
      </c>
      <c r="C46" s="23">
        <f t="shared" ref="C46" si="33">+C44-C45</f>
        <v>7730</v>
      </c>
      <c r="D46" s="23">
        <f>+D44-D45</f>
        <v>7197</v>
      </c>
      <c r="E46" s="23">
        <f t="shared" ref="E46:H46" si="34">+E44-E45</f>
        <v>6708</v>
      </c>
      <c r="F46" s="23">
        <f t="shared" si="34"/>
        <v>0</v>
      </c>
      <c r="G46" s="23">
        <f t="shared" si="34"/>
        <v>0</v>
      </c>
      <c r="H46" s="23">
        <f t="shared" si="34"/>
        <v>0</v>
      </c>
      <c r="I46" s="23"/>
      <c r="J46" s="23">
        <f t="shared" ref="J46:N46" si="35">J44-J45</f>
        <v>10133</v>
      </c>
      <c r="K46" s="23">
        <f t="shared" si="35"/>
        <v>10198.200000000001</v>
      </c>
      <c r="L46" s="23">
        <f t="shared" si="35"/>
        <v>11775</v>
      </c>
      <c r="M46" s="23">
        <f t="shared" si="35"/>
        <v>9509.5999999999985</v>
      </c>
      <c r="N46" s="23">
        <f t="shared" si="35"/>
        <v>13068</v>
      </c>
      <c r="O46" s="23">
        <f>O44-O45</f>
        <v>15198</v>
      </c>
      <c r="P46" s="23">
        <f>P44-P45</f>
        <v>14927</v>
      </c>
      <c r="Q46" s="23">
        <f>Q44-Q45</f>
        <v>12681</v>
      </c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</row>
    <row r="47" spans="2:60" x14ac:dyDescent="0.25">
      <c r="B47" t="s">
        <v>328</v>
      </c>
      <c r="C47" s="23">
        <v>1505</v>
      </c>
      <c r="D47" s="23">
        <f t="shared" si="26"/>
        <v>1477</v>
      </c>
      <c r="E47" s="23">
        <v>1547</v>
      </c>
      <c r="F47" s="23"/>
      <c r="G47" s="23"/>
      <c r="H47" s="23"/>
      <c r="I47" s="23"/>
      <c r="J47" s="23">
        <v>2443.6</v>
      </c>
      <c r="K47" s="23">
        <v>2080.4</v>
      </c>
      <c r="L47" s="23">
        <v>2290.8000000000002</v>
      </c>
      <c r="M47" s="23">
        <v>2070</v>
      </c>
      <c r="N47" s="23">
        <v>2444</v>
      </c>
      <c r="O47" s="23">
        <v>2840</v>
      </c>
      <c r="P47" s="23">
        <v>2982</v>
      </c>
      <c r="Q47" s="23">
        <v>3017</v>
      </c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</row>
    <row r="48" spans="2:60" x14ac:dyDescent="0.25">
      <c r="B48" t="s">
        <v>329</v>
      </c>
      <c r="C48" s="23">
        <v>3486</v>
      </c>
      <c r="D48" s="23">
        <f t="shared" si="26"/>
        <v>3713</v>
      </c>
      <c r="E48" s="23">
        <v>3579</v>
      </c>
      <c r="F48" s="23"/>
      <c r="G48" s="23"/>
      <c r="H48" s="23"/>
      <c r="I48" s="23"/>
      <c r="J48" s="23">
        <v>4741.3999999999996</v>
      </c>
      <c r="K48" s="23">
        <v>4174</v>
      </c>
      <c r="L48" s="23">
        <v>4705.8999999999996</v>
      </c>
      <c r="M48" s="23">
        <v>4304.3999999999996</v>
      </c>
      <c r="N48" s="23">
        <v>5607</v>
      </c>
      <c r="O48" s="23">
        <v>6779</v>
      </c>
      <c r="P48" s="23">
        <v>7199</v>
      </c>
      <c r="Q48" s="23">
        <v>7110</v>
      </c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</row>
    <row r="49" spans="2:60" x14ac:dyDescent="0.25">
      <c r="B49" t="s">
        <v>330</v>
      </c>
      <c r="C49" s="23">
        <f t="shared" ref="C49" si="36">+SUM(C47:C48)</f>
        <v>4991</v>
      </c>
      <c r="D49" s="23">
        <f>+SUM(D47:D48)</f>
        <v>5190</v>
      </c>
      <c r="E49" s="23">
        <f t="shared" ref="E49:H49" si="37">+SUM(E47:E48)</f>
        <v>5126</v>
      </c>
      <c r="F49" s="23">
        <f t="shared" si="37"/>
        <v>0</v>
      </c>
      <c r="G49" s="23">
        <f t="shared" si="37"/>
        <v>0</v>
      </c>
      <c r="H49" s="23">
        <f t="shared" si="37"/>
        <v>0</v>
      </c>
      <c r="I49" s="23"/>
      <c r="J49" s="23">
        <f t="shared" ref="J49:N49" si="38">SUM(J47:J48)</f>
        <v>7185</v>
      </c>
      <c r="K49" s="23">
        <f t="shared" si="38"/>
        <v>6254.4</v>
      </c>
      <c r="L49" s="23">
        <f t="shared" si="38"/>
        <v>6996.7</v>
      </c>
      <c r="M49" s="23">
        <f t="shared" si="38"/>
        <v>6374.4</v>
      </c>
      <c r="N49" s="23">
        <f t="shared" si="38"/>
        <v>8051</v>
      </c>
      <c r="O49" s="23">
        <f>SUM(O47:O48)</f>
        <v>9619</v>
      </c>
      <c r="P49" s="23">
        <f>SUM(P47:P48)</f>
        <v>10181</v>
      </c>
      <c r="Q49" s="23">
        <f>SUM(Q47:Q48)</f>
        <v>10127</v>
      </c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</row>
    <row r="50" spans="2:60" x14ac:dyDescent="0.25">
      <c r="B50" s="12" t="s">
        <v>327</v>
      </c>
      <c r="C50" s="23">
        <v>1810</v>
      </c>
      <c r="D50" s="23">
        <f t="shared" si="26"/>
        <v>1454</v>
      </c>
      <c r="E50" s="23">
        <v>1007</v>
      </c>
      <c r="F50" s="23"/>
      <c r="G50" s="23"/>
      <c r="H50" s="23"/>
      <c r="I50" s="23"/>
      <c r="J50" s="23">
        <v>2124</v>
      </c>
      <c r="K50" s="23">
        <v>3275</v>
      </c>
      <c r="L50" s="23">
        <v>3946.9</v>
      </c>
      <c r="M50" s="23">
        <v>2614.5</v>
      </c>
      <c r="N50" s="23">
        <v>3715</v>
      </c>
      <c r="O50" s="23">
        <v>3732</v>
      </c>
      <c r="P50" s="23">
        <v>3264</v>
      </c>
      <c r="Q50" s="23">
        <v>1605</v>
      </c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</row>
    <row r="51" spans="2:60" x14ac:dyDescent="0.25">
      <c r="B51" s="12" t="s">
        <v>326</v>
      </c>
      <c r="C51" s="23">
        <v>481</v>
      </c>
      <c r="D51" s="23">
        <f t="shared" si="26"/>
        <v>488</v>
      </c>
      <c r="E51" s="23">
        <v>316</v>
      </c>
      <c r="F51" s="23"/>
      <c r="G51" s="23"/>
      <c r="H51" s="23"/>
      <c r="I51" s="23"/>
      <c r="J51" s="23">
        <v>377</v>
      </c>
      <c r="K51" s="23">
        <v>459</v>
      </c>
      <c r="L51" s="23">
        <v>562.20000000000005</v>
      </c>
      <c r="M51" s="23">
        <v>400</v>
      </c>
      <c r="N51" s="23">
        <v>715</v>
      </c>
      <c r="O51" s="23">
        <v>1019</v>
      </c>
      <c r="P51" s="23">
        <v>969</v>
      </c>
      <c r="Q51" s="23">
        <v>593</v>
      </c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</row>
    <row r="52" spans="2:60" x14ac:dyDescent="0.25">
      <c r="B52" s="12" t="s">
        <v>13</v>
      </c>
      <c r="C52" s="23">
        <v>169</v>
      </c>
      <c r="D52" s="23">
        <f t="shared" si="26"/>
        <v>143</v>
      </c>
      <c r="E52" s="23">
        <v>121</v>
      </c>
      <c r="F52" s="23"/>
      <c r="G52" s="23"/>
      <c r="H52" s="23"/>
      <c r="I52" s="23"/>
      <c r="J52" s="23">
        <v>294</v>
      </c>
      <c r="K52" s="23">
        <v>242</v>
      </c>
      <c r="L52" s="23">
        <v>215.2</v>
      </c>
      <c r="M52" s="23">
        <v>172</v>
      </c>
      <c r="N52" s="23">
        <v>286</v>
      </c>
      <c r="O52" s="23">
        <v>366</v>
      </c>
      <c r="P52" s="23">
        <v>312</v>
      </c>
      <c r="Q52" s="23">
        <v>255</v>
      </c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</row>
    <row r="53" spans="2:60" x14ac:dyDescent="0.25">
      <c r="B53" s="12" t="s">
        <v>32</v>
      </c>
      <c r="C53" s="23">
        <v>224</v>
      </c>
      <c r="D53" s="23">
        <f t="shared" si="26"/>
        <v>-12</v>
      </c>
      <c r="E53" s="23">
        <v>44</v>
      </c>
      <c r="F53" s="23"/>
      <c r="G53" s="23"/>
      <c r="H53" s="23"/>
      <c r="I53" s="23"/>
      <c r="J53" s="23">
        <v>100</v>
      </c>
      <c r="K53" s="23">
        <v>215</v>
      </c>
      <c r="L53" s="23">
        <v>317.7</v>
      </c>
      <c r="M53" s="23">
        <v>180.6</v>
      </c>
      <c r="N53" s="23">
        <v>459</v>
      </c>
      <c r="O53" s="23">
        <v>558</v>
      </c>
      <c r="P53" s="23">
        <v>212</v>
      </c>
      <c r="Q53" s="23">
        <v>-9</v>
      </c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</row>
    <row r="54" spans="2:60" x14ac:dyDescent="0.25">
      <c r="B54" s="12" t="s">
        <v>325</v>
      </c>
      <c r="C54" s="23">
        <v>63</v>
      </c>
      <c r="D54" s="23">
        <f t="shared" si="26"/>
        <v>-70</v>
      </c>
      <c r="E54" s="23">
        <v>101</v>
      </c>
      <c r="F54" s="23"/>
      <c r="G54" s="23"/>
      <c r="H54" s="23"/>
      <c r="I54" s="23"/>
      <c r="J54" s="23">
        <v>-204.3</v>
      </c>
      <c r="K54" s="23">
        <v>-247.2</v>
      </c>
      <c r="L54" s="23">
        <v>-263.7</v>
      </c>
      <c r="M54" s="23">
        <v>-231.9</v>
      </c>
      <c r="N54" s="23">
        <v>-164</v>
      </c>
      <c r="O54" s="23">
        <v>-88</v>
      </c>
      <c r="P54" s="23">
        <v>-7</v>
      </c>
      <c r="Q54" s="23">
        <v>112</v>
      </c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</row>
    <row r="55" spans="2:60" x14ac:dyDescent="0.25">
      <c r="B55" s="12" t="s">
        <v>33</v>
      </c>
      <c r="C55" s="23">
        <v>-8</v>
      </c>
      <c r="D55" s="23">
        <f t="shared" si="26"/>
        <v>4</v>
      </c>
      <c r="E55" s="23">
        <v>-7</v>
      </c>
      <c r="F55" s="23"/>
      <c r="G55" s="23"/>
      <c r="H55" s="23"/>
      <c r="I55" s="23"/>
      <c r="J55" s="23">
        <v>0</v>
      </c>
      <c r="K55" s="23">
        <v>0</v>
      </c>
      <c r="L55" s="23">
        <v>0</v>
      </c>
      <c r="M55" s="23">
        <v>0</v>
      </c>
      <c r="N55" s="23">
        <v>6</v>
      </c>
      <c r="O55" s="23">
        <v>2</v>
      </c>
      <c r="P55" s="23">
        <f>P56-SUM(P50:P54)</f>
        <v>-4</v>
      </c>
      <c r="Q55" s="23">
        <v>-2</v>
      </c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</row>
    <row r="56" spans="2:60" x14ac:dyDescent="0.25">
      <c r="B56" t="s">
        <v>45</v>
      </c>
      <c r="C56" s="23">
        <f t="shared" ref="C56:D56" si="39">+SUM(C50:C55)</f>
        <v>2739</v>
      </c>
      <c r="D56" s="23">
        <f t="shared" si="39"/>
        <v>2007</v>
      </c>
      <c r="E56" s="23">
        <f>+SUM(E50:E55)</f>
        <v>1582</v>
      </c>
      <c r="F56" s="23">
        <f t="shared" ref="F56:H56" si="40">+SUM(F50:F55)</f>
        <v>0</v>
      </c>
      <c r="G56" s="23">
        <f t="shared" si="40"/>
        <v>0</v>
      </c>
      <c r="H56" s="23">
        <f t="shared" si="40"/>
        <v>0</v>
      </c>
      <c r="I56" s="23"/>
      <c r="J56" s="23">
        <v>2948</v>
      </c>
      <c r="K56" s="23">
        <v>3943.8</v>
      </c>
      <c r="L56" s="23">
        <v>4778.3</v>
      </c>
      <c r="M56" s="23">
        <v>3135.2</v>
      </c>
      <c r="N56" s="23">
        <v>5017</v>
      </c>
      <c r="O56" s="23">
        <v>5589</v>
      </c>
      <c r="P56" s="23">
        <f>P46-P49</f>
        <v>4746</v>
      </c>
      <c r="Q56" s="23">
        <f>Q46-Q49</f>
        <v>2554</v>
      </c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</row>
    <row r="57" spans="2:60" x14ac:dyDescent="0.25">
      <c r="B57" t="s">
        <v>331</v>
      </c>
      <c r="C57" s="23">
        <v>0</v>
      </c>
      <c r="D57" s="23">
        <f t="shared" si="26"/>
        <v>103</v>
      </c>
      <c r="E57" s="23">
        <v>13</v>
      </c>
      <c r="F57" s="23"/>
      <c r="G57" s="23"/>
      <c r="H57" s="23"/>
      <c r="I57" s="23"/>
      <c r="J57" s="23">
        <v>241.7</v>
      </c>
      <c r="K57" s="23">
        <v>222.4</v>
      </c>
      <c r="L57" s="23">
        <v>168.5</v>
      </c>
      <c r="M57" s="23">
        <v>-163</v>
      </c>
      <c r="N57" s="23">
        <v>220</v>
      </c>
      <c r="O57" s="23">
        <v>194</v>
      </c>
      <c r="P57" s="23">
        <v>103</v>
      </c>
      <c r="Q57" s="23">
        <v>242</v>
      </c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</row>
    <row r="58" spans="2:60" x14ac:dyDescent="0.25">
      <c r="B58" t="s">
        <v>46</v>
      </c>
      <c r="C58" s="23">
        <f>+C56-C57</f>
        <v>2739</v>
      </c>
      <c r="D58" s="23">
        <f t="shared" ref="D58:H58" si="41">+D56-D57</f>
        <v>1904</v>
      </c>
      <c r="E58" s="23">
        <f t="shared" si="41"/>
        <v>1569</v>
      </c>
      <c r="F58" s="23">
        <f t="shared" si="41"/>
        <v>0</v>
      </c>
      <c r="G58" s="23">
        <f t="shared" si="41"/>
        <v>0</v>
      </c>
      <c r="H58" s="23">
        <f t="shared" si="41"/>
        <v>0</v>
      </c>
      <c r="I58" s="23"/>
      <c r="J58" s="23">
        <f>+J56-J57</f>
        <v>2706.3</v>
      </c>
      <c r="K58" s="23">
        <v>3721.4</v>
      </c>
      <c r="L58" s="23">
        <v>4609.8</v>
      </c>
      <c r="M58" s="23">
        <v>3298.2</v>
      </c>
      <c r="N58" s="23">
        <v>4797</v>
      </c>
      <c r="O58" s="23">
        <v>5395</v>
      </c>
      <c r="P58" s="23">
        <f>P56-P57</f>
        <v>4643</v>
      </c>
      <c r="Q58" s="23">
        <f>Q56-Q57</f>
        <v>2312</v>
      </c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</row>
    <row r="59" spans="2:60" x14ac:dyDescent="0.25">
      <c r="B59" t="s">
        <v>47</v>
      </c>
      <c r="C59" s="23">
        <v>-204</v>
      </c>
      <c r="D59" s="23">
        <f t="shared" si="26"/>
        <v>-206</v>
      </c>
      <c r="E59" s="23">
        <v>-288</v>
      </c>
      <c r="F59" s="23"/>
      <c r="G59" s="23"/>
      <c r="H59" s="23"/>
      <c r="I59" s="23"/>
      <c r="J59" s="23">
        <v>-242.6</v>
      </c>
      <c r="K59" s="23">
        <v>-207.3</v>
      </c>
      <c r="L59" s="23">
        <v>-309.5</v>
      </c>
      <c r="M59" s="23">
        <v>-341.7</v>
      </c>
      <c r="N59" s="23">
        <v>-273</v>
      </c>
      <c r="O59" s="23">
        <v>-260</v>
      </c>
      <c r="P59" s="23">
        <v>-410</v>
      </c>
      <c r="Q59" s="23">
        <v>-614</v>
      </c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</row>
    <row r="60" spans="2:60" x14ac:dyDescent="0.25">
      <c r="B60" t="s">
        <v>48</v>
      </c>
      <c r="C60" s="23">
        <f t="shared" ref="C60:D60" si="42">+C58+C59</f>
        <v>2535</v>
      </c>
      <c r="D60" s="23">
        <f t="shared" si="42"/>
        <v>1698</v>
      </c>
      <c r="E60" s="23">
        <f>+E58+E59</f>
        <v>1281</v>
      </c>
      <c r="F60" s="23">
        <f t="shared" ref="F60:H60" si="43">+F58+F59</f>
        <v>0</v>
      </c>
      <c r="G60" s="23">
        <f t="shared" si="43"/>
        <v>0</v>
      </c>
      <c r="H60" s="23">
        <f t="shared" si="43"/>
        <v>0</v>
      </c>
      <c r="I60" s="23"/>
      <c r="J60" s="23">
        <f>+J58+J59</f>
        <v>2463.7000000000003</v>
      </c>
      <c r="K60" s="23">
        <v>3514.1</v>
      </c>
      <c r="L60" s="23">
        <v>4300.3</v>
      </c>
      <c r="M60" s="23">
        <v>2956.5</v>
      </c>
      <c r="N60" s="23">
        <v>4524</v>
      </c>
      <c r="O60" s="23">
        <v>5135</v>
      </c>
      <c r="P60" s="23">
        <f>P58+P59</f>
        <v>4233</v>
      </c>
      <c r="Q60" s="23">
        <f>Q58+Q59</f>
        <v>1698</v>
      </c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</row>
    <row r="61" spans="2:60" x14ac:dyDescent="0.25">
      <c r="B61" t="s">
        <v>49</v>
      </c>
      <c r="C61" s="23">
        <v>692</v>
      </c>
      <c r="D61" s="23">
        <f t="shared" si="26"/>
        <v>471</v>
      </c>
      <c r="E61" s="23">
        <v>345</v>
      </c>
      <c r="F61" s="23"/>
      <c r="G61" s="23"/>
      <c r="H61" s="23"/>
      <c r="I61" s="23"/>
      <c r="J61" s="23">
        <v>591</v>
      </c>
      <c r="K61" s="23">
        <v>867.7</v>
      </c>
      <c r="L61" s="23">
        <v>2133.6999999999998</v>
      </c>
      <c r="M61" s="23">
        <v>759.2</v>
      </c>
      <c r="N61" s="23">
        <v>1280.4000000000001</v>
      </c>
      <c r="O61" s="23">
        <v>1420</v>
      </c>
      <c r="P61" s="23">
        <v>1163</v>
      </c>
      <c r="Q61" s="23">
        <v>461</v>
      </c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</row>
    <row r="62" spans="2:60" x14ac:dyDescent="0.25">
      <c r="B62" t="s">
        <v>337</v>
      </c>
      <c r="C62" s="23">
        <v>3</v>
      </c>
      <c r="D62" s="23">
        <f t="shared" si="26"/>
        <v>1</v>
      </c>
      <c r="E62" s="23">
        <v>4</v>
      </c>
      <c r="F62" s="23"/>
      <c r="G62" s="23"/>
      <c r="H62" s="23"/>
      <c r="I62" s="23"/>
      <c r="J62" s="23">
        <v>-2</v>
      </c>
      <c r="K62" s="23">
        <v>11.9</v>
      </c>
      <c r="L62" s="23">
        <v>41.8</v>
      </c>
      <c r="M62" s="23">
        <v>-7.6</v>
      </c>
      <c r="N62" s="23">
        <v>1</v>
      </c>
      <c r="O62" s="23">
        <v>2</v>
      </c>
      <c r="P62" s="23">
        <v>4</v>
      </c>
      <c r="Q62" s="23">
        <v>-10</v>
      </c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</row>
    <row r="63" spans="2:60" x14ac:dyDescent="0.25">
      <c r="B63" t="s">
        <v>332</v>
      </c>
      <c r="C63" s="23">
        <v>0</v>
      </c>
      <c r="D63" s="23">
        <f t="shared" si="26"/>
        <v>0</v>
      </c>
      <c r="E63" s="23">
        <v>0</v>
      </c>
      <c r="F63" s="23"/>
      <c r="G63" s="23"/>
      <c r="H63" s="23"/>
      <c r="I63" s="23"/>
      <c r="J63" s="23">
        <v>-5.6</v>
      </c>
      <c r="K63" s="23">
        <v>1095.2</v>
      </c>
      <c r="L63" s="23">
        <v>125.4</v>
      </c>
      <c r="M63" s="23">
        <v>-9.8000000000000007</v>
      </c>
      <c r="N63" s="23">
        <v>11</v>
      </c>
      <c r="O63" s="23">
        <v>1</v>
      </c>
      <c r="P63" s="23">
        <v>0</v>
      </c>
      <c r="Q63" s="23">
        <v>0</v>
      </c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</row>
    <row r="64" spans="2:60" x14ac:dyDescent="0.25">
      <c r="B64" t="s">
        <v>333</v>
      </c>
      <c r="C64" s="23">
        <f t="shared" ref="C64:D64" si="44">+C60-C61+C62+C63</f>
        <v>1846</v>
      </c>
      <c r="D64" s="23">
        <f t="shared" si="44"/>
        <v>1228</v>
      </c>
      <c r="E64" s="23">
        <f>+E60-E61+E62+E63</f>
        <v>940</v>
      </c>
      <c r="F64" s="23">
        <f t="shared" ref="F64:H64" si="45">+F60-F61+F62+F63</f>
        <v>0</v>
      </c>
      <c r="G64" s="23">
        <f t="shared" si="45"/>
        <v>0</v>
      </c>
      <c r="H64" s="23">
        <f t="shared" si="45"/>
        <v>0</v>
      </c>
      <c r="I64" s="23"/>
      <c r="J64" s="23">
        <v>1865.1000000000004</v>
      </c>
      <c r="K64" s="23">
        <v>3753.5</v>
      </c>
      <c r="L64" s="23">
        <v>2333.8000000000006</v>
      </c>
      <c r="M64" s="23">
        <v>2179.9</v>
      </c>
      <c r="N64" s="23">
        <v>3256</v>
      </c>
      <c r="O64" s="23">
        <v>3718</v>
      </c>
      <c r="P64" s="23">
        <f>+P60-P61+P62+P63</f>
        <v>3074</v>
      </c>
      <c r="Q64" s="23">
        <f>+Q60-Q61+Q62+Q63</f>
        <v>1227</v>
      </c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</row>
    <row r="65" spans="2:60" x14ac:dyDescent="0.25">
      <c r="B65" t="s">
        <v>334</v>
      </c>
      <c r="C65" s="23">
        <v>61</v>
      </c>
      <c r="D65" s="23">
        <f t="shared" si="26"/>
        <v>30</v>
      </c>
      <c r="E65" s="23">
        <v>62</v>
      </c>
      <c r="F65" s="23"/>
      <c r="G65" s="23"/>
      <c r="H65" s="23"/>
      <c r="I65" s="23"/>
      <c r="J65" s="23">
        <v>79.5</v>
      </c>
      <c r="K65" s="23">
        <v>38.6</v>
      </c>
      <c r="L65" s="23">
        <v>25.2</v>
      </c>
      <c r="M65" s="23">
        <v>29.5</v>
      </c>
      <c r="N65" s="23">
        <v>80.2</v>
      </c>
      <c r="O65" s="23">
        <v>104</v>
      </c>
      <c r="P65" s="23">
        <v>91</v>
      </c>
      <c r="Q65" s="23">
        <v>94</v>
      </c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</row>
    <row r="66" spans="2:60" x14ac:dyDescent="0.25">
      <c r="B66" t="s">
        <v>335</v>
      </c>
      <c r="C66" s="23">
        <f t="shared" ref="C66:D66" si="46">+C64-C65</f>
        <v>1785</v>
      </c>
      <c r="D66" s="23">
        <f t="shared" si="46"/>
        <v>1198</v>
      </c>
      <c r="E66" s="23">
        <f>+E64-E65</f>
        <v>878</v>
      </c>
      <c r="F66" s="23">
        <f t="shared" ref="F66:H66" si="47">+F64-F65</f>
        <v>0</v>
      </c>
      <c r="G66" s="23">
        <f t="shared" si="47"/>
        <v>0</v>
      </c>
      <c r="H66" s="23">
        <f t="shared" si="47"/>
        <v>0</v>
      </c>
      <c r="I66" s="23"/>
      <c r="J66" s="23">
        <f t="shared" ref="J66:Q66" si="48">J64-J65</f>
        <v>1785.6000000000004</v>
      </c>
      <c r="K66" s="23">
        <f t="shared" si="48"/>
        <v>3714.9</v>
      </c>
      <c r="L66" s="23">
        <f t="shared" si="48"/>
        <v>2308.6000000000008</v>
      </c>
      <c r="M66" s="23">
        <f t="shared" si="48"/>
        <v>2150.4</v>
      </c>
      <c r="N66" s="23">
        <f t="shared" si="48"/>
        <v>3175.8</v>
      </c>
      <c r="O66" s="23">
        <f t="shared" si="48"/>
        <v>3614</v>
      </c>
      <c r="P66" s="23">
        <f t="shared" si="48"/>
        <v>2983</v>
      </c>
      <c r="Q66" s="23">
        <f t="shared" si="48"/>
        <v>1133</v>
      </c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</row>
    <row r="67" spans="2:60" x14ac:dyDescent="0.25"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</row>
    <row r="68" spans="2:60" x14ac:dyDescent="0.25">
      <c r="B68" t="s">
        <v>51</v>
      </c>
      <c r="C68" s="89">
        <v>14.6</v>
      </c>
      <c r="D68" s="23">
        <f>+O68-C68</f>
        <v>14.930262104363736</v>
      </c>
      <c r="E68" s="89">
        <v>7.16</v>
      </c>
      <c r="F68" s="23"/>
      <c r="G68" s="23"/>
      <c r="H68" s="23"/>
      <c r="I68" s="23"/>
      <c r="J68" s="24">
        <f t="shared" ref="J68:O68" si="49">J66/J69</f>
        <v>14.171483570281477</v>
      </c>
      <c r="K68" s="24">
        <f t="shared" si="49"/>
        <v>29.493623799122673</v>
      </c>
      <c r="L68" s="24">
        <f t="shared" si="49"/>
        <v>18.395399999391234</v>
      </c>
      <c r="M68" s="24">
        <f>M66/M69</f>
        <v>17.201556219287685</v>
      </c>
      <c r="N68" s="24">
        <f>N66/N69</f>
        <v>25.491130683028981</v>
      </c>
      <c r="O68" s="24">
        <f t="shared" si="49"/>
        <v>29.530262104363736</v>
      </c>
      <c r="P68" s="24">
        <f>P66/P69</f>
        <v>24.381573206339691</v>
      </c>
      <c r="Q68" s="24">
        <f>Q66/Q69</f>
        <v>9.2401093131844689</v>
      </c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</row>
    <row r="69" spans="2:60" x14ac:dyDescent="0.25">
      <c r="B69" t="s">
        <v>50</v>
      </c>
      <c r="C69" s="24">
        <f>C66/C68</f>
        <v>122.26027397260275</v>
      </c>
      <c r="D69" s="23"/>
      <c r="E69" s="24">
        <f>E66/E68</f>
        <v>122.62569832402234</v>
      </c>
      <c r="F69" s="23"/>
      <c r="G69" s="23"/>
      <c r="H69" s="23"/>
      <c r="I69" s="23"/>
      <c r="J69" s="24">
        <v>125.999511</v>
      </c>
      <c r="K69" s="24">
        <v>125.95603800000001</v>
      </c>
      <c r="L69" s="24">
        <v>125.498766</v>
      </c>
      <c r="M69" s="24">
        <v>125.011945</v>
      </c>
      <c r="N69" s="24">
        <v>124.584509</v>
      </c>
      <c r="O69" s="24">
        <v>122.38293</v>
      </c>
      <c r="P69" s="24">
        <v>122.34649400000001</v>
      </c>
      <c r="Q69" s="13">
        <v>122.617597</v>
      </c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</row>
    <row r="70" spans="2:60" x14ac:dyDescent="0.25"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</row>
    <row r="71" spans="2:60" x14ac:dyDescent="0.25">
      <c r="B71" t="s">
        <v>471</v>
      </c>
      <c r="C71" s="23"/>
      <c r="D71" s="23"/>
      <c r="E71" s="23"/>
      <c r="F71" s="23"/>
      <c r="G71" s="23"/>
      <c r="H71" s="23"/>
      <c r="I71" s="23"/>
      <c r="J71" s="23"/>
      <c r="K71" s="23"/>
      <c r="L71" s="18">
        <f>+L8/K8-1</f>
        <v>6.336828658114646E-2</v>
      </c>
      <c r="M71" s="18">
        <f t="shared" ref="M71:V71" si="50">+M8/L8-1</f>
        <v>-0.15369791014891754</v>
      </c>
      <c r="N71" s="18">
        <f t="shared" si="50"/>
        <v>0.13021233808481703</v>
      </c>
      <c r="O71" s="18">
        <f t="shared" si="50"/>
        <v>6.214511866446859E-2</v>
      </c>
      <c r="P71" s="18">
        <f t="shared" si="50"/>
        <v>0.11921068190776518</v>
      </c>
      <c r="Q71" s="18">
        <f t="shared" si="50"/>
        <v>4.3186370539939789E-2</v>
      </c>
      <c r="R71" s="18">
        <f t="shared" si="50"/>
        <v>4.4774544763994673E-2</v>
      </c>
      <c r="S71" s="18">
        <f t="shared" si="50"/>
        <v>4.2350802787034292E-2</v>
      </c>
      <c r="T71" s="18">
        <f t="shared" si="50"/>
        <v>4.0339455940479052E-2</v>
      </c>
      <c r="U71" s="18">
        <f t="shared" si="50"/>
        <v>3.8067568070920377E-2</v>
      </c>
      <c r="V71" s="18">
        <f t="shared" si="50"/>
        <v>3.6545982991854853E-2</v>
      </c>
      <c r="W71" s="18"/>
      <c r="X71" s="18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</row>
    <row r="72" spans="2:60" x14ac:dyDescent="0.25">
      <c r="B72" t="s">
        <v>391</v>
      </c>
      <c r="C72" s="23"/>
      <c r="D72" s="23"/>
      <c r="E72" s="18">
        <f>E17/C17-1</f>
        <v>6.3164108618654069E-2</v>
      </c>
      <c r="F72" s="18">
        <f>F17/D17-1</f>
        <v>-1</v>
      </c>
      <c r="G72" s="18">
        <f>G17/E17-1</f>
        <v>-1</v>
      </c>
      <c r="H72" s="18" t="e">
        <f>H17/F17-1</f>
        <v>#DIV/0!</v>
      </c>
      <c r="I72" s="23"/>
      <c r="J72" s="23"/>
      <c r="K72" s="18">
        <f t="shared" ref="K72:P72" si="51">K17/J17-1</f>
        <v>-7.9250720461095048E-2</v>
      </c>
      <c r="L72" s="18">
        <f t="shared" si="51"/>
        <v>8.0594679186228424E-2</v>
      </c>
      <c r="M72" s="18">
        <f t="shared" si="51"/>
        <v>3.7653874004344612E-2</v>
      </c>
      <c r="N72" s="18">
        <f t="shared" si="51"/>
        <v>8.7927424982554125E-2</v>
      </c>
      <c r="O72" s="18">
        <f t="shared" si="51"/>
        <v>6.6709429121231567E-2</v>
      </c>
      <c r="P72" s="18">
        <f t="shared" si="51"/>
        <v>6.4942874323511646E-2</v>
      </c>
      <c r="Q72" s="18">
        <f t="shared" ref="Q72:V72" si="52">Q17/P17-1</f>
        <v>2.3715415019762931E-2</v>
      </c>
      <c r="R72" s="18">
        <f t="shared" si="52"/>
        <v>4.081632653061229E-2</v>
      </c>
      <c r="S72" s="18">
        <f t="shared" si="52"/>
        <v>3.5506094329623705E-2</v>
      </c>
      <c r="T72" s="18">
        <f t="shared" si="52"/>
        <v>3.6847492323439202E-2</v>
      </c>
      <c r="U72" s="18">
        <f t="shared" si="52"/>
        <v>3.3563672260612076E-2</v>
      </c>
      <c r="V72" s="18">
        <f t="shared" si="52"/>
        <v>3.2951289398280847E-2</v>
      </c>
      <c r="W72" s="18"/>
      <c r="X72" s="18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</row>
    <row r="73" spans="2:60" x14ac:dyDescent="0.25">
      <c r="B73" s="17" t="s">
        <v>11</v>
      </c>
      <c r="C73" s="23"/>
      <c r="D73" s="23"/>
      <c r="E73" s="18">
        <f>E38/C38-1</f>
        <v>-0.20339313572542905</v>
      </c>
      <c r="F73" s="18">
        <f t="shared" ref="F73:H73" si="53">F38/D38-1</f>
        <v>-1</v>
      </c>
      <c r="G73" s="18">
        <f t="shared" si="53"/>
        <v>-1</v>
      </c>
      <c r="H73" s="18" t="e">
        <f t="shared" si="53"/>
        <v>#DIV/0!</v>
      </c>
      <c r="I73" s="23"/>
      <c r="J73" s="23"/>
      <c r="K73" s="18">
        <f t="shared" ref="K73:P77" si="54">K38/J38-1</f>
        <v>0.33392368378682979</v>
      </c>
      <c r="L73" s="18">
        <f t="shared" si="54"/>
        <v>0.16214846107423053</v>
      </c>
      <c r="M73" s="18">
        <f t="shared" si="54"/>
        <v>-0.22722363009430424</v>
      </c>
      <c r="N73" s="18">
        <f t="shared" si="54"/>
        <v>0.30782463779802693</v>
      </c>
      <c r="O73" s="18">
        <f t="shared" si="54"/>
        <v>7.7689857157537734E-2</v>
      </c>
      <c r="P73" s="18">
        <f t="shared" si="54"/>
        <v>-5.8548679317249941E-2</v>
      </c>
      <c r="Q73" s="18">
        <f t="shared" ref="Q73:V73" si="55">Q38/P38-1</f>
        <v>-0.22515952597994526</v>
      </c>
      <c r="R73" s="18">
        <f t="shared" si="55"/>
        <v>0.30660802638812523</v>
      </c>
      <c r="S73" s="18">
        <f t="shared" si="55"/>
        <v>4.3315942419244635E-2</v>
      </c>
      <c r="T73" s="18">
        <f t="shared" si="55"/>
        <v>5.862479327893344E-2</v>
      </c>
      <c r="U73" s="18">
        <f t="shared" si="55"/>
        <v>3.0517985757677168E-2</v>
      </c>
      <c r="V73" s="18">
        <f t="shared" si="55"/>
        <v>7.0243219618421504E-2</v>
      </c>
      <c r="W73" s="18"/>
      <c r="X73" s="18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</row>
    <row r="74" spans="2:60" x14ac:dyDescent="0.25">
      <c r="B74" s="17" t="s">
        <v>12</v>
      </c>
      <c r="C74" s="23"/>
      <c r="D74" s="23"/>
      <c r="E74" s="18">
        <f t="shared" ref="E74:H74" si="56">E39/C39-1</f>
        <v>-8.5659898477157381E-2</v>
      </c>
      <c r="F74" s="18">
        <f t="shared" si="56"/>
        <v>-1</v>
      </c>
      <c r="G74" s="18">
        <f t="shared" si="56"/>
        <v>-1</v>
      </c>
      <c r="H74" s="18" t="e">
        <f t="shared" si="56"/>
        <v>#DIV/0!</v>
      </c>
      <c r="I74" s="23"/>
      <c r="J74" s="23"/>
      <c r="K74" s="18">
        <f t="shared" si="54"/>
        <v>0.16111850865512656</v>
      </c>
      <c r="L74" s="18">
        <f t="shared" si="54"/>
        <v>0.17494266055045871</v>
      </c>
      <c r="M74" s="18">
        <f t="shared" si="54"/>
        <v>-0.14869942901761746</v>
      </c>
      <c r="N74" s="18">
        <f t="shared" si="54"/>
        <v>0.44519605595046996</v>
      </c>
      <c r="O74" s="18">
        <f t="shared" si="54"/>
        <v>0.30900436334787784</v>
      </c>
      <c r="P74" s="18">
        <f t="shared" si="54"/>
        <v>-3.6666666666666625E-2</v>
      </c>
      <c r="Q74" s="18">
        <f t="shared" ref="Q74:V74" si="57">Q39/P39-1</f>
        <v>-9.3740169864737322E-2</v>
      </c>
      <c r="R74" s="18">
        <f t="shared" si="57"/>
        <v>0.22877164925210947</v>
      </c>
      <c r="S74" s="18">
        <f t="shared" si="57"/>
        <v>8.8677505133124557E-2</v>
      </c>
      <c r="T74" s="18">
        <f t="shared" si="57"/>
        <v>0.10674410206433937</v>
      </c>
      <c r="U74" s="18">
        <f t="shared" si="57"/>
        <v>7.9590270793757023E-2</v>
      </c>
      <c r="V74" s="18">
        <f t="shared" si="57"/>
        <v>0.16083769588454322</v>
      </c>
      <c r="W74" s="18"/>
      <c r="X74" s="18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</row>
    <row r="75" spans="2:60" x14ac:dyDescent="0.25">
      <c r="B75" s="17" t="s">
        <v>31</v>
      </c>
      <c r="C75" s="23"/>
      <c r="D75" s="23"/>
      <c r="E75" s="18">
        <f t="shared" ref="E75:H75" si="58">E40/C40-1</f>
        <v>3.6014405762305746E-3</v>
      </c>
      <c r="F75" s="18">
        <f t="shared" si="58"/>
        <v>-1</v>
      </c>
      <c r="G75" s="18">
        <f t="shared" si="58"/>
        <v>-1</v>
      </c>
      <c r="H75" s="18" t="e">
        <f t="shared" si="58"/>
        <v>#DIV/0!</v>
      </c>
      <c r="I75" s="23"/>
      <c r="J75" s="23"/>
      <c r="K75" s="18">
        <f t="shared" si="54"/>
        <v>-5.6972789115646294E-2</v>
      </c>
      <c r="L75" s="18">
        <f t="shared" si="54"/>
        <v>5.2840396753832231E-2</v>
      </c>
      <c r="M75" s="18">
        <f t="shared" si="54"/>
        <v>3.6570743405275774E-2</v>
      </c>
      <c r="N75" s="18">
        <f t="shared" si="54"/>
        <v>0.24184086590101628</v>
      </c>
      <c r="O75" s="18">
        <f t="shared" si="54"/>
        <v>0.1576846307385229</v>
      </c>
      <c r="P75" s="18">
        <f t="shared" si="54"/>
        <v>-5.4597701149425304E-2</v>
      </c>
      <c r="Q75" s="18">
        <f t="shared" ref="Q75:V75" si="59">Q40/P40-1</f>
        <v>4.133738601823711E-2</v>
      </c>
      <c r="R75" s="18">
        <f t="shared" si="59"/>
        <v>-2.7480891042113487E-2</v>
      </c>
      <c r="S75" s="18">
        <f t="shared" si="59"/>
        <v>-4.7407183008515874E-2</v>
      </c>
      <c r="T75" s="18">
        <f t="shared" si="59"/>
        <v>0.10674410206433937</v>
      </c>
      <c r="U75" s="18">
        <f t="shared" si="59"/>
        <v>-7.4636910748208329E-2</v>
      </c>
      <c r="V75" s="18">
        <f t="shared" si="59"/>
        <v>9.6346712779846522E-2</v>
      </c>
      <c r="W75" s="18"/>
      <c r="X75" s="18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</row>
    <row r="76" spans="2:60" x14ac:dyDescent="0.25">
      <c r="B76" s="17" t="s">
        <v>32</v>
      </c>
      <c r="C76" s="23"/>
      <c r="D76" s="23"/>
      <c r="E76" s="18">
        <f t="shared" ref="E76:H76" si="60">E41/C41-1</f>
        <v>-7.4892241379310387E-2</v>
      </c>
      <c r="F76" s="18">
        <f t="shared" si="60"/>
        <v>-1</v>
      </c>
      <c r="G76" s="18">
        <f t="shared" si="60"/>
        <v>-1</v>
      </c>
      <c r="H76" s="18" t="e">
        <f t="shared" si="60"/>
        <v>#DIV/0!</v>
      </c>
      <c r="I76" s="23"/>
      <c r="J76" s="23"/>
      <c r="K76" s="18">
        <f t="shared" si="54"/>
        <v>0.29864532019704426</v>
      </c>
      <c r="L76" s="18">
        <f t="shared" si="54"/>
        <v>0.20317686107159783</v>
      </c>
      <c r="M76" s="18">
        <f t="shared" si="54"/>
        <v>-0.10096551724137925</v>
      </c>
      <c r="N76" s="18">
        <f t="shared" si="54"/>
        <v>0.43996843904791105</v>
      </c>
      <c r="O76" s="18">
        <f t="shared" si="54"/>
        <v>0.17929984779299857</v>
      </c>
      <c r="P76" s="18">
        <f t="shared" si="54"/>
        <v>-9.2927207021166747E-2</v>
      </c>
      <c r="Q76" s="18">
        <f t="shared" ref="Q76:V76" si="61">Q41/P41-1</f>
        <v>-8.3380762663631147E-2</v>
      </c>
      <c r="R76" s="18">
        <f t="shared" si="61"/>
        <v>0.29301865386903114</v>
      </c>
      <c r="S76" s="18">
        <f t="shared" si="61"/>
        <v>8.8677505133124557E-2</v>
      </c>
      <c r="T76" s="18">
        <f t="shared" si="61"/>
        <v>0.1067441020643396</v>
      </c>
      <c r="U76" s="18">
        <f t="shared" si="61"/>
        <v>7.9590270793757023E-2</v>
      </c>
      <c r="V76" s="18">
        <f t="shared" si="61"/>
        <v>9.6346712779846522E-2</v>
      </c>
      <c r="W76" s="18"/>
      <c r="X76" s="18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</row>
    <row r="77" spans="2:60" x14ac:dyDescent="0.25">
      <c r="B77" s="17" t="s">
        <v>14</v>
      </c>
      <c r="C77" s="23"/>
      <c r="D77" s="23"/>
      <c r="E77" s="18">
        <f t="shared" ref="E77:H77" si="62">E42/C42-1</f>
        <v>0.22784810126582289</v>
      </c>
      <c r="F77" s="18">
        <f t="shared" si="62"/>
        <v>-1</v>
      </c>
      <c r="G77" s="18">
        <f t="shared" si="62"/>
        <v>-1</v>
      </c>
      <c r="H77" s="18" t="e">
        <f t="shared" si="62"/>
        <v>#DIV/0!</v>
      </c>
      <c r="I77" s="23"/>
      <c r="J77" s="23"/>
      <c r="K77" s="18">
        <f t="shared" si="54"/>
        <v>0.38430983118172768</v>
      </c>
      <c r="L77" s="18">
        <f t="shared" si="54"/>
        <v>0.19775227164036346</v>
      </c>
      <c r="M77" s="18">
        <f t="shared" si="54"/>
        <v>-0.15432222000399276</v>
      </c>
      <c r="N77" s="18">
        <f t="shared" si="54"/>
        <v>0.73040604343720483</v>
      </c>
      <c r="O77" s="18">
        <f t="shared" si="54"/>
        <v>0.55388813096862211</v>
      </c>
      <c r="P77" s="18">
        <f t="shared" si="54"/>
        <v>0.3766461808604038</v>
      </c>
      <c r="Q77" s="18">
        <f t="shared" ref="Q77:V77" si="63">Q42/P42-1</f>
        <v>0.23788265306122458</v>
      </c>
      <c r="R77" s="18">
        <f t="shared" si="63"/>
        <v>0.3947081425414205</v>
      </c>
      <c r="S77" s="18">
        <f t="shared" si="63"/>
        <v>0.25616635207668215</v>
      </c>
      <c r="T77" s="18">
        <f t="shared" si="63"/>
        <v>0.18052704220196203</v>
      </c>
      <c r="U77" s="18">
        <f t="shared" si="63"/>
        <v>7.9590270793757023E-2</v>
      </c>
      <c r="V77" s="18">
        <f t="shared" si="63"/>
        <v>9.6346712779846522E-2</v>
      </c>
      <c r="W77" s="18"/>
      <c r="X77" s="18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</row>
    <row r="78" spans="2:60" x14ac:dyDescent="0.25">
      <c r="B78" s="19" t="s">
        <v>54</v>
      </c>
      <c r="C78" s="25"/>
      <c r="D78" s="25"/>
      <c r="E78" s="20">
        <f>E44/C44-1</f>
        <v>-0.11021213616181547</v>
      </c>
      <c r="F78" s="20">
        <f>F44/D44-1</f>
        <v>-1</v>
      </c>
      <c r="G78" s="20">
        <f>G44/E44-1</f>
        <v>-1</v>
      </c>
      <c r="H78" s="20" t="e">
        <f>H44/F44-1</f>
        <v>#DIV/0!</v>
      </c>
      <c r="I78" s="25"/>
      <c r="J78" s="25"/>
      <c r="K78" s="20">
        <f t="shared" ref="K78:P78" si="64">K44/J44-1</f>
        <v>-0.11710396247504473</v>
      </c>
      <c r="L78" s="20">
        <f t="shared" si="64"/>
        <v>0.16233205514738169</v>
      </c>
      <c r="M78" s="20">
        <f t="shared" si="64"/>
        <v>-0.17523215915887558</v>
      </c>
      <c r="N78" s="20">
        <f t="shared" si="64"/>
        <v>0.34692600112975391</v>
      </c>
      <c r="O78" s="20">
        <f t="shared" si="64"/>
        <v>0.15335789175403791</v>
      </c>
      <c r="P78" s="20">
        <f t="shared" si="64"/>
        <v>-3.8573043093705461E-2</v>
      </c>
      <c r="Q78" s="20">
        <f t="shared" ref="Q78" si="65">Q44/P44-1</f>
        <v>-0.12123070632730248</v>
      </c>
      <c r="R78" s="20">
        <f t="shared" ref="R78" si="66">R44/Q44-1</f>
        <v>0.21112396304296532</v>
      </c>
      <c r="S78" s="20">
        <f t="shared" ref="S78" si="67">S44/R44-1</f>
        <v>8.8677505133124557E-2</v>
      </c>
      <c r="T78" s="20">
        <f t="shared" ref="T78" si="68">T44/S44-1</f>
        <v>0.10674410206433937</v>
      </c>
      <c r="U78" s="20">
        <f t="shared" ref="U78" si="69">U44/T44-1</f>
        <v>7.9590270793757023E-2</v>
      </c>
      <c r="V78" s="20">
        <f t="shared" ref="V78" si="70">V44/U44-1</f>
        <v>9.6346712779846522E-2</v>
      </c>
      <c r="W78" s="18"/>
      <c r="X78" s="18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</row>
    <row r="79" spans="2:60" x14ac:dyDescent="0.25">
      <c r="B79" s="17" t="s">
        <v>55</v>
      </c>
      <c r="C79" s="18">
        <f t="shared" ref="C79:D79" si="71">C46/C44</f>
        <v>0.76270350271336951</v>
      </c>
      <c r="D79" s="18">
        <f t="shared" si="71"/>
        <v>0.7631216201887393</v>
      </c>
      <c r="E79" s="18">
        <f>E46/E44</f>
        <v>0.74384564204923487</v>
      </c>
      <c r="F79" s="18" t="e">
        <f t="shared" ref="F79:H79" si="72">F46/F44</f>
        <v>#DIV/0!</v>
      </c>
      <c r="G79" s="18" t="e">
        <f t="shared" si="72"/>
        <v>#DIV/0!</v>
      </c>
      <c r="H79" s="18" t="e">
        <f t="shared" si="72"/>
        <v>#DIV/0!</v>
      </c>
      <c r="I79" s="23"/>
      <c r="J79" s="18">
        <f t="shared" ref="J79" si="73">J46/J44</f>
        <v>0.65468383545358799</v>
      </c>
      <c r="K79" s="18">
        <f t="shared" ref="K79:P79" si="74">K46/K44</f>
        <v>0.74628984573954282</v>
      </c>
      <c r="L79" s="18">
        <f t="shared" si="74"/>
        <v>0.74133534800264422</v>
      </c>
      <c r="M79" s="18">
        <f t="shared" si="74"/>
        <v>0.72591258148730553</v>
      </c>
      <c r="N79" s="18">
        <f t="shared" si="74"/>
        <v>0.74060640408047607</v>
      </c>
      <c r="O79" s="18">
        <f t="shared" si="74"/>
        <v>0.74679376934794361</v>
      </c>
      <c r="P79" s="18">
        <f t="shared" si="74"/>
        <v>0.76290503935398135</v>
      </c>
      <c r="Q79" s="18">
        <f t="shared" ref="Q79:V79" si="75">Q46/Q44</f>
        <v>0.73752471792485752</v>
      </c>
      <c r="R79" s="18">
        <f t="shared" si="75"/>
        <v>0</v>
      </c>
      <c r="S79" s="18">
        <f t="shared" si="75"/>
        <v>0</v>
      </c>
      <c r="T79" s="18">
        <f t="shared" si="75"/>
        <v>0</v>
      </c>
      <c r="U79" s="18">
        <f t="shared" si="75"/>
        <v>0</v>
      </c>
      <c r="V79" s="18">
        <f t="shared" si="75"/>
        <v>0</v>
      </c>
      <c r="W79" s="18"/>
      <c r="X79" s="18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</row>
    <row r="80" spans="2:60" x14ac:dyDescent="0.25">
      <c r="B80" s="17" t="s">
        <v>11</v>
      </c>
      <c r="C80" s="18">
        <f t="shared" ref="C80:D80" si="76">C50/C38</f>
        <v>0.35296411856474258</v>
      </c>
      <c r="D80" s="18">
        <f t="shared" si="76"/>
        <v>0.30642781875658587</v>
      </c>
      <c r="E80" s="18">
        <f>E50/E38</f>
        <v>0.24651162790697675</v>
      </c>
      <c r="F80" s="18" t="e">
        <f t="shared" ref="F80:H80" si="77">F50/F38</f>
        <v>#DIV/0!</v>
      </c>
      <c r="G80" s="18" t="e">
        <f t="shared" si="77"/>
        <v>#DIV/0!</v>
      </c>
      <c r="H80" s="18" t="e">
        <f t="shared" si="77"/>
        <v>#DIV/0!</v>
      </c>
      <c r="I80" s="23"/>
      <c r="J80" s="18">
        <f t="shared" ref="J80" si="78">J50/J38</f>
        <v>0.34197391724360005</v>
      </c>
      <c r="K80" s="18">
        <f t="shared" ref="K80:P84" si="79">K50/K38</f>
        <v>0.39529269764634883</v>
      </c>
      <c r="L80" s="18">
        <f t="shared" si="79"/>
        <v>0.4099227285945744</v>
      </c>
      <c r="M80" s="18">
        <f t="shared" si="79"/>
        <v>0.35138295298766226</v>
      </c>
      <c r="N80" s="18">
        <f t="shared" si="79"/>
        <v>0.3817696023019217</v>
      </c>
      <c r="O80" s="18">
        <f t="shared" si="79"/>
        <v>0.35586917135501095</v>
      </c>
      <c r="P80" s="18">
        <f t="shared" si="79"/>
        <v>0.33059860224855669</v>
      </c>
      <c r="Q80" s="18">
        <f t="shared" ref="Q80:V80" si="80">Q50/Q38</f>
        <v>0.20980392156862746</v>
      </c>
      <c r="R80" s="18">
        <f t="shared" si="80"/>
        <v>0</v>
      </c>
      <c r="S80" s="18">
        <f t="shared" si="80"/>
        <v>0</v>
      </c>
      <c r="T80" s="18">
        <f t="shared" si="80"/>
        <v>0</v>
      </c>
      <c r="U80" s="18">
        <f t="shared" si="80"/>
        <v>0</v>
      </c>
      <c r="V80" s="18">
        <f t="shared" si="80"/>
        <v>0</v>
      </c>
      <c r="W80" s="18"/>
      <c r="X80" s="18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</row>
    <row r="81" spans="1:60" x14ac:dyDescent="0.25">
      <c r="B81" s="17" t="s">
        <v>12</v>
      </c>
      <c r="C81" s="18">
        <f t="shared" ref="C81:D84" si="81">C51/C39</f>
        <v>0.30520304568527917</v>
      </c>
      <c r="D81" s="18">
        <f t="shared" si="81"/>
        <v>0.30442919525888956</v>
      </c>
      <c r="E81" s="18">
        <f>E51/E39</f>
        <v>0.21929215822345594</v>
      </c>
      <c r="F81" s="18" t="e">
        <f t="shared" ref="F81:H84" si="82">F51/F39</f>
        <v>#DIV/0!</v>
      </c>
      <c r="G81" s="18" t="e">
        <f t="shared" si="82"/>
        <v>#DIV/0!</v>
      </c>
      <c r="H81" s="18" t="e">
        <f t="shared" si="82"/>
        <v>#DIV/0!</v>
      </c>
      <c r="I81" s="23"/>
      <c r="J81" s="18">
        <f t="shared" ref="J81" si="83">J51/J39</f>
        <v>0.25099866844207724</v>
      </c>
      <c r="K81" s="18">
        <f t="shared" si="79"/>
        <v>0.2631880733944954</v>
      </c>
      <c r="L81" s="18">
        <f t="shared" si="79"/>
        <v>0.27436435508271928</v>
      </c>
      <c r="M81" s="18">
        <f t="shared" si="79"/>
        <v>0.22930520522815867</v>
      </c>
      <c r="N81" s="18">
        <f t="shared" si="79"/>
        <v>0.28361761205870684</v>
      </c>
      <c r="O81" s="18">
        <f t="shared" si="79"/>
        <v>0.30878787878787878</v>
      </c>
      <c r="P81" s="18">
        <f t="shared" si="79"/>
        <v>0.30481283422459893</v>
      </c>
      <c r="Q81" s="18">
        <f t="shared" ref="Q81:V81" si="84">Q51/Q39</f>
        <v>0.205831308573412</v>
      </c>
      <c r="R81" s="18">
        <f t="shared" si="84"/>
        <v>0</v>
      </c>
      <c r="S81" s="18">
        <f t="shared" si="84"/>
        <v>0</v>
      </c>
      <c r="T81" s="18">
        <f t="shared" si="84"/>
        <v>0</v>
      </c>
      <c r="U81" s="18">
        <f t="shared" si="84"/>
        <v>0</v>
      </c>
      <c r="V81" s="18">
        <f t="shared" si="84"/>
        <v>0</v>
      </c>
      <c r="W81" s="18"/>
      <c r="X81" s="18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</row>
    <row r="82" spans="1:60" x14ac:dyDescent="0.25">
      <c r="B82" s="17" t="s">
        <v>31</v>
      </c>
      <c r="C82" s="18">
        <f t="shared" si="81"/>
        <v>0.2028811524609844</v>
      </c>
      <c r="D82" s="18">
        <f t="shared" si="81"/>
        <v>0.17610837438423646</v>
      </c>
      <c r="E82" s="18">
        <f>E52/E40</f>
        <v>0.14473684210526316</v>
      </c>
      <c r="F82" s="18" t="e">
        <f t="shared" si="82"/>
        <v>#DIV/0!</v>
      </c>
      <c r="G82" s="18" t="e">
        <f t="shared" si="82"/>
        <v>#DIV/0!</v>
      </c>
      <c r="H82" s="18" t="e">
        <f t="shared" si="82"/>
        <v>#DIV/0!</v>
      </c>
      <c r="I82" s="23"/>
      <c r="J82" s="18">
        <f t="shared" ref="J82" si="85">J52/J40</f>
        <v>0.25</v>
      </c>
      <c r="K82" s="18">
        <f t="shared" si="79"/>
        <v>0.218214607754734</v>
      </c>
      <c r="L82" s="18">
        <f t="shared" si="79"/>
        <v>0.18430969510106202</v>
      </c>
      <c r="M82" s="18">
        <f t="shared" si="79"/>
        <v>0.14211352557217219</v>
      </c>
      <c r="N82" s="18">
        <f t="shared" si="79"/>
        <v>0.19028609447771125</v>
      </c>
      <c r="O82" s="18">
        <f t="shared" si="79"/>
        <v>0.2103448275862069</v>
      </c>
      <c r="P82" s="18">
        <f t="shared" si="79"/>
        <v>0.18966565349544073</v>
      </c>
      <c r="Q82" s="18">
        <f t="shared" ref="Q82:V82" si="86">Q52/Q40</f>
        <v>0.14886164623467601</v>
      </c>
      <c r="R82" s="18">
        <f t="shared" si="86"/>
        <v>0</v>
      </c>
      <c r="S82" s="18">
        <f t="shared" si="86"/>
        <v>0</v>
      </c>
      <c r="T82" s="18">
        <f t="shared" si="86"/>
        <v>0</v>
      </c>
      <c r="U82" s="18">
        <f t="shared" si="86"/>
        <v>0</v>
      </c>
      <c r="V82" s="18">
        <f t="shared" si="86"/>
        <v>0</v>
      </c>
      <c r="W82" s="18"/>
      <c r="X82" s="18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</row>
    <row r="83" spans="1:60" x14ac:dyDescent="0.25">
      <c r="B83" s="17" t="s">
        <v>32</v>
      </c>
      <c r="C83" s="18">
        <f t="shared" si="81"/>
        <v>0.1206896551724138</v>
      </c>
      <c r="D83" s="18">
        <f t="shared" si="81"/>
        <v>-7.2376357056694813E-3</v>
      </c>
      <c r="E83" s="18">
        <f>E53/E41</f>
        <v>2.5626092020966801E-2</v>
      </c>
      <c r="F83" s="18" t="e">
        <f t="shared" si="82"/>
        <v>#DIV/0!</v>
      </c>
      <c r="G83" s="18" t="e">
        <f t="shared" si="82"/>
        <v>#DIV/0!</v>
      </c>
      <c r="H83" s="18" t="e">
        <f t="shared" si="82"/>
        <v>#DIV/0!</v>
      </c>
      <c r="I83" s="23"/>
      <c r="J83" s="18">
        <f t="shared" ref="J83" si="87">J53/J41</f>
        <v>6.1576354679802957E-2</v>
      </c>
      <c r="K83" s="18">
        <f t="shared" si="79"/>
        <v>0.10194404931247036</v>
      </c>
      <c r="L83" s="18">
        <f t="shared" si="79"/>
        <v>0.12520197044334974</v>
      </c>
      <c r="M83" s="18">
        <f t="shared" si="79"/>
        <v>7.9165388155876024E-2</v>
      </c>
      <c r="N83" s="18">
        <f t="shared" si="79"/>
        <v>0.13972602739726028</v>
      </c>
      <c r="O83" s="18">
        <f t="shared" si="79"/>
        <v>0.14403717088280846</v>
      </c>
      <c r="P83" s="18">
        <f t="shared" si="79"/>
        <v>6.033010813887308E-2</v>
      </c>
      <c r="Q83" s="18">
        <f t="shared" ref="Q83:V83" si="88">Q53/Q41</f>
        <v>-2.7941633033219497E-3</v>
      </c>
      <c r="R83" s="18">
        <f t="shared" si="88"/>
        <v>0</v>
      </c>
      <c r="S83" s="18">
        <f t="shared" si="88"/>
        <v>0</v>
      </c>
      <c r="T83" s="18">
        <f t="shared" si="88"/>
        <v>0</v>
      </c>
      <c r="U83" s="18">
        <f t="shared" si="88"/>
        <v>0</v>
      </c>
      <c r="V83" s="18">
        <f t="shared" si="88"/>
        <v>0</v>
      </c>
      <c r="W83" s="18"/>
      <c r="X83" s="18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</row>
    <row r="84" spans="1:60" x14ac:dyDescent="0.25">
      <c r="B84" s="17" t="s">
        <v>14</v>
      </c>
      <c r="C84" s="18">
        <f t="shared" si="81"/>
        <v>7.2497123130034521E-2</v>
      </c>
      <c r="D84" s="18">
        <f t="shared" si="81"/>
        <v>-0.10014306151645208</v>
      </c>
      <c r="E84" s="18">
        <f>E54/E42</f>
        <v>9.4657919400187446E-2</v>
      </c>
      <c r="F84" s="18" t="e">
        <f t="shared" si="82"/>
        <v>#DIV/0!</v>
      </c>
      <c r="G84" s="18" t="e">
        <f t="shared" si="82"/>
        <v>#DIV/0!</v>
      </c>
      <c r="H84" s="18" t="e">
        <f t="shared" si="82"/>
        <v>#DIV/0!</v>
      </c>
      <c r="I84" s="23"/>
      <c r="J84" s="18">
        <f t="shared" ref="J84" si="89">J54/J42</f>
        <v>-0.67626613704071503</v>
      </c>
      <c r="K84" s="18">
        <f t="shared" si="79"/>
        <v>-0.5911047345767575</v>
      </c>
      <c r="L84" s="18">
        <f t="shared" si="79"/>
        <v>-0.52645238570572972</v>
      </c>
      <c r="M84" s="18">
        <f t="shared" si="79"/>
        <v>-0.5474504249291785</v>
      </c>
      <c r="N84" s="18">
        <f t="shared" si="79"/>
        <v>-0.22373806275579808</v>
      </c>
      <c r="O84" s="18">
        <f t="shared" si="79"/>
        <v>-7.7260755048287971E-2</v>
      </c>
      <c r="P84" s="18">
        <f t="shared" si="79"/>
        <v>-4.464285714285714E-3</v>
      </c>
      <c r="Q84" s="18">
        <f t="shared" ref="Q84:V84" si="90">Q54/Q42</f>
        <v>5.7702215352910868E-2</v>
      </c>
      <c r="R84" s="18">
        <f t="shared" si="90"/>
        <v>0</v>
      </c>
      <c r="S84" s="18">
        <f t="shared" si="90"/>
        <v>0</v>
      </c>
      <c r="T84" s="18">
        <f t="shared" si="90"/>
        <v>0</v>
      </c>
      <c r="U84" s="18">
        <f t="shared" si="90"/>
        <v>0</v>
      </c>
      <c r="V84" s="18">
        <f t="shared" si="90"/>
        <v>0</v>
      </c>
      <c r="W84" s="18"/>
      <c r="X84" s="18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</row>
    <row r="85" spans="1:60" x14ac:dyDescent="0.25">
      <c r="B85" s="19" t="s">
        <v>56</v>
      </c>
      <c r="C85" s="18">
        <f t="shared" ref="C85:D85" si="91">C56/C44</f>
        <v>0.27025160335471138</v>
      </c>
      <c r="D85" s="18">
        <f t="shared" si="91"/>
        <v>0.21280882197009862</v>
      </c>
      <c r="E85" s="18">
        <f>E56/E44</f>
        <v>0.17542692392991793</v>
      </c>
      <c r="F85" s="18" t="e">
        <f t="shared" ref="F85:H85" si="92">F56/F44</f>
        <v>#DIV/0!</v>
      </c>
      <c r="G85" s="18" t="e">
        <f t="shared" si="92"/>
        <v>#DIV/0!</v>
      </c>
      <c r="H85" s="18" t="e">
        <f t="shared" si="92"/>
        <v>#DIV/0!</v>
      </c>
      <c r="I85" s="23"/>
      <c r="J85" s="18">
        <f t="shared" ref="J85" si="93">J56/J44</f>
        <v>0.19046757593182448</v>
      </c>
      <c r="K85" s="18">
        <f t="shared" ref="K85:P85" si="94">K56/K44</f>
        <v>0.28860170359745924</v>
      </c>
      <c r="L85" s="18">
        <f t="shared" si="94"/>
        <v>0.30083419901155289</v>
      </c>
      <c r="M85" s="18">
        <f t="shared" si="94"/>
        <v>0.23932459046426774</v>
      </c>
      <c r="N85" s="18">
        <f t="shared" si="94"/>
        <v>0.28432983848115612</v>
      </c>
      <c r="O85" s="18">
        <f t="shared" si="94"/>
        <v>0.27463023930028008</v>
      </c>
      <c r="P85" s="18">
        <f t="shared" si="94"/>
        <v>0.24256363078810181</v>
      </c>
      <c r="Q85" s="18">
        <f t="shared" ref="Q85:V85" si="95">Q56/Q44</f>
        <v>0.14854018843782715</v>
      </c>
      <c r="R85" s="18">
        <f t="shared" si="95"/>
        <v>0</v>
      </c>
      <c r="S85" s="18">
        <f t="shared" si="95"/>
        <v>0</v>
      </c>
      <c r="T85" s="18">
        <f t="shared" si="95"/>
        <v>0</v>
      </c>
      <c r="U85" s="18">
        <f t="shared" si="95"/>
        <v>0</v>
      </c>
      <c r="V85" s="18">
        <f t="shared" si="95"/>
        <v>0</v>
      </c>
      <c r="W85" s="18"/>
      <c r="X85" s="18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</row>
    <row r="86" spans="1:60" x14ac:dyDescent="0.25">
      <c r="B86" s="17" t="s">
        <v>57</v>
      </c>
      <c r="C86" s="18">
        <f t="shared" ref="C86:D86" si="96">C61/C60</f>
        <v>0.27297830374753451</v>
      </c>
      <c r="D86" s="18">
        <f t="shared" si="96"/>
        <v>0.27738515901060068</v>
      </c>
      <c r="E86" s="18">
        <f>E61/E60</f>
        <v>0.26932084309133492</v>
      </c>
      <c r="F86" s="18" t="e">
        <f t="shared" ref="F86:H86" si="97">F61/F60</f>
        <v>#DIV/0!</v>
      </c>
      <c r="G86" s="18" t="e">
        <f t="shared" si="97"/>
        <v>#DIV/0!</v>
      </c>
      <c r="H86" s="18" t="e">
        <f t="shared" si="97"/>
        <v>#DIV/0!</v>
      </c>
      <c r="I86" s="23"/>
      <c r="J86" s="18">
        <f t="shared" ref="J86" si="98">J61/J60</f>
        <v>0.23988310265048501</v>
      </c>
      <c r="K86" s="18">
        <f t="shared" ref="K86:P86" si="99">K61/K60</f>
        <v>0.24691955265928689</v>
      </c>
      <c r="L86" s="18">
        <f t="shared" si="99"/>
        <v>0.49617468548705895</v>
      </c>
      <c r="M86" s="18">
        <f t="shared" si="99"/>
        <v>0.25679012345679014</v>
      </c>
      <c r="N86" s="18">
        <f t="shared" si="99"/>
        <v>0.28302387267904511</v>
      </c>
      <c r="O86" s="18">
        <f t="shared" si="99"/>
        <v>0.2765335929892892</v>
      </c>
      <c r="P86" s="18">
        <f t="shared" si="99"/>
        <v>0.27474604299551147</v>
      </c>
      <c r="Q86" s="18">
        <f t="shared" ref="Q86:V86" si="100">Q61/Q60</f>
        <v>0.27149587750294463</v>
      </c>
      <c r="R86" s="18" t="e">
        <f t="shared" si="100"/>
        <v>#DIV/0!</v>
      </c>
      <c r="S86" s="18" t="e">
        <f t="shared" si="100"/>
        <v>#DIV/0!</v>
      </c>
      <c r="T86" s="18" t="e">
        <f t="shared" si="100"/>
        <v>#DIV/0!</v>
      </c>
      <c r="U86" s="18" t="e">
        <f t="shared" si="100"/>
        <v>#DIV/0!</v>
      </c>
      <c r="V86" s="18" t="e">
        <f t="shared" si="100"/>
        <v>#DIV/0!</v>
      </c>
      <c r="W86" s="18"/>
      <c r="X86" s="18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</row>
    <row r="87" spans="1:60" x14ac:dyDescent="0.25"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</row>
    <row r="88" spans="1:60" x14ac:dyDescent="0.25"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</row>
    <row r="89" spans="1:60" x14ac:dyDescent="0.25">
      <c r="A89" s="15" t="s">
        <v>52</v>
      </c>
      <c r="B89" s="14" t="s">
        <v>58</v>
      </c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</row>
    <row r="90" spans="1:60" x14ac:dyDescent="0.25"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</row>
    <row r="91" spans="1:60" x14ac:dyDescent="0.25">
      <c r="B91" t="s">
        <v>59</v>
      </c>
      <c r="C91" s="23"/>
      <c r="D91" s="23"/>
      <c r="E91" s="23">
        <v>7090</v>
      </c>
      <c r="F91" s="23"/>
      <c r="G91" s="23"/>
      <c r="H91" s="23"/>
      <c r="I91" s="23"/>
      <c r="J91" s="23">
        <v>3421.2</v>
      </c>
      <c r="K91" s="23">
        <v>2399.1999999999998</v>
      </c>
      <c r="L91" s="23">
        <v>2525.9</v>
      </c>
      <c r="M91" s="23">
        <v>2452.1999999999998</v>
      </c>
      <c r="N91" s="23">
        <v>2891</v>
      </c>
      <c r="O91" s="23">
        <v>4053</v>
      </c>
      <c r="P91" s="23">
        <v>7112</v>
      </c>
      <c r="Q91" s="23">
        <v>6277</v>
      </c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</row>
    <row r="92" spans="1:60" x14ac:dyDescent="0.25">
      <c r="B92" t="s">
        <v>336</v>
      </c>
      <c r="C92" s="23"/>
      <c r="D92" s="23"/>
      <c r="E92" s="23">
        <v>8185</v>
      </c>
      <c r="F92" s="23"/>
      <c r="G92" s="23"/>
      <c r="H92" s="23"/>
      <c r="I92" s="23"/>
      <c r="J92" s="23">
        <v>11159</v>
      </c>
      <c r="K92" s="23">
        <v>7393.6</v>
      </c>
      <c r="L92" s="23">
        <v>7260.5</v>
      </c>
      <c r="M92" s="23">
        <v>6985.8</v>
      </c>
      <c r="N92" s="23">
        <v>7032</v>
      </c>
      <c r="O92" s="23">
        <v>7357</v>
      </c>
      <c r="P92" s="23">
        <v>8178</v>
      </c>
      <c r="Q92" s="23">
        <v>9287</v>
      </c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</row>
    <row r="93" spans="1:60" x14ac:dyDescent="0.25">
      <c r="B93" t="s">
        <v>60</v>
      </c>
      <c r="C93" s="23"/>
      <c r="D93" s="23"/>
      <c r="E93" s="23">
        <v>5098</v>
      </c>
      <c r="F93" s="23"/>
      <c r="G93" s="23"/>
      <c r="H93" s="23"/>
      <c r="I93" s="23"/>
      <c r="J93" s="23">
        <v>0</v>
      </c>
      <c r="K93" s="23">
        <v>0</v>
      </c>
      <c r="L93" s="23">
        <v>4246.7</v>
      </c>
      <c r="M93" s="23">
        <v>3956.8</v>
      </c>
      <c r="N93" s="23">
        <v>4302</v>
      </c>
      <c r="O93" s="23">
        <v>4929</v>
      </c>
      <c r="P93" s="23">
        <v>4984</v>
      </c>
      <c r="Q93" s="23">
        <v>5615</v>
      </c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</row>
    <row r="94" spans="1:60" x14ac:dyDescent="0.25">
      <c r="B94" t="s">
        <v>61</v>
      </c>
      <c r="C94" s="23"/>
      <c r="D94" s="23"/>
      <c r="E94" s="23">
        <v>6314</v>
      </c>
      <c r="F94" s="23"/>
      <c r="G94" s="23"/>
      <c r="H94" s="23"/>
      <c r="I94" s="23"/>
      <c r="J94" s="23">
        <v>2267.6</v>
      </c>
      <c r="K94" s="23">
        <v>2228.5</v>
      </c>
      <c r="L94" s="23">
        <v>2619.3000000000002</v>
      </c>
      <c r="M94" s="23">
        <v>2670.2</v>
      </c>
      <c r="N94" s="23">
        <v>2967</v>
      </c>
      <c r="O94" s="23">
        <v>3388</v>
      </c>
      <c r="P94" s="23">
        <v>5341</v>
      </c>
      <c r="Q94" s="23">
        <v>6537</v>
      </c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</row>
    <row r="95" spans="1:60" x14ac:dyDescent="0.25">
      <c r="B95" t="s">
        <v>337</v>
      </c>
      <c r="C95" s="23"/>
      <c r="D95" s="23"/>
      <c r="E95" s="23">
        <v>1775</v>
      </c>
      <c r="F95" s="23"/>
      <c r="G95" s="23"/>
      <c r="H95" s="23"/>
      <c r="I95" s="23"/>
      <c r="J95" s="23">
        <v>48.6</v>
      </c>
      <c r="K95" s="23">
        <v>1074.7</v>
      </c>
      <c r="L95" s="23">
        <v>1105.3</v>
      </c>
      <c r="M95" s="23">
        <v>36.200000000000003</v>
      </c>
      <c r="N95" s="23">
        <v>31</v>
      </c>
      <c r="O95" s="23">
        <v>49</v>
      </c>
      <c r="P95" s="23">
        <v>1750</v>
      </c>
      <c r="Q95" s="23">
        <v>1762</v>
      </c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</row>
    <row r="96" spans="1:60" x14ac:dyDescent="0.25">
      <c r="B96" t="s">
        <v>62</v>
      </c>
      <c r="C96" s="23"/>
      <c r="D96" s="23"/>
      <c r="E96" s="23">
        <v>483</v>
      </c>
      <c r="F96" s="23"/>
      <c r="G96" s="23"/>
      <c r="H96" s="23"/>
      <c r="I96" s="23"/>
      <c r="J96" s="23">
        <v>364.3</v>
      </c>
      <c r="K96" s="23">
        <v>336.3</v>
      </c>
      <c r="L96" s="23">
        <v>458.4</v>
      </c>
      <c r="M96" s="23">
        <v>1688.6</v>
      </c>
      <c r="N96" s="23">
        <v>1054</v>
      </c>
      <c r="O96" s="23">
        <v>855</v>
      </c>
      <c r="P96" s="23">
        <v>536</v>
      </c>
      <c r="Q96" s="23">
        <v>492</v>
      </c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</row>
    <row r="97" spans="2:60" x14ac:dyDescent="0.25">
      <c r="B97" t="s">
        <v>63</v>
      </c>
      <c r="C97" s="23"/>
      <c r="D97" s="23"/>
      <c r="E97" s="23">
        <v>1507</v>
      </c>
      <c r="F97" s="23"/>
      <c r="G97" s="23"/>
      <c r="H97" s="23"/>
      <c r="I97" s="23"/>
      <c r="J97" s="23">
        <v>964.6</v>
      </c>
      <c r="K97" s="23">
        <v>830.1</v>
      </c>
      <c r="L97" s="23">
        <v>1367.6</v>
      </c>
      <c r="M97" s="23">
        <v>1177.4000000000001</v>
      </c>
      <c r="N97" s="23">
        <v>1352</v>
      </c>
      <c r="O97" s="23">
        <v>1640</v>
      </c>
      <c r="P97" s="23">
        <v>1520</v>
      </c>
      <c r="Q97" s="23">
        <v>1651</v>
      </c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</row>
    <row r="98" spans="2:60" x14ac:dyDescent="0.25">
      <c r="B98" t="s">
        <v>64</v>
      </c>
      <c r="C98" s="23"/>
      <c r="D98" s="23"/>
      <c r="E98" s="23">
        <v>35</v>
      </c>
      <c r="F98" s="23"/>
      <c r="G98" s="23"/>
      <c r="H98" s="23"/>
      <c r="I98" s="23"/>
      <c r="J98" s="23">
        <v>35.4</v>
      </c>
      <c r="K98" s="23">
        <v>34.200000000000003</v>
      </c>
      <c r="L98" s="23">
        <v>18.8</v>
      </c>
      <c r="M98" s="23">
        <v>17.399999999999999</v>
      </c>
      <c r="N98" s="23">
        <v>6</v>
      </c>
      <c r="O98" s="23">
        <v>8</v>
      </c>
      <c r="P98" s="23">
        <v>16</v>
      </c>
      <c r="Q98" s="23">
        <v>27</v>
      </c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</row>
    <row r="99" spans="2:60" x14ac:dyDescent="0.25">
      <c r="B99" s="1" t="s">
        <v>65</v>
      </c>
      <c r="C99" s="25">
        <f t="shared" ref="C99:D99" si="101">+SUM(C91:C98)</f>
        <v>0</v>
      </c>
      <c r="D99" s="25">
        <f t="shared" si="101"/>
        <v>0</v>
      </c>
      <c r="E99" s="25">
        <f>+SUM(E91:E98)</f>
        <v>30487</v>
      </c>
      <c r="F99" s="25">
        <f t="shared" ref="F99:H99" si="102">+SUM(F91:F98)</f>
        <v>0</v>
      </c>
      <c r="G99" s="25">
        <f t="shared" si="102"/>
        <v>0</v>
      </c>
      <c r="H99" s="25">
        <f t="shared" si="102"/>
        <v>0</v>
      </c>
      <c r="I99" s="23"/>
      <c r="J99" s="25">
        <v>18260.699999999997</v>
      </c>
      <c r="K99" s="25">
        <v>14296.6</v>
      </c>
      <c r="L99" s="25">
        <v>19602.499999999996</v>
      </c>
      <c r="M99" s="25">
        <v>18984.600000000002</v>
      </c>
      <c r="N99" s="25">
        <v>19635</v>
      </c>
      <c r="O99" s="25">
        <v>22279</v>
      </c>
      <c r="P99" s="25">
        <f>SUM(P91:P98)</f>
        <v>29437</v>
      </c>
      <c r="Q99" s="25">
        <f>SUM(Q91:Q98)</f>
        <v>31648</v>
      </c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</row>
    <row r="100" spans="2:60" x14ac:dyDescent="0.25">
      <c r="B100" t="s">
        <v>66</v>
      </c>
      <c r="C100" s="23"/>
      <c r="D100" s="23"/>
      <c r="E100" s="23">
        <v>4346</v>
      </c>
      <c r="F100" s="23"/>
      <c r="G100" s="23"/>
      <c r="H100" s="23"/>
      <c r="I100" s="23"/>
      <c r="J100" s="23">
        <v>2699.1</v>
      </c>
      <c r="K100" s="23">
        <v>2414.6999999999998</v>
      </c>
      <c r="L100" s="23">
        <v>2959.2</v>
      </c>
      <c r="M100" s="23">
        <v>2845.5</v>
      </c>
      <c r="N100" s="23">
        <v>3369</v>
      </c>
      <c r="O100" s="23">
        <v>4465</v>
      </c>
      <c r="P100" s="23">
        <v>4550</v>
      </c>
      <c r="Q100" s="23">
        <v>3992</v>
      </c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</row>
    <row r="101" spans="2:60" x14ac:dyDescent="0.25">
      <c r="B101" t="s">
        <v>338</v>
      </c>
      <c r="C101" s="23"/>
      <c r="D101" s="23"/>
      <c r="E101" s="23">
        <v>1155</v>
      </c>
      <c r="F101" s="23"/>
      <c r="G101" s="23"/>
      <c r="H101" s="23"/>
      <c r="I101" s="23"/>
      <c r="J101" s="23">
        <v>1366.5</v>
      </c>
      <c r="K101" s="23">
        <v>849.5</v>
      </c>
      <c r="L101" s="23">
        <v>996</v>
      </c>
      <c r="M101" s="23">
        <v>824.2</v>
      </c>
      <c r="N101" s="23">
        <v>977</v>
      </c>
      <c r="O101" s="23">
        <v>1180</v>
      </c>
      <c r="P101" s="23">
        <v>1151</v>
      </c>
      <c r="Q101" s="23">
        <v>1003</v>
      </c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</row>
    <row r="102" spans="2:60" x14ac:dyDescent="0.25">
      <c r="B102" t="s">
        <v>67</v>
      </c>
      <c r="C102" s="23"/>
      <c r="D102" s="23"/>
      <c r="E102" s="23">
        <v>762</v>
      </c>
      <c r="F102" s="23"/>
      <c r="G102" s="23"/>
      <c r="H102" s="23"/>
      <c r="I102" s="23"/>
      <c r="J102" s="23">
        <v>78.599999999999994</v>
      </c>
      <c r="K102" s="23">
        <v>90.6</v>
      </c>
      <c r="L102" s="23">
        <v>280.7</v>
      </c>
      <c r="M102" s="23">
        <v>600.5</v>
      </c>
      <c r="N102" s="23">
        <v>822</v>
      </c>
      <c r="O102" s="23">
        <v>378</v>
      </c>
      <c r="P102" s="23">
        <v>765</v>
      </c>
      <c r="Q102" s="23">
        <v>680</v>
      </c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</row>
    <row r="103" spans="2:60" x14ac:dyDescent="0.25">
      <c r="B103" t="s">
        <v>68</v>
      </c>
      <c r="C103" s="23"/>
      <c r="D103" s="23"/>
      <c r="E103" s="23">
        <v>64</v>
      </c>
      <c r="F103" s="23"/>
      <c r="G103" s="23"/>
      <c r="H103" s="23"/>
      <c r="I103" s="23"/>
      <c r="J103" s="23">
        <v>155.6</v>
      </c>
      <c r="K103" s="23">
        <v>60.9</v>
      </c>
      <c r="L103" s="23">
        <v>38.4</v>
      </c>
      <c r="M103" s="23">
        <v>158</v>
      </c>
      <c r="N103" s="23">
        <v>22</v>
      </c>
      <c r="O103" s="23">
        <v>167</v>
      </c>
      <c r="P103" s="23">
        <v>136</v>
      </c>
      <c r="Q103" s="23">
        <v>42</v>
      </c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</row>
    <row r="104" spans="2:60" x14ac:dyDescent="0.25">
      <c r="B104" t="s">
        <v>69</v>
      </c>
      <c r="C104" s="23"/>
      <c r="D104" s="23"/>
      <c r="E104" s="23">
        <v>1404</v>
      </c>
      <c r="F104" s="23"/>
      <c r="G104" s="23"/>
      <c r="H104" s="23"/>
      <c r="I104" s="23"/>
      <c r="J104" s="23">
        <v>880.3</v>
      </c>
      <c r="K104" s="23">
        <v>899.5</v>
      </c>
      <c r="L104" s="23">
        <v>979.4</v>
      </c>
      <c r="M104" s="23">
        <v>1149.0999999999999</v>
      </c>
      <c r="N104" s="23">
        <v>975</v>
      </c>
      <c r="O104" s="23">
        <v>1136</v>
      </c>
      <c r="P104" s="23">
        <v>1406</v>
      </c>
      <c r="Q104" s="23">
        <v>1388</v>
      </c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</row>
    <row r="105" spans="2:60" x14ac:dyDescent="0.25">
      <c r="B105" t="s">
        <v>70</v>
      </c>
      <c r="C105" s="23"/>
      <c r="D105" s="23"/>
      <c r="E105" s="23">
        <v>3934</v>
      </c>
      <c r="F105" s="23"/>
      <c r="G105" s="23"/>
      <c r="H105" s="23"/>
      <c r="I105" s="23"/>
      <c r="J105" s="23">
        <v>2136.6</v>
      </c>
      <c r="K105" s="23">
        <v>2755.7</v>
      </c>
      <c r="L105" s="23">
        <v>2292</v>
      </c>
      <c r="M105" s="23">
        <v>3443.5</v>
      </c>
      <c r="N105" s="23">
        <v>5268</v>
      </c>
      <c r="O105" s="23">
        <v>4336</v>
      </c>
      <c r="P105" s="23">
        <v>3922</v>
      </c>
      <c r="Q105" s="23">
        <v>3518</v>
      </c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</row>
    <row r="106" spans="2:60" x14ac:dyDescent="0.25">
      <c r="B106" s="1" t="s">
        <v>71</v>
      </c>
      <c r="C106" s="25">
        <f t="shared" ref="C106:H106" si="103">+SUM(C100:C105)</f>
        <v>0</v>
      </c>
      <c r="D106" s="25">
        <f t="shared" si="103"/>
        <v>0</v>
      </c>
      <c r="E106" s="25">
        <f t="shared" si="103"/>
        <v>11665</v>
      </c>
      <c r="F106" s="25">
        <f t="shared" si="103"/>
        <v>0</v>
      </c>
      <c r="G106" s="25">
        <f t="shared" si="103"/>
        <v>0</v>
      </c>
      <c r="H106" s="25">
        <f t="shared" si="103"/>
        <v>0</v>
      </c>
      <c r="I106" s="23"/>
      <c r="J106" s="25">
        <v>7316.7000000000007</v>
      </c>
      <c r="K106" s="25">
        <v>7070.9</v>
      </c>
      <c r="L106" s="25">
        <v>7545.6999999999989</v>
      </c>
      <c r="M106" s="25">
        <v>9020.7999999999993</v>
      </c>
      <c r="N106" s="25">
        <v>11433</v>
      </c>
      <c r="O106" s="25">
        <v>11662</v>
      </c>
      <c r="P106" s="25">
        <f>SUM(P100:P105)</f>
        <v>11930</v>
      </c>
      <c r="Q106" s="25">
        <f>SUM(Q100:Q105)</f>
        <v>10623</v>
      </c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</row>
    <row r="107" spans="2:60" x14ac:dyDescent="0.25">
      <c r="B107" t="s">
        <v>494</v>
      </c>
      <c r="C107" s="23">
        <v>0</v>
      </c>
      <c r="D107" s="23">
        <v>0</v>
      </c>
      <c r="E107" s="23">
        <v>0</v>
      </c>
      <c r="F107" s="23">
        <v>0</v>
      </c>
      <c r="G107" s="23">
        <v>0</v>
      </c>
      <c r="H107" s="23">
        <v>0</v>
      </c>
      <c r="I107" s="23"/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3">
        <v>0</v>
      </c>
      <c r="Q107" s="23">
        <v>1075</v>
      </c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</row>
    <row r="108" spans="2:60" x14ac:dyDescent="0.25">
      <c r="B108" s="1" t="s">
        <v>88</v>
      </c>
      <c r="C108" s="25">
        <f>+C106+C99+C107</f>
        <v>0</v>
      </c>
      <c r="D108" s="25">
        <f t="shared" ref="D108:H108" si="104">+D106+D99+D107</f>
        <v>0</v>
      </c>
      <c r="E108" s="25">
        <f t="shared" si="104"/>
        <v>42152</v>
      </c>
      <c r="F108" s="25">
        <f t="shared" si="104"/>
        <v>0</v>
      </c>
      <c r="G108" s="25">
        <f t="shared" si="104"/>
        <v>0</v>
      </c>
      <c r="H108" s="25">
        <f t="shared" si="104"/>
        <v>0</v>
      </c>
      <c r="I108" s="23"/>
      <c r="J108" s="25">
        <f t="shared" ref="J108" si="105">+J106+J99+J107</f>
        <v>25577.399999999998</v>
      </c>
      <c r="K108" s="25">
        <f t="shared" ref="K108" si="106">+K106+K99+K107</f>
        <v>21367.5</v>
      </c>
      <c r="L108" s="25">
        <f t="shared" ref="L108" si="107">+L106+L99+L107</f>
        <v>27148.199999999997</v>
      </c>
      <c r="M108" s="25">
        <f t="shared" ref="M108" si="108">+M106+M99+M107</f>
        <v>28005.4</v>
      </c>
      <c r="N108" s="25">
        <f t="shared" ref="N108" si="109">+N106+N99+N107</f>
        <v>31068</v>
      </c>
      <c r="O108" s="25">
        <f t="shared" ref="O108" si="110">+O106+O99+O107</f>
        <v>33941</v>
      </c>
      <c r="P108" s="25">
        <f t="shared" ref="P108" si="111">+P106+P99+P107</f>
        <v>41367</v>
      </c>
      <c r="Q108" s="25">
        <f t="shared" ref="Q108" si="112">+Q106+Q99+Q107</f>
        <v>43346</v>
      </c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</row>
    <row r="109" spans="2:60" x14ac:dyDescent="0.25">
      <c r="B109" s="1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</row>
    <row r="110" spans="2:60" x14ac:dyDescent="0.25">
      <c r="B110" t="s">
        <v>340</v>
      </c>
      <c r="C110" s="23"/>
      <c r="D110" s="23"/>
      <c r="E110" s="23">
        <v>14901</v>
      </c>
      <c r="F110" s="23"/>
      <c r="G110" s="23"/>
      <c r="H110" s="23"/>
      <c r="I110" s="23"/>
      <c r="J110" s="23">
        <v>11948.2</v>
      </c>
      <c r="K110" s="23">
        <v>9905.9</v>
      </c>
      <c r="L110" s="23">
        <v>10278.1</v>
      </c>
      <c r="M110" s="23">
        <v>11820.9</v>
      </c>
      <c r="N110" s="23">
        <v>13347</v>
      </c>
      <c r="O110" s="23">
        <v>13998</v>
      </c>
      <c r="P110" s="23">
        <v>15212</v>
      </c>
      <c r="Q110" s="23">
        <v>14904</v>
      </c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</row>
    <row r="111" spans="2:60" x14ac:dyDescent="0.25">
      <c r="B111" t="s">
        <v>339</v>
      </c>
      <c r="C111" s="23"/>
      <c r="D111" s="23"/>
      <c r="E111" s="23">
        <v>849</v>
      </c>
      <c r="F111" s="23"/>
      <c r="G111" s="23"/>
      <c r="H111" s="23"/>
      <c r="I111" s="23"/>
      <c r="J111" s="23">
        <v>678.2</v>
      </c>
      <c r="K111" s="23">
        <v>155.69999999999999</v>
      </c>
      <c r="L111" s="23">
        <v>160.5</v>
      </c>
      <c r="M111" s="23">
        <v>214.1</v>
      </c>
      <c r="N111" s="23">
        <v>389</v>
      </c>
      <c r="O111" s="23">
        <v>785</v>
      </c>
      <c r="P111" s="23">
        <v>798</v>
      </c>
      <c r="Q111" s="23">
        <v>826</v>
      </c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</row>
    <row r="112" spans="2:60" x14ac:dyDescent="0.25">
      <c r="B112" s="1" t="s">
        <v>72</v>
      </c>
      <c r="C112" s="25">
        <f t="shared" ref="C112:D112" si="113">+SUM(C110:C111)</f>
        <v>0</v>
      </c>
      <c r="D112" s="25">
        <f t="shared" si="113"/>
        <v>0</v>
      </c>
      <c r="E112" s="25">
        <f>+SUM(E110:E111)</f>
        <v>15750</v>
      </c>
      <c r="F112" s="25">
        <f t="shared" ref="F112:H112" si="114">+SUM(F110:F111)</f>
        <v>0</v>
      </c>
      <c r="G112" s="25">
        <f t="shared" si="114"/>
        <v>0</v>
      </c>
      <c r="H112" s="25">
        <f t="shared" si="114"/>
        <v>0</v>
      </c>
      <c r="I112" s="23"/>
      <c r="J112" s="25">
        <v>12626.400000000001</v>
      </c>
      <c r="K112" s="25">
        <v>10061.6</v>
      </c>
      <c r="L112" s="25">
        <v>10438.6</v>
      </c>
      <c r="M112" s="25">
        <v>12035</v>
      </c>
      <c r="N112" s="25">
        <v>13736</v>
      </c>
      <c r="O112" s="25">
        <v>14783</v>
      </c>
      <c r="P112" s="25">
        <f>SUM(P110:P111)</f>
        <v>16010</v>
      </c>
      <c r="Q112" s="25">
        <f>SUM(Q110:Q111)</f>
        <v>15730</v>
      </c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</row>
    <row r="113" spans="2:60" x14ac:dyDescent="0.25">
      <c r="B113" t="s">
        <v>73</v>
      </c>
      <c r="C113" s="23"/>
      <c r="D113" s="23"/>
      <c r="E113" s="23">
        <v>11018</v>
      </c>
      <c r="F113" s="23"/>
      <c r="G113" s="23"/>
      <c r="H113" s="23"/>
      <c r="I113" s="23"/>
      <c r="J113" s="23">
        <v>4245.5</v>
      </c>
      <c r="K113" s="23">
        <v>3171.6</v>
      </c>
      <c r="L113" s="23">
        <v>3122.2</v>
      </c>
      <c r="M113" s="23">
        <v>3815.4</v>
      </c>
      <c r="N113" s="23">
        <v>2976</v>
      </c>
      <c r="O113" s="23">
        <v>4347</v>
      </c>
      <c r="P113" s="23">
        <v>10026</v>
      </c>
      <c r="Q113" s="23">
        <v>10556</v>
      </c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</row>
    <row r="114" spans="2:60" x14ac:dyDescent="0.25">
      <c r="B114" t="s">
        <v>74</v>
      </c>
      <c r="C114" s="23"/>
      <c r="D114" s="23"/>
      <c r="E114" s="23">
        <v>4593</v>
      </c>
      <c r="F114" s="23"/>
      <c r="G114" s="23"/>
      <c r="H114" s="23"/>
      <c r="I114" s="23"/>
      <c r="J114" s="23">
        <v>0.7</v>
      </c>
      <c r="K114" s="23">
        <v>3</v>
      </c>
      <c r="L114" s="23">
        <v>3598.6</v>
      </c>
      <c r="M114" s="23">
        <v>3545.8</v>
      </c>
      <c r="N114" s="23">
        <v>3826</v>
      </c>
      <c r="O114" s="23">
        <v>4420</v>
      </c>
      <c r="P114" s="23">
        <v>4511</v>
      </c>
      <c r="Q114" s="23">
        <v>5056</v>
      </c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</row>
    <row r="115" spans="2:60" x14ac:dyDescent="0.25">
      <c r="B115" t="s">
        <v>75</v>
      </c>
      <c r="C115" s="23"/>
      <c r="D115" s="23"/>
      <c r="E115" s="23">
        <v>7</v>
      </c>
      <c r="F115" s="23"/>
      <c r="G115" s="23"/>
      <c r="H115" s="23"/>
      <c r="I115" s="23"/>
      <c r="J115" s="23">
        <v>0</v>
      </c>
      <c r="K115" s="23">
        <v>0</v>
      </c>
      <c r="L115" s="23">
        <v>47.9</v>
      </c>
      <c r="M115" s="23">
        <v>80</v>
      </c>
      <c r="N115" s="23">
        <v>0</v>
      </c>
      <c r="O115" s="23">
        <v>0</v>
      </c>
      <c r="P115" s="23">
        <v>13</v>
      </c>
      <c r="Q115" s="23">
        <v>13</v>
      </c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</row>
    <row r="116" spans="2:60" x14ac:dyDescent="0.25">
      <c r="B116" t="s">
        <v>341</v>
      </c>
      <c r="C116" s="23"/>
      <c r="D116" s="23"/>
      <c r="E116" s="23">
        <v>78</v>
      </c>
      <c r="F116" s="23"/>
      <c r="G116" s="23"/>
      <c r="H116" s="23"/>
      <c r="I116" s="23"/>
      <c r="J116" s="23">
        <v>125.7</v>
      </c>
      <c r="K116" s="23">
        <v>88</v>
      </c>
      <c r="L116" s="23">
        <v>106.5</v>
      </c>
      <c r="M116" s="23">
        <v>107.5</v>
      </c>
      <c r="N116" s="23">
        <v>89</v>
      </c>
      <c r="O116" s="23">
        <v>66</v>
      </c>
      <c r="P116" s="23">
        <v>68</v>
      </c>
      <c r="Q116" s="23">
        <v>85</v>
      </c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</row>
    <row r="117" spans="2:60" x14ac:dyDescent="0.25">
      <c r="B117" t="s">
        <v>76</v>
      </c>
      <c r="C117" s="23"/>
      <c r="D117" s="23"/>
      <c r="E117" s="23">
        <v>27</v>
      </c>
      <c r="F117" s="23"/>
      <c r="G117" s="23"/>
      <c r="H117" s="23"/>
      <c r="I117" s="23"/>
      <c r="J117" s="23">
        <v>55.5</v>
      </c>
      <c r="K117" s="23">
        <v>14.2</v>
      </c>
      <c r="L117" s="23">
        <v>15.1</v>
      </c>
      <c r="M117" s="23">
        <v>18.399999999999999</v>
      </c>
      <c r="N117" s="23">
        <v>16</v>
      </c>
      <c r="O117" s="23">
        <v>19</v>
      </c>
      <c r="P117" s="23">
        <v>21</v>
      </c>
      <c r="Q117" s="23">
        <v>51</v>
      </c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</row>
    <row r="118" spans="2:60" x14ac:dyDescent="0.25">
      <c r="B118" t="s">
        <v>77</v>
      </c>
      <c r="C118" s="23"/>
      <c r="D118" s="23"/>
      <c r="E118" s="23">
        <v>1793</v>
      </c>
      <c r="F118" s="23"/>
      <c r="G118" s="23"/>
      <c r="H118" s="23"/>
      <c r="I118" s="23"/>
      <c r="J118" s="23">
        <v>2712.2</v>
      </c>
      <c r="K118" s="23">
        <v>1578.6</v>
      </c>
      <c r="L118" s="23">
        <v>1530.4</v>
      </c>
      <c r="M118" s="23">
        <v>1485.1</v>
      </c>
      <c r="N118" s="23">
        <v>1452</v>
      </c>
      <c r="O118" s="23">
        <v>1572</v>
      </c>
      <c r="P118" s="23">
        <v>1776</v>
      </c>
      <c r="Q118" s="23">
        <v>1985</v>
      </c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</row>
    <row r="119" spans="2:60" x14ac:dyDescent="0.25">
      <c r="B119" t="s">
        <v>78</v>
      </c>
      <c r="C119" s="23"/>
      <c r="D119" s="23"/>
      <c r="E119" s="23">
        <v>433</v>
      </c>
      <c r="F119" s="23"/>
      <c r="G119" s="23"/>
      <c r="H119" s="23"/>
      <c r="I119" s="23"/>
      <c r="J119" s="23">
        <v>48.8</v>
      </c>
      <c r="K119" s="23">
        <v>40</v>
      </c>
      <c r="L119" s="23">
        <v>141.4</v>
      </c>
      <c r="M119" s="23">
        <v>183.6</v>
      </c>
      <c r="N119" s="23">
        <v>198</v>
      </c>
      <c r="O119" s="23">
        <v>228</v>
      </c>
      <c r="P119" s="23">
        <v>311</v>
      </c>
      <c r="Q119" s="23">
        <v>278</v>
      </c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</row>
    <row r="120" spans="2:60" x14ac:dyDescent="0.25">
      <c r="B120" s="1" t="s">
        <v>79</v>
      </c>
      <c r="C120" s="25">
        <f t="shared" ref="C120:D120" si="115">+SUM(C113:C119)</f>
        <v>0</v>
      </c>
      <c r="D120" s="25">
        <f t="shared" si="115"/>
        <v>0</v>
      </c>
      <c r="E120" s="25">
        <f>+SUM(E113:E119)</f>
        <v>17949</v>
      </c>
      <c r="F120" s="25">
        <f t="shared" ref="F120:H120" si="116">+SUM(F113:F119)</f>
        <v>0</v>
      </c>
      <c r="G120" s="25">
        <f t="shared" si="116"/>
        <v>0</v>
      </c>
      <c r="H120" s="25">
        <f t="shared" si="116"/>
        <v>0</v>
      </c>
      <c r="I120" s="23"/>
      <c r="J120" s="25">
        <v>7188.4</v>
      </c>
      <c r="K120" s="25">
        <v>4895.3999999999996</v>
      </c>
      <c r="L120" s="25">
        <v>8562.0999999999985</v>
      </c>
      <c r="M120" s="25">
        <v>9235.8000000000011</v>
      </c>
      <c r="N120" s="25">
        <v>8557</v>
      </c>
      <c r="O120" s="25">
        <v>10652</v>
      </c>
      <c r="P120" s="25">
        <f>SUM(P113:P119)</f>
        <v>16726</v>
      </c>
      <c r="Q120" s="25">
        <f>SUM(Q113:Q119)</f>
        <v>18024</v>
      </c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</row>
    <row r="121" spans="2:60" x14ac:dyDescent="0.25">
      <c r="B121" t="s">
        <v>80</v>
      </c>
      <c r="C121" s="23"/>
      <c r="D121" s="23"/>
      <c r="E121" s="23">
        <v>2838</v>
      </c>
      <c r="F121" s="23"/>
      <c r="G121" s="23"/>
      <c r="H121" s="23"/>
      <c r="I121" s="23"/>
      <c r="J121" s="23">
        <v>939.7</v>
      </c>
      <c r="K121" s="23">
        <v>756.4</v>
      </c>
      <c r="L121" s="23">
        <v>1975.9</v>
      </c>
      <c r="M121" s="23">
        <v>1776.2</v>
      </c>
      <c r="N121" s="23">
        <v>2442</v>
      </c>
      <c r="O121" s="23">
        <v>2295</v>
      </c>
      <c r="P121" s="23">
        <v>2400</v>
      </c>
      <c r="Q121" s="23">
        <v>3479</v>
      </c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</row>
    <row r="122" spans="2:60" x14ac:dyDescent="0.25">
      <c r="B122" t="s">
        <v>81</v>
      </c>
      <c r="C122" s="23"/>
      <c r="D122" s="23"/>
      <c r="E122" s="23">
        <v>914</v>
      </c>
      <c r="F122" s="23"/>
      <c r="G122" s="23"/>
      <c r="H122" s="23"/>
      <c r="I122" s="23"/>
      <c r="J122" s="23">
        <v>0</v>
      </c>
      <c r="K122" s="23">
        <v>0</v>
      </c>
      <c r="L122" s="23">
        <v>720</v>
      </c>
      <c r="M122" s="23">
        <v>538</v>
      </c>
      <c r="N122" s="23">
        <v>675</v>
      </c>
      <c r="O122" s="23">
        <v>812</v>
      </c>
      <c r="P122" s="23">
        <v>884</v>
      </c>
      <c r="Q122" s="23">
        <v>1051</v>
      </c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</row>
    <row r="123" spans="2:60" x14ac:dyDescent="0.25">
      <c r="B123" t="s">
        <v>82</v>
      </c>
      <c r="C123" s="23"/>
      <c r="D123" s="23"/>
      <c r="E123" s="23">
        <v>58</v>
      </c>
      <c r="F123" s="23"/>
      <c r="G123" s="23"/>
      <c r="H123" s="23"/>
      <c r="I123" s="23"/>
      <c r="J123" s="23">
        <v>367.6</v>
      </c>
      <c r="K123" s="23">
        <v>553.20000000000005</v>
      </c>
      <c r="L123" s="23">
        <v>503.2</v>
      </c>
      <c r="M123" s="23">
        <v>338.1</v>
      </c>
      <c r="N123" s="23">
        <v>743</v>
      </c>
      <c r="O123" s="23">
        <v>663</v>
      </c>
      <c r="P123" s="23">
        <v>588</v>
      </c>
      <c r="Q123" s="23">
        <v>343</v>
      </c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</row>
    <row r="124" spans="2:60" x14ac:dyDescent="0.25">
      <c r="B124" t="s">
        <v>342</v>
      </c>
      <c r="C124" s="23"/>
      <c r="D124" s="23"/>
      <c r="E124" s="23">
        <v>2132</v>
      </c>
      <c r="F124" s="23"/>
      <c r="G124" s="23"/>
      <c r="H124" s="23"/>
      <c r="I124" s="23"/>
      <c r="J124" s="23">
        <v>1240.7</v>
      </c>
      <c r="K124" s="23">
        <v>745.8</v>
      </c>
      <c r="L124" s="23">
        <v>808.7</v>
      </c>
      <c r="M124" s="23">
        <v>666</v>
      </c>
      <c r="N124" s="23">
        <v>1742</v>
      </c>
      <c r="O124" s="23">
        <v>2263</v>
      </c>
      <c r="P124" s="23">
        <v>2200</v>
      </c>
      <c r="Q124" s="23">
        <v>2098</v>
      </c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</row>
    <row r="125" spans="2:60" x14ac:dyDescent="0.25">
      <c r="B125" t="s">
        <v>343</v>
      </c>
      <c r="C125" s="23"/>
      <c r="D125" s="23"/>
      <c r="E125" s="23">
        <v>13</v>
      </c>
      <c r="F125" s="23"/>
      <c r="G125" s="23"/>
      <c r="H125" s="23"/>
      <c r="I125" s="23"/>
      <c r="J125" s="23">
        <v>10.7</v>
      </c>
      <c r="K125" s="23">
        <v>8.6</v>
      </c>
      <c r="L125" s="23">
        <v>8.9</v>
      </c>
      <c r="M125" s="23">
        <v>12.2</v>
      </c>
      <c r="N125" s="23">
        <v>12</v>
      </c>
      <c r="O125" s="23">
        <v>12</v>
      </c>
      <c r="P125" s="23">
        <v>12</v>
      </c>
      <c r="Q125" s="23">
        <v>13</v>
      </c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</row>
    <row r="126" spans="2:60" x14ac:dyDescent="0.25">
      <c r="B126" t="s">
        <v>83</v>
      </c>
      <c r="C126" s="23"/>
      <c r="D126" s="23"/>
      <c r="E126" s="23">
        <v>135</v>
      </c>
      <c r="F126" s="23"/>
      <c r="G126" s="23"/>
      <c r="H126" s="23"/>
      <c r="I126" s="23"/>
      <c r="J126" s="23">
        <v>182.4</v>
      </c>
      <c r="K126" s="23">
        <v>255.7</v>
      </c>
      <c r="L126" s="23">
        <v>216</v>
      </c>
      <c r="M126" s="23">
        <v>212.4</v>
      </c>
      <c r="N126" s="23">
        <v>138</v>
      </c>
      <c r="O126" s="23">
        <v>168</v>
      </c>
      <c r="P126" s="23">
        <v>163</v>
      </c>
      <c r="Q126" s="23">
        <v>191</v>
      </c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</row>
    <row r="127" spans="2:60" x14ac:dyDescent="0.25">
      <c r="B127" t="s">
        <v>84</v>
      </c>
      <c r="C127" s="23"/>
      <c r="D127" s="23"/>
      <c r="E127" s="23">
        <v>743</v>
      </c>
      <c r="F127" s="23"/>
      <c r="G127" s="23"/>
      <c r="H127" s="23"/>
      <c r="I127" s="23"/>
      <c r="J127" s="23">
        <v>815.4</v>
      </c>
      <c r="K127" s="23">
        <v>1303.3</v>
      </c>
      <c r="L127" s="23">
        <v>1361.5</v>
      </c>
      <c r="M127" s="23">
        <v>901.3</v>
      </c>
      <c r="N127" s="23">
        <v>1148</v>
      </c>
      <c r="O127" s="23">
        <v>567</v>
      </c>
      <c r="P127" s="23">
        <v>536</v>
      </c>
      <c r="Q127" s="23">
        <v>528</v>
      </c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</row>
    <row r="128" spans="2:60" x14ac:dyDescent="0.25">
      <c r="B128" t="s">
        <v>85</v>
      </c>
      <c r="C128" s="23"/>
      <c r="D128" s="23"/>
      <c r="E128" s="23">
        <v>1620</v>
      </c>
      <c r="F128" s="23"/>
      <c r="G128" s="23"/>
      <c r="H128" s="23"/>
      <c r="I128" s="23"/>
      <c r="J128" s="23">
        <v>2206.1</v>
      </c>
      <c r="K128" s="23">
        <v>2787.5</v>
      </c>
      <c r="L128" s="23">
        <v>2553.3000000000002</v>
      </c>
      <c r="M128" s="23">
        <v>2290.4</v>
      </c>
      <c r="N128" s="23">
        <v>1875</v>
      </c>
      <c r="O128" s="23">
        <v>1726</v>
      </c>
      <c r="P128" s="23">
        <v>1848</v>
      </c>
      <c r="Q128" s="23">
        <v>1889</v>
      </c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</row>
    <row r="129" spans="1:60" x14ac:dyDescent="0.25">
      <c r="B129" s="1" t="s">
        <v>86</v>
      </c>
      <c r="C129" s="25">
        <f t="shared" ref="C129:D129" si="117">+SUM(C121:C128)</f>
        <v>0</v>
      </c>
      <c r="D129" s="25">
        <f t="shared" si="117"/>
        <v>0</v>
      </c>
      <c r="E129" s="25">
        <f>+SUM(E121:E128)</f>
        <v>8453</v>
      </c>
      <c r="F129" s="25">
        <f t="shared" ref="F129:H129" si="118">+SUM(F121:F128)</f>
        <v>0</v>
      </c>
      <c r="G129" s="25">
        <f t="shared" si="118"/>
        <v>0</v>
      </c>
      <c r="H129" s="25">
        <f t="shared" si="118"/>
        <v>0</v>
      </c>
      <c r="I129" s="23"/>
      <c r="J129" s="25">
        <v>5762.6</v>
      </c>
      <c r="K129" s="25">
        <v>6410.4999999999991</v>
      </c>
      <c r="L129" s="25">
        <v>8147.5000000000009</v>
      </c>
      <c r="M129" s="25">
        <v>6734.6</v>
      </c>
      <c r="N129" s="25">
        <v>8775</v>
      </c>
      <c r="O129" s="25">
        <v>8506</v>
      </c>
      <c r="P129" s="25">
        <f>SUM(P121:P128)</f>
        <v>8631</v>
      </c>
      <c r="Q129" s="25">
        <f>SUM(Q121:Q128)</f>
        <v>9592</v>
      </c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</row>
    <row r="130" spans="1:60" x14ac:dyDescent="0.25">
      <c r="B130" t="s">
        <v>495</v>
      </c>
      <c r="C130" s="23">
        <v>0</v>
      </c>
      <c r="D130" s="23">
        <v>0</v>
      </c>
      <c r="E130" s="23">
        <v>0</v>
      </c>
      <c r="F130" s="23">
        <v>0</v>
      </c>
      <c r="G130" s="23">
        <v>0</v>
      </c>
      <c r="H130" s="23">
        <v>0</v>
      </c>
      <c r="I130" s="23"/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</row>
    <row r="131" spans="1:60" x14ac:dyDescent="0.25">
      <c r="B131" s="1" t="s">
        <v>87</v>
      </c>
      <c r="C131" s="25">
        <f t="shared" ref="C131" si="119">C129+C120+C112+C130</f>
        <v>0</v>
      </c>
      <c r="D131" s="25">
        <f t="shared" ref="D131" si="120">D129+D120+D112+D130</f>
        <v>0</v>
      </c>
      <c r="E131" s="25">
        <f t="shared" ref="E131" si="121">E129+E120+E112+E130</f>
        <v>42152</v>
      </c>
      <c r="F131" s="25">
        <f t="shared" ref="F131" si="122">F129+F120+F112+F130</f>
        <v>0</v>
      </c>
      <c r="G131" s="25">
        <f t="shared" ref="G131" si="123">G129+G120+G112+G130</f>
        <v>0</v>
      </c>
      <c r="H131" s="25">
        <f t="shared" ref="H131" si="124">H129+H120+H112+H130</f>
        <v>0</v>
      </c>
      <c r="I131" s="23"/>
      <c r="J131" s="25">
        <f t="shared" ref="J131:P131" si="125">J129+J120+J112+J130</f>
        <v>25577.4</v>
      </c>
      <c r="K131" s="25">
        <f t="shared" si="125"/>
        <v>21367.5</v>
      </c>
      <c r="L131" s="25">
        <f t="shared" si="125"/>
        <v>27148.199999999997</v>
      </c>
      <c r="M131" s="25">
        <f t="shared" si="125"/>
        <v>28005.4</v>
      </c>
      <c r="N131" s="25">
        <f t="shared" si="125"/>
        <v>31068</v>
      </c>
      <c r="O131" s="25">
        <f t="shared" si="125"/>
        <v>33941</v>
      </c>
      <c r="P131" s="25">
        <f t="shared" si="125"/>
        <v>41367</v>
      </c>
      <c r="Q131" s="25">
        <f>Q129+Q120+Q112+Q130</f>
        <v>43346</v>
      </c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</row>
    <row r="132" spans="1:60" x14ac:dyDescent="0.25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</row>
    <row r="133" spans="1:60" x14ac:dyDescent="0.25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</row>
    <row r="134" spans="1:60" x14ac:dyDescent="0.25">
      <c r="A134" s="15" t="s">
        <v>52</v>
      </c>
      <c r="B134" s="14" t="s">
        <v>89</v>
      </c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</row>
    <row r="135" spans="1:60" x14ac:dyDescent="0.25">
      <c r="B135" t="s">
        <v>90</v>
      </c>
      <c r="C135" s="23"/>
      <c r="D135" s="23"/>
      <c r="E135" s="23">
        <v>940</v>
      </c>
      <c r="F135" s="23"/>
      <c r="G135" s="23"/>
      <c r="H135" s="23"/>
      <c r="I135" s="23"/>
      <c r="J135" s="23">
        <v>1751.9000000000003</v>
      </c>
      <c r="K135" s="23">
        <v>2658.2999999999997</v>
      </c>
      <c r="L135" s="23">
        <v>2208.4000000000005</v>
      </c>
      <c r="M135" s="23">
        <v>2189.7000000000003</v>
      </c>
      <c r="N135" s="23">
        <v>3245</v>
      </c>
      <c r="O135" s="23">
        <v>3717</v>
      </c>
      <c r="P135" s="23">
        <v>3074</v>
      </c>
      <c r="Q135" s="23">
        <v>1227</v>
      </c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</row>
    <row r="136" spans="1:60" x14ac:dyDescent="0.25">
      <c r="B136" t="s">
        <v>91</v>
      </c>
      <c r="C136" s="23"/>
      <c r="D136" s="23"/>
      <c r="E136" s="23">
        <v>1013</v>
      </c>
      <c r="F136" s="23"/>
      <c r="G136" s="23"/>
      <c r="H136" s="23"/>
      <c r="I136" s="23"/>
      <c r="J136" s="23">
        <v>432.1</v>
      </c>
      <c r="K136" s="23">
        <v>491.9</v>
      </c>
      <c r="L136" s="23">
        <v>1245.3</v>
      </c>
      <c r="M136" s="23">
        <v>1439</v>
      </c>
      <c r="N136" s="23">
        <v>1453</v>
      </c>
      <c r="O136" s="23">
        <v>1666</v>
      </c>
      <c r="P136" s="23">
        <v>1823</v>
      </c>
      <c r="Q136" s="23">
        <v>2113</v>
      </c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</row>
    <row r="137" spans="1:60" x14ac:dyDescent="0.25">
      <c r="B137" t="s">
        <v>92</v>
      </c>
      <c r="C137" s="23"/>
      <c r="D137" s="23"/>
      <c r="E137" s="23">
        <v>10</v>
      </c>
      <c r="F137" s="23"/>
      <c r="G137" s="23"/>
      <c r="H137" s="23"/>
      <c r="I137" s="23"/>
      <c r="J137" s="23">
        <v>10.3</v>
      </c>
      <c r="K137" s="23">
        <v>-6.6</v>
      </c>
      <c r="L137" s="23">
        <v>-392.4</v>
      </c>
      <c r="M137" s="23">
        <v>-282.8</v>
      </c>
      <c r="N137" s="23">
        <v>18</v>
      </c>
      <c r="O137" s="23">
        <v>-334</v>
      </c>
      <c r="P137" s="23">
        <v>94</v>
      </c>
      <c r="Q137" s="23">
        <v>57</v>
      </c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</row>
    <row r="138" spans="1:60" x14ac:dyDescent="0.25">
      <c r="B138" t="s">
        <v>93</v>
      </c>
      <c r="C138" s="23"/>
      <c r="D138" s="23"/>
      <c r="E138" s="23">
        <v>229</v>
      </c>
      <c r="F138" s="23"/>
      <c r="G138" s="23"/>
      <c r="H138" s="23"/>
      <c r="I138" s="23"/>
      <c r="J138" s="23">
        <v>181.4</v>
      </c>
      <c r="K138" s="23">
        <v>186.6</v>
      </c>
      <c r="L138" s="23">
        <v>277.10000000000002</v>
      </c>
      <c r="M138" s="23">
        <v>277.39999999999998</v>
      </c>
      <c r="N138" s="23">
        <v>215</v>
      </c>
      <c r="O138" s="23">
        <v>287</v>
      </c>
      <c r="P138" s="23">
        <v>300</v>
      </c>
      <c r="Q138" s="23">
        <v>559</v>
      </c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</row>
    <row r="139" spans="1:60" x14ac:dyDescent="0.25">
      <c r="B139" t="s">
        <v>94</v>
      </c>
      <c r="C139" s="23"/>
      <c r="D139" s="23"/>
      <c r="E139" s="23">
        <v>-2</v>
      </c>
      <c r="F139" s="23"/>
      <c r="G139" s="23"/>
      <c r="H139" s="23"/>
      <c r="I139" s="23"/>
      <c r="J139" s="23">
        <v>-0.2</v>
      </c>
      <c r="K139" s="23">
        <v>-1</v>
      </c>
      <c r="L139" s="23">
        <v>0</v>
      </c>
      <c r="M139" s="23">
        <v>0</v>
      </c>
      <c r="N139" s="23">
        <v>-2</v>
      </c>
      <c r="O139" s="23">
        <v>-7</v>
      </c>
      <c r="P139" s="23">
        <v>-9</v>
      </c>
      <c r="Q139" s="23">
        <v>-2</v>
      </c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</row>
    <row r="140" spans="1:60" x14ac:dyDescent="0.25">
      <c r="B140" t="s">
        <v>95</v>
      </c>
      <c r="C140" s="23"/>
      <c r="D140" s="23"/>
      <c r="E140" s="23">
        <v>312</v>
      </c>
      <c r="F140" s="23"/>
      <c r="G140" s="23"/>
      <c r="H140" s="23"/>
      <c r="I140" s="23"/>
      <c r="J140" s="23">
        <v>749.4</v>
      </c>
      <c r="K140" s="23">
        <v>1062.4000000000001</v>
      </c>
      <c r="L140" s="23">
        <v>2597.9</v>
      </c>
      <c r="M140" s="23">
        <v>657</v>
      </c>
      <c r="N140" s="23">
        <v>1458</v>
      </c>
      <c r="O140" s="23">
        <v>1597</v>
      </c>
      <c r="P140" s="23">
        <v>1007</v>
      </c>
      <c r="Q140" s="23">
        <v>526</v>
      </c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</row>
    <row r="141" spans="1:60" x14ac:dyDescent="0.25">
      <c r="B141" t="s">
        <v>96</v>
      </c>
      <c r="C141" s="23"/>
      <c r="D141" s="23"/>
      <c r="E141" s="23">
        <v>44</v>
      </c>
      <c r="F141" s="23"/>
      <c r="G141" s="23"/>
      <c r="H141" s="23"/>
      <c r="I141" s="23"/>
      <c r="J141" s="23">
        <v>-35.799999999999997</v>
      </c>
      <c r="K141" s="23">
        <v>-51.6</v>
      </c>
      <c r="L141" s="23">
        <v>-557.5</v>
      </c>
      <c r="M141" s="23">
        <v>44.4</v>
      </c>
      <c r="N141" s="23">
        <v>-38</v>
      </c>
      <c r="O141" s="23">
        <v>-902</v>
      </c>
      <c r="P141" s="23">
        <v>-396</v>
      </c>
      <c r="Q141" s="23">
        <v>667</v>
      </c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</row>
    <row r="142" spans="1:60" x14ac:dyDescent="0.25">
      <c r="B142" t="s">
        <v>97</v>
      </c>
      <c r="C142" s="23"/>
      <c r="D142" s="23"/>
      <c r="E142" s="23">
        <v>-100</v>
      </c>
      <c r="F142" s="23"/>
      <c r="G142" s="23"/>
      <c r="H142" s="23"/>
      <c r="I142" s="23"/>
      <c r="J142" s="23">
        <v>-316</v>
      </c>
      <c r="K142" s="23">
        <v>-562</v>
      </c>
      <c r="L142" s="23">
        <v>-2903.5</v>
      </c>
      <c r="M142" s="23">
        <v>-1436.1</v>
      </c>
      <c r="N142" s="23">
        <v>-1473</v>
      </c>
      <c r="O142" s="23">
        <v>-1746</v>
      </c>
      <c r="P142" s="23">
        <v>-1434</v>
      </c>
      <c r="Q142" s="23">
        <v>-438</v>
      </c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</row>
    <row r="143" spans="1:60" x14ac:dyDescent="0.25">
      <c r="B143" s="1" t="s">
        <v>108</v>
      </c>
      <c r="C143" s="23"/>
      <c r="D143" s="23"/>
      <c r="E143" s="25">
        <f>+SUM(E135:E142)</f>
        <v>2446</v>
      </c>
      <c r="F143" s="23"/>
      <c r="G143" s="23"/>
      <c r="H143" s="23"/>
      <c r="I143" s="23"/>
      <c r="J143" s="25">
        <v>2773.1000000000004</v>
      </c>
      <c r="K143" s="25">
        <v>3778</v>
      </c>
      <c r="L143" s="25">
        <v>2475.3000000000011</v>
      </c>
      <c r="M143" s="25">
        <v>2888.6</v>
      </c>
      <c r="N143" s="25">
        <v>4876</v>
      </c>
      <c r="O143" s="25">
        <v>4278</v>
      </c>
      <c r="P143" s="25">
        <f>+SUM(P135:P142)</f>
        <v>4459</v>
      </c>
      <c r="Q143" s="25">
        <f>+SUM(Q135:Q142)</f>
        <v>4709</v>
      </c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</row>
    <row r="144" spans="1:60" x14ac:dyDescent="0.25">
      <c r="B144" t="s">
        <v>182</v>
      </c>
      <c r="C144" s="23"/>
      <c r="D144" s="23"/>
      <c r="E144" s="23">
        <v>-1391</v>
      </c>
      <c r="F144" s="23"/>
      <c r="G144" s="23"/>
      <c r="H144" s="23"/>
      <c r="I144" s="23"/>
      <c r="J144" s="23">
        <v>-567.6</v>
      </c>
      <c r="K144" s="23">
        <v>-822.8</v>
      </c>
      <c r="L144" s="23">
        <v>-954.59999999999991</v>
      </c>
      <c r="M144" s="23">
        <v>-784</v>
      </c>
      <c r="N144" s="23">
        <v>-928</v>
      </c>
      <c r="O144" s="23">
        <v>-1070</v>
      </c>
      <c r="P144" s="23">
        <f>-2611+135</f>
        <v>-2476</v>
      </c>
      <c r="Q144" s="23">
        <f>-3309+32</f>
        <v>-3277</v>
      </c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</row>
    <row r="145" spans="2:60" x14ac:dyDescent="0.25">
      <c r="B145" t="s">
        <v>344</v>
      </c>
      <c r="C145" s="23"/>
      <c r="D145" s="23"/>
      <c r="E145" s="23">
        <v>-23</v>
      </c>
      <c r="F145" s="23"/>
      <c r="G145" s="23"/>
      <c r="H145" s="23"/>
      <c r="I145" s="23"/>
      <c r="J145" s="23">
        <v>1.6</v>
      </c>
      <c r="K145" s="23">
        <v>-15.8</v>
      </c>
      <c r="L145" s="23">
        <v>-41.6</v>
      </c>
      <c r="M145" s="23">
        <v>662.5</v>
      </c>
      <c r="N145" s="23">
        <v>-488</v>
      </c>
      <c r="O145" s="23">
        <v>-1597</v>
      </c>
      <c r="P145" s="23">
        <v>-5093</v>
      </c>
      <c r="Q145" s="23">
        <v>-35</v>
      </c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</row>
    <row r="146" spans="2:60" x14ac:dyDescent="0.25">
      <c r="B146" t="s">
        <v>345</v>
      </c>
      <c r="C146" s="23"/>
      <c r="D146" s="23"/>
      <c r="E146" s="23">
        <f>-35+97</f>
        <v>62</v>
      </c>
      <c r="F146" s="23"/>
      <c r="G146" s="23"/>
      <c r="H146" s="23"/>
      <c r="I146" s="23"/>
      <c r="J146" s="23">
        <v>-33.299999999999997</v>
      </c>
      <c r="K146" s="23">
        <v>-58.4</v>
      </c>
      <c r="L146" s="23">
        <v>-209.00000000000003</v>
      </c>
      <c r="M146" s="23">
        <v>-81.899999999999977</v>
      </c>
      <c r="N146" s="23">
        <v>927</v>
      </c>
      <c r="O146" s="23">
        <v>-120</v>
      </c>
      <c r="P146" s="23">
        <f>-56+251</f>
        <v>195</v>
      </c>
      <c r="Q146" s="23">
        <f>140-83</f>
        <v>57</v>
      </c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</row>
    <row r="147" spans="2:60" x14ac:dyDescent="0.25">
      <c r="B147" t="s">
        <v>98</v>
      </c>
      <c r="C147" s="23"/>
      <c r="D147" s="23"/>
      <c r="E147" s="23">
        <v>30</v>
      </c>
      <c r="F147" s="23"/>
      <c r="G147" s="23"/>
      <c r="H147" s="23"/>
      <c r="I147" s="23"/>
      <c r="J147" s="23">
        <v>5.2</v>
      </c>
      <c r="K147" s="23">
        <v>5.4</v>
      </c>
      <c r="L147" s="23">
        <v>19.11</v>
      </c>
      <c r="M147" s="23">
        <v>6.9</v>
      </c>
      <c r="N147" s="23">
        <v>37</v>
      </c>
      <c r="O147" s="23">
        <v>17</v>
      </c>
      <c r="P147" s="23">
        <v>76</v>
      </c>
      <c r="Q147" s="23">
        <v>70</v>
      </c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</row>
    <row r="148" spans="2:60" x14ac:dyDescent="0.25">
      <c r="B148" s="1" t="s">
        <v>109</v>
      </c>
      <c r="C148" s="25">
        <f t="shared" ref="C148:D148" si="126">+SUM(C144:C147)</f>
        <v>0</v>
      </c>
      <c r="D148" s="25">
        <f t="shared" si="126"/>
        <v>0</v>
      </c>
      <c r="E148" s="25">
        <f>+SUM(E144:E147)</f>
        <v>-1322</v>
      </c>
      <c r="F148" s="25">
        <f t="shared" ref="F148:H148" si="127">+SUM(F144:F147)</f>
        <v>0</v>
      </c>
      <c r="G148" s="25">
        <f t="shared" si="127"/>
        <v>0</v>
      </c>
      <c r="H148" s="25">
        <f t="shared" si="127"/>
        <v>0</v>
      </c>
      <c r="I148" s="23"/>
      <c r="J148" s="25">
        <v>-594.09999999999991</v>
      </c>
      <c r="K148" s="25">
        <v>-891.59999999999991</v>
      </c>
      <c r="L148" s="25">
        <v>-1186.0900000000001</v>
      </c>
      <c r="M148" s="25">
        <v>-196.49999999999997</v>
      </c>
      <c r="N148" s="25">
        <v>-452</v>
      </c>
      <c r="O148" s="25">
        <v>-2770</v>
      </c>
      <c r="P148" s="25">
        <f>SUM(P144:P147)</f>
        <v>-7298</v>
      </c>
      <c r="Q148" s="25">
        <f>SUM(Q144:Q147)</f>
        <v>-3185</v>
      </c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</row>
    <row r="149" spans="2:60" x14ac:dyDescent="0.25">
      <c r="B149" t="s">
        <v>99</v>
      </c>
      <c r="C149" s="23"/>
      <c r="D149" s="23"/>
      <c r="E149" s="23">
        <v>0</v>
      </c>
      <c r="F149" s="23"/>
      <c r="G149" s="23"/>
      <c r="H149" s="23"/>
      <c r="I149" s="23"/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38</v>
      </c>
      <c r="P149" s="23">
        <v>0</v>
      </c>
      <c r="Q149" s="23">
        <v>0</v>
      </c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</row>
    <row r="150" spans="2:60" x14ac:dyDescent="0.25">
      <c r="B150" t="s">
        <v>100</v>
      </c>
      <c r="C150" s="23"/>
      <c r="D150" s="23"/>
      <c r="E150" s="23">
        <f>-1716-6</f>
        <v>-1722</v>
      </c>
      <c r="F150" s="23"/>
      <c r="G150" s="23"/>
      <c r="H150" s="23"/>
      <c r="I150" s="23"/>
      <c r="J150" s="23">
        <v>-597.29999999999995</v>
      </c>
      <c r="K150" s="23">
        <v>-780.4</v>
      </c>
      <c r="L150" s="23">
        <v>-1342</v>
      </c>
      <c r="M150" s="23">
        <v>-1009.4</v>
      </c>
      <c r="N150" s="23">
        <v>-1025</v>
      </c>
      <c r="O150" s="23">
        <v>-1528</v>
      </c>
      <c r="P150" s="23">
        <f>-1712-42</f>
        <v>-1754</v>
      </c>
      <c r="Q150" s="23">
        <f>-1716-24</f>
        <v>-1740</v>
      </c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</row>
    <row r="151" spans="2:60" x14ac:dyDescent="0.25">
      <c r="B151" t="s">
        <v>101</v>
      </c>
      <c r="C151" s="23"/>
      <c r="D151" s="23"/>
      <c r="E151" s="23">
        <v>-3</v>
      </c>
      <c r="F151" s="23"/>
      <c r="G151" s="23"/>
      <c r="H151" s="23"/>
      <c r="I151" s="23"/>
      <c r="J151" s="23">
        <v>-27.8</v>
      </c>
      <c r="K151" s="23">
        <v>-2.7</v>
      </c>
      <c r="L151" s="23">
        <v>-19.2</v>
      </c>
      <c r="M151" s="23">
        <v>-27.5</v>
      </c>
      <c r="N151" s="23">
        <v>2</v>
      </c>
      <c r="O151" s="23">
        <v>317</v>
      </c>
      <c r="P151" s="23">
        <v>-24</v>
      </c>
      <c r="Q151" s="23">
        <v>-73</v>
      </c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</row>
    <row r="152" spans="2:60" x14ac:dyDescent="0.25">
      <c r="B152" t="s">
        <v>346</v>
      </c>
      <c r="C152" s="23"/>
      <c r="D152" s="23"/>
      <c r="E152" s="23">
        <v>3</v>
      </c>
      <c r="F152" s="23"/>
      <c r="G152" s="23"/>
      <c r="H152" s="23"/>
      <c r="I152" s="23"/>
      <c r="J152" s="23">
        <v>0.2</v>
      </c>
      <c r="K152" s="23">
        <v>-167.9</v>
      </c>
      <c r="L152" s="23">
        <v>-402.1</v>
      </c>
      <c r="M152" s="23">
        <v>-54.1</v>
      </c>
      <c r="N152" s="23">
        <v>-538</v>
      </c>
      <c r="O152" s="23">
        <v>-1030</v>
      </c>
      <c r="P152" s="23">
        <v>-10</v>
      </c>
      <c r="Q152" s="23">
        <v>2</v>
      </c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</row>
    <row r="153" spans="2:60" x14ac:dyDescent="0.25">
      <c r="B153" t="s">
        <v>102</v>
      </c>
      <c r="C153" s="23"/>
      <c r="D153" s="23"/>
      <c r="E153" s="23">
        <v>1750</v>
      </c>
      <c r="F153" s="23"/>
      <c r="G153" s="23"/>
      <c r="H153" s="23"/>
      <c r="I153" s="23"/>
      <c r="J153" s="23">
        <v>299.39999999999998</v>
      </c>
      <c r="K153" s="23">
        <v>73.099999999999994</v>
      </c>
      <c r="L153" s="23">
        <v>644.6</v>
      </c>
      <c r="M153" s="23">
        <v>1443.1</v>
      </c>
      <c r="N153" s="23">
        <v>63</v>
      </c>
      <c r="O153" s="23">
        <v>1742</v>
      </c>
      <c r="P153" s="23">
        <v>6205</v>
      </c>
      <c r="Q153" s="23">
        <v>2493</v>
      </c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</row>
    <row r="154" spans="2:60" x14ac:dyDescent="0.25">
      <c r="B154" t="s">
        <v>103</v>
      </c>
      <c r="C154" s="23"/>
      <c r="D154" s="23"/>
      <c r="E154" s="23">
        <v>-512</v>
      </c>
      <c r="F154" s="23"/>
      <c r="G154" s="23"/>
      <c r="H154" s="23"/>
      <c r="I154" s="23"/>
      <c r="J154" s="23">
        <v>-410.1</v>
      </c>
      <c r="K154" s="23">
        <v>-1404.5</v>
      </c>
      <c r="L154" s="23">
        <v>-287.60000000000002</v>
      </c>
      <c r="M154" s="23">
        <v>-642.29999999999995</v>
      </c>
      <c r="N154" s="23">
        <v>-583</v>
      </c>
      <c r="O154" s="23">
        <v>-904</v>
      </c>
      <c r="P154" s="23">
        <v>-957</v>
      </c>
      <c r="Q154" s="23">
        <v>-525</v>
      </c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</row>
    <row r="155" spans="2:60" x14ac:dyDescent="0.25">
      <c r="B155" t="s">
        <v>104</v>
      </c>
      <c r="C155" s="23"/>
      <c r="D155" s="23"/>
      <c r="E155" s="23">
        <v>153</v>
      </c>
      <c r="F155" s="23"/>
      <c r="G155" s="23"/>
      <c r="H155" s="23"/>
      <c r="I155" s="23"/>
      <c r="J155" s="23">
        <v>-364.6</v>
      </c>
      <c r="K155" s="23">
        <v>-27.9</v>
      </c>
      <c r="L155" s="23">
        <v>798.8</v>
      </c>
      <c r="M155" s="23">
        <v>-258.60000000000002</v>
      </c>
      <c r="N155" s="23">
        <v>152</v>
      </c>
      <c r="O155" s="23">
        <v>343</v>
      </c>
      <c r="P155" s="23">
        <v>174</v>
      </c>
      <c r="Q155" s="23">
        <v>-394</v>
      </c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</row>
    <row r="156" spans="2:60" x14ac:dyDescent="0.25">
      <c r="B156" t="s">
        <v>105</v>
      </c>
      <c r="C156" s="23"/>
      <c r="D156" s="23"/>
      <c r="E156" s="23">
        <v>-530</v>
      </c>
      <c r="F156" s="23"/>
      <c r="G156" s="23"/>
      <c r="H156" s="23"/>
      <c r="I156" s="23"/>
      <c r="J156" s="23">
        <v>0</v>
      </c>
      <c r="K156" s="23">
        <v>0</v>
      </c>
      <c r="L156" s="23">
        <v>639.6</v>
      </c>
      <c r="M156" s="23">
        <v>787.3</v>
      </c>
      <c r="N156" s="23">
        <v>776</v>
      </c>
      <c r="O156" s="23">
        <v>824</v>
      </c>
      <c r="P156" s="23">
        <v>-880</v>
      </c>
      <c r="Q156" s="23">
        <v>-1049</v>
      </c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</row>
    <row r="157" spans="2:60" x14ac:dyDescent="0.25">
      <c r="B157" t="s">
        <v>106</v>
      </c>
      <c r="C157" s="23"/>
      <c r="D157" s="23"/>
      <c r="E157" s="23">
        <v>-254</v>
      </c>
      <c r="F157" s="23"/>
      <c r="G157" s="23"/>
      <c r="H157" s="23"/>
      <c r="I157" s="23"/>
      <c r="J157" s="23">
        <v>184.7</v>
      </c>
      <c r="K157" s="23">
        <v>192.4</v>
      </c>
      <c r="L157" s="23">
        <v>289.89999999999998</v>
      </c>
      <c r="M157" s="23">
        <v>287</v>
      </c>
      <c r="N157" s="23">
        <v>222</v>
      </c>
      <c r="O157" s="23">
        <v>298</v>
      </c>
      <c r="P157" s="23">
        <v>-377</v>
      </c>
      <c r="Q157" s="23">
        <v>-610</v>
      </c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</row>
    <row r="158" spans="2:60" x14ac:dyDescent="0.25">
      <c r="B158" s="1" t="s">
        <v>110</v>
      </c>
      <c r="C158" s="23"/>
      <c r="D158" s="23"/>
      <c r="E158" s="23">
        <f>+SUM(E149:E157)</f>
        <v>-1115</v>
      </c>
      <c r="F158" s="23"/>
      <c r="G158" s="23"/>
      <c r="H158" s="23"/>
      <c r="I158" s="23"/>
      <c r="J158" s="25">
        <v>-1284.8999999999999</v>
      </c>
      <c r="K158" s="25">
        <v>-2502.7000000000003</v>
      </c>
      <c r="L158" s="25">
        <v>-1537.0000000000005</v>
      </c>
      <c r="M158" s="25">
        <v>-1623.1</v>
      </c>
      <c r="N158" s="25">
        <v>-2927</v>
      </c>
      <c r="O158" s="25">
        <v>-2144</v>
      </c>
      <c r="P158" s="25">
        <f>SUM(P149:P157)</f>
        <v>2377</v>
      </c>
      <c r="Q158" s="25">
        <f>SUM(Q149:Q157)</f>
        <v>-1896</v>
      </c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</row>
    <row r="159" spans="2:60" x14ac:dyDescent="0.25">
      <c r="B159" t="s">
        <v>348</v>
      </c>
      <c r="C159" s="23"/>
      <c r="D159" s="23"/>
      <c r="E159" s="23">
        <v>0</v>
      </c>
      <c r="F159" s="23"/>
      <c r="G159" s="23"/>
      <c r="H159" s="23"/>
      <c r="I159" s="23"/>
      <c r="J159" s="23">
        <v>87.7</v>
      </c>
      <c r="K159" s="23">
        <v>-379.1</v>
      </c>
      <c r="L159" s="23">
        <v>132.69999999999999</v>
      </c>
      <c r="M159" s="23">
        <v>-4.3</v>
      </c>
      <c r="N159" s="23">
        <v>-2</v>
      </c>
      <c r="O159" s="23">
        <v>-8</v>
      </c>
      <c r="P159" s="23">
        <v>0</v>
      </c>
      <c r="Q159" s="23">
        <v>0</v>
      </c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</row>
    <row r="160" spans="2:60" x14ac:dyDescent="0.25">
      <c r="B160" t="s">
        <v>347</v>
      </c>
      <c r="C160" s="23"/>
      <c r="D160" s="23"/>
      <c r="E160" s="23">
        <v>37</v>
      </c>
      <c r="F160" s="23"/>
      <c r="G160" s="23"/>
      <c r="H160" s="23"/>
      <c r="I160" s="23"/>
      <c r="J160" s="23">
        <v>159.80000000000001</v>
      </c>
      <c r="K160" s="23">
        <v>-67.599999999999994</v>
      </c>
      <c r="L160" s="23">
        <v>116.4</v>
      </c>
      <c r="M160" s="23">
        <v>97.8</v>
      </c>
      <c r="N160" s="23">
        <v>21</v>
      </c>
      <c r="O160" s="23">
        <v>222</v>
      </c>
      <c r="P160" s="23">
        <v>18</v>
      </c>
      <c r="Q160" s="23">
        <v>31</v>
      </c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</row>
    <row r="161" spans="2:60" x14ac:dyDescent="0.25">
      <c r="B161" s="1" t="s">
        <v>107</v>
      </c>
      <c r="C161" s="23"/>
      <c r="D161" s="23"/>
      <c r="E161" s="25">
        <f>+E160+E158+E148+E143</f>
        <v>46</v>
      </c>
      <c r="F161" s="23"/>
      <c r="G161" s="23"/>
      <c r="H161" s="23"/>
      <c r="I161" s="23"/>
      <c r="J161" s="23">
        <v>1141.6000000000006</v>
      </c>
      <c r="K161" s="23">
        <v>-63.000000000000199</v>
      </c>
      <c r="L161" s="23">
        <v>1.3100000000004854</v>
      </c>
      <c r="M161" s="23">
        <v>1162.5</v>
      </c>
      <c r="N161" s="23">
        <v>1516</v>
      </c>
      <c r="O161" s="23">
        <v>-422</v>
      </c>
      <c r="P161" s="23">
        <f>P143+P148+P158+P159+P160</f>
        <v>-444</v>
      </c>
      <c r="Q161" s="23">
        <f>Q143+Q148+Q158+Q159+Q160</f>
        <v>-341</v>
      </c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</row>
    <row r="162" spans="2:60" x14ac:dyDescent="0.25">
      <c r="B162" t="s">
        <v>349</v>
      </c>
      <c r="C162" s="23"/>
      <c r="D162" s="23"/>
      <c r="E162" s="23">
        <v>3650</v>
      </c>
      <c r="F162" s="23"/>
      <c r="G162" s="23"/>
      <c r="H162" s="23"/>
      <c r="I162" s="23"/>
      <c r="J162" s="23">
        <v>757.5</v>
      </c>
      <c r="K162" s="23">
        <v>1899.1000000000006</v>
      </c>
      <c r="L162" s="23">
        <v>1836.3</v>
      </c>
      <c r="M162" s="23">
        <v>1837.6100000000004</v>
      </c>
      <c r="N162" s="23">
        <v>3000</v>
      </c>
      <c r="O162" s="23">
        <v>4516</v>
      </c>
      <c r="P162" s="23">
        <f>O163</f>
        <v>4094</v>
      </c>
      <c r="Q162" s="23">
        <f>+P163</f>
        <v>3650</v>
      </c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</row>
    <row r="163" spans="2:60" x14ac:dyDescent="0.25">
      <c r="B163" t="s">
        <v>350</v>
      </c>
      <c r="C163" s="23"/>
      <c r="D163" s="23"/>
      <c r="E163" s="23">
        <f>+E161+E162</f>
        <v>3696</v>
      </c>
      <c r="F163" s="23"/>
      <c r="G163" s="23"/>
      <c r="H163" s="23"/>
      <c r="I163" s="23"/>
      <c r="J163" s="23">
        <v>1899.1000000000006</v>
      </c>
      <c r="K163" s="23">
        <v>1836.1000000000004</v>
      </c>
      <c r="L163" s="23">
        <v>1837.6100000000004</v>
      </c>
      <c r="M163" s="23">
        <v>3000.1100000000006</v>
      </c>
      <c r="N163" s="23">
        <v>4516</v>
      </c>
      <c r="O163" s="23">
        <v>4094</v>
      </c>
      <c r="P163" s="23">
        <f>P162+P161</f>
        <v>3650</v>
      </c>
      <c r="Q163" s="23">
        <f>+Q162+Q161</f>
        <v>3309</v>
      </c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</row>
    <row r="164" spans="2:60" x14ac:dyDescent="0.25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</row>
    <row r="165" spans="2:60" x14ac:dyDescent="0.25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</row>
    <row r="166" spans="2:60" x14ac:dyDescent="0.25"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</row>
    <row r="167" spans="2:60" x14ac:dyDescent="0.25"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</row>
    <row r="168" spans="2:60" x14ac:dyDescent="0.25"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</row>
    <row r="169" spans="2:60" x14ac:dyDescent="0.25"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</row>
    <row r="170" spans="2:60" x14ac:dyDescent="0.25"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</row>
    <row r="171" spans="2:60" x14ac:dyDescent="0.25"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</row>
    <row r="172" spans="2:60" x14ac:dyDescent="0.25"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</row>
    <row r="173" spans="2:60" x14ac:dyDescent="0.25"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</row>
    <row r="174" spans="2:60" x14ac:dyDescent="0.25"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</row>
    <row r="175" spans="2:60" x14ac:dyDescent="0.25"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</row>
    <row r="176" spans="2:60" x14ac:dyDescent="0.25"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</row>
    <row r="177" spans="17:59" x14ac:dyDescent="0.25"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</row>
    <row r="178" spans="17:59" x14ac:dyDescent="0.25"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</row>
    <row r="179" spans="17:59" x14ac:dyDescent="0.25"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</row>
    <row r="180" spans="17:59" x14ac:dyDescent="0.25"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</row>
    <row r="181" spans="17:59" x14ac:dyDescent="0.25"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</row>
    <row r="182" spans="17:59" x14ac:dyDescent="0.25"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</row>
    <row r="183" spans="17:59" x14ac:dyDescent="0.25"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</row>
  </sheetData>
  <hyperlinks>
    <hyperlink ref="A1" location="Main!A1" display="Main" xr:uid="{58ACE4BD-BB89-4042-812B-9BB50C8F5E4A}"/>
  </hyperlinks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EC568-14E8-40DB-82DC-06CAE7AF277C}">
  <dimension ref="A1:AL227"/>
  <sheetViews>
    <sheetView zoomScale="200" zoomScaleNormal="200" workbookViewId="0">
      <pane xSplit="2" ySplit="2" topLeftCell="J3" activePane="bottomRight" state="frozen"/>
      <selection pane="topRight" activeCell="C1" sqref="C1"/>
      <selection pane="bottomLeft" activeCell="A3" sqref="A3"/>
      <selection pane="bottomRight" activeCell="O1" sqref="O1"/>
    </sheetView>
  </sheetViews>
  <sheetFormatPr defaultRowHeight="15" x14ac:dyDescent="0.25"/>
  <cols>
    <col min="1" max="1" width="4.7109375" bestFit="1" customWidth="1"/>
    <col min="2" max="2" width="18.85546875" customWidth="1"/>
  </cols>
  <sheetData>
    <row r="1" spans="1:38" x14ac:dyDescent="0.25">
      <c r="A1" s="11" t="s">
        <v>29</v>
      </c>
    </row>
    <row r="2" spans="1:38" x14ac:dyDescent="0.25">
      <c r="C2" s="16" t="s">
        <v>484</v>
      </c>
      <c r="D2" s="16" t="s">
        <v>486</v>
      </c>
      <c r="E2" s="16" t="s">
        <v>485</v>
      </c>
      <c r="F2" s="16" t="s">
        <v>487</v>
      </c>
      <c r="G2" s="16" t="s">
        <v>476</v>
      </c>
      <c r="H2" s="16" t="s">
        <v>477</v>
      </c>
      <c r="I2" s="16" t="s">
        <v>478</v>
      </c>
      <c r="J2" s="16" t="s">
        <v>479</v>
      </c>
      <c r="K2" s="16" t="s">
        <v>475</v>
      </c>
      <c r="L2" s="16" t="s">
        <v>53</v>
      </c>
      <c r="M2" s="16" t="s">
        <v>473</v>
      </c>
      <c r="N2" s="16" t="s">
        <v>480</v>
      </c>
      <c r="O2" s="16" t="s">
        <v>519</v>
      </c>
      <c r="P2" s="16" t="s">
        <v>520</v>
      </c>
      <c r="Q2" s="16" t="s">
        <v>521</v>
      </c>
      <c r="R2" s="16" t="s">
        <v>522</v>
      </c>
    </row>
    <row r="3" spans="1:38" x14ac:dyDescent="0.25">
      <c r="A3" s="27" t="s">
        <v>52</v>
      </c>
      <c r="B3" s="2" t="s">
        <v>488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</row>
    <row r="4" spans="1:38" x14ac:dyDescent="0.25">
      <c r="B4" t="s">
        <v>11</v>
      </c>
      <c r="C4" s="23">
        <v>2591</v>
      </c>
      <c r="D4" s="23">
        <v>2582</v>
      </c>
      <c r="E4" s="23">
        <v>2581</v>
      </c>
      <c r="F4" s="23">
        <f>+Model!O38-SUM(Quart!C4:E4)</f>
        <v>2733</v>
      </c>
      <c r="G4" s="23">
        <v>2616</v>
      </c>
      <c r="H4" s="23">
        <v>2512</v>
      </c>
      <c r="I4" s="23">
        <v>2217</v>
      </c>
      <c r="J4" s="23">
        <f>+Model!P38-SUM(Quart!G4:I4)</f>
        <v>2528</v>
      </c>
      <c r="K4" s="23">
        <v>2079</v>
      </c>
      <c r="L4" s="23">
        <v>2006</v>
      </c>
      <c r="M4" s="23">
        <v>1641</v>
      </c>
      <c r="N4" s="23">
        <v>1924</v>
      </c>
      <c r="O4" s="23">
        <v>1571</v>
      </c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</row>
    <row r="5" spans="1:38" x14ac:dyDescent="0.25">
      <c r="B5" t="s">
        <v>481</v>
      </c>
      <c r="C5" s="23">
        <v>739</v>
      </c>
      <c r="D5" s="23">
        <v>742</v>
      </c>
      <c r="E5" s="23">
        <v>916</v>
      </c>
      <c r="F5" s="23">
        <f>+Model!O39-SUM(Quart!C5:E5)</f>
        <v>903</v>
      </c>
      <c r="G5" s="23">
        <v>806</v>
      </c>
      <c r="H5" s="23">
        <v>770</v>
      </c>
      <c r="I5" s="23">
        <v>768</v>
      </c>
      <c r="J5" s="23">
        <f>+Model!P39-SUM(Quart!G5:I5)</f>
        <v>835</v>
      </c>
      <c r="K5" s="23">
        <v>740</v>
      </c>
      <c r="L5" s="23">
        <v>701</v>
      </c>
      <c r="M5" s="23">
        <v>670</v>
      </c>
      <c r="N5" s="23">
        <v>770</v>
      </c>
      <c r="O5" s="23">
        <v>679</v>
      </c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</row>
    <row r="6" spans="1:38" x14ac:dyDescent="0.25">
      <c r="B6" t="s">
        <v>378</v>
      </c>
      <c r="C6" s="23">
        <v>396</v>
      </c>
      <c r="D6" s="23">
        <v>438</v>
      </c>
      <c r="E6" s="23">
        <v>437</v>
      </c>
      <c r="F6" s="23">
        <f>+Model!O40-SUM(Quart!C6:E6)</f>
        <v>469</v>
      </c>
      <c r="G6" s="23">
        <v>395</v>
      </c>
      <c r="H6" s="23">
        <v>438</v>
      </c>
      <c r="I6" s="23">
        <v>381</v>
      </c>
      <c r="J6" s="23">
        <f>+Model!P40-SUM(Quart!G6:I6)</f>
        <v>431</v>
      </c>
      <c r="K6" s="23">
        <v>388</v>
      </c>
      <c r="L6" s="23">
        <v>448</v>
      </c>
      <c r="M6" s="23">
        <v>397</v>
      </c>
      <c r="N6" s="23">
        <v>480</v>
      </c>
      <c r="O6" s="23">
        <v>405</v>
      </c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</row>
    <row r="7" spans="1:38" x14ac:dyDescent="0.25">
      <c r="B7" t="s">
        <v>381</v>
      </c>
      <c r="C7" s="23">
        <v>973</v>
      </c>
      <c r="D7" s="23">
        <v>982</v>
      </c>
      <c r="E7" s="23">
        <v>995</v>
      </c>
      <c r="F7" s="23">
        <f>+Model!O41-SUM(Quart!C7:E7)</f>
        <v>924</v>
      </c>
      <c r="G7" s="23">
        <v>890</v>
      </c>
      <c r="H7" s="23">
        <v>966</v>
      </c>
      <c r="I7" s="23">
        <v>805</v>
      </c>
      <c r="J7" s="23">
        <f>+Model!P41-SUM(Quart!G7:I7)</f>
        <v>853</v>
      </c>
      <c r="K7" s="23">
        <v>824</v>
      </c>
      <c r="L7" s="23">
        <v>893</v>
      </c>
      <c r="M7" s="23">
        <v>686</v>
      </c>
      <c r="N7" s="23">
        <v>818</v>
      </c>
      <c r="O7" s="23">
        <v>733</v>
      </c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</row>
    <row r="8" spans="1:38" x14ac:dyDescent="0.25">
      <c r="B8" t="s">
        <v>387</v>
      </c>
      <c r="C8" s="23">
        <v>308</v>
      </c>
      <c r="D8" s="23">
        <v>283</v>
      </c>
      <c r="E8" s="23">
        <v>253</v>
      </c>
      <c r="F8" s="23">
        <f>+Model!O42-SUM(Quart!C8:E8)</f>
        <v>295</v>
      </c>
      <c r="G8" s="23">
        <v>433</v>
      </c>
      <c r="H8" s="23">
        <v>436</v>
      </c>
      <c r="I8" s="23">
        <v>333</v>
      </c>
      <c r="J8" s="23">
        <f>+Model!P42-SUM(Quart!G8:I8)</f>
        <v>366</v>
      </c>
      <c r="K8" s="23">
        <v>536</v>
      </c>
      <c r="L8" s="23">
        <v>531</v>
      </c>
      <c r="M8" s="23">
        <v>440</v>
      </c>
      <c r="N8" s="23">
        <v>434</v>
      </c>
      <c r="O8" s="23">
        <v>558</v>
      </c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</row>
    <row r="9" spans="1:38" x14ac:dyDescent="0.25">
      <c r="B9" t="s">
        <v>474</v>
      </c>
      <c r="C9" s="23">
        <v>-51</v>
      </c>
      <c r="D9" s="23">
        <v>-53</v>
      </c>
      <c r="E9" s="23">
        <v>-45</v>
      </c>
      <c r="F9" s="23">
        <f>+Model!O43-SUM(Quart!C9:E9)</f>
        <v>-40</v>
      </c>
      <c r="G9" s="23">
        <v>-63</v>
      </c>
      <c r="H9" s="23">
        <v>-64</v>
      </c>
      <c r="I9" s="23">
        <v>-40</v>
      </c>
      <c r="J9" s="23">
        <f>+Model!P43-SUM(Quart!G9:I9)</f>
        <v>-46</v>
      </c>
      <c r="K9" s="23">
        <v>-63</v>
      </c>
      <c r="L9" s="23">
        <v>-65</v>
      </c>
      <c r="M9" s="23">
        <v>-48</v>
      </c>
      <c r="N9" s="23">
        <v>-36</v>
      </c>
      <c r="O9" s="23">
        <v>-63</v>
      </c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</row>
    <row r="10" spans="1:38" x14ac:dyDescent="0.25">
      <c r="B10" s="1" t="s">
        <v>30</v>
      </c>
      <c r="C10" s="25">
        <f t="shared" ref="C10" si="0">+SUM(C4:C9)</f>
        <v>4956</v>
      </c>
      <c r="D10" s="25">
        <f t="shared" ref="D10" si="1">+SUM(D4:D9)</f>
        <v>4974</v>
      </c>
      <c r="E10" s="25">
        <f t="shared" ref="E10" si="2">+SUM(E4:E9)</f>
        <v>5137</v>
      </c>
      <c r="F10" s="25">
        <f t="shared" ref="F10" si="3">+SUM(F4:F9)</f>
        <v>5284</v>
      </c>
      <c r="G10" s="25">
        <f t="shared" ref="G10:L10" si="4">+SUM(G4:G9)</f>
        <v>5077</v>
      </c>
      <c r="H10" s="25">
        <f t="shared" si="4"/>
        <v>5058</v>
      </c>
      <c r="I10" s="25">
        <f t="shared" si="4"/>
        <v>4464</v>
      </c>
      <c r="J10" s="25">
        <f t="shared" si="4"/>
        <v>4967</v>
      </c>
      <c r="K10" s="25">
        <f t="shared" si="4"/>
        <v>4504</v>
      </c>
      <c r="L10" s="25">
        <f t="shared" si="4"/>
        <v>4514</v>
      </c>
      <c r="M10" s="25">
        <f>+SUM(M4:M9)</f>
        <v>3786</v>
      </c>
      <c r="N10" s="25">
        <f t="shared" ref="N10:O10" si="5">+SUM(N4:N9)</f>
        <v>4390</v>
      </c>
      <c r="O10" s="25">
        <f t="shared" si="5"/>
        <v>3883</v>
      </c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</row>
    <row r="11" spans="1:38" x14ac:dyDescent="0.25"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</row>
    <row r="12" spans="1:38" x14ac:dyDescent="0.25">
      <c r="A12" s="27" t="s">
        <v>52</v>
      </c>
      <c r="B12" t="s">
        <v>489</v>
      </c>
      <c r="C12" s="23"/>
      <c r="D12" s="23"/>
      <c r="E12" s="23"/>
      <c r="F12" s="23"/>
      <c r="G12" s="111">
        <f t="shared" ref="G12:H18" si="6">+G4/C4-1</f>
        <v>9.6487842531840506E-3</v>
      </c>
      <c r="H12" s="111">
        <f t="shared" si="6"/>
        <v>-2.7110766847405099E-2</v>
      </c>
      <c r="I12" s="111">
        <f>+I4/E4-1</f>
        <v>-0.14103060829135994</v>
      </c>
      <c r="J12" s="111">
        <f t="shared" ref="J12:L18" si="7">+J4/F4-1</f>
        <v>-7.5009147457006931E-2</v>
      </c>
      <c r="K12" s="111">
        <f t="shared" si="7"/>
        <v>-0.20527522935779818</v>
      </c>
      <c r="L12" s="111">
        <f t="shared" si="7"/>
        <v>-0.20143312101910826</v>
      </c>
      <c r="M12" s="111">
        <f>+M4/I4-1</f>
        <v>-0.2598105548037889</v>
      </c>
      <c r="N12" s="111">
        <f>+N4/J4-1</f>
        <v>-0.23892405063291144</v>
      </c>
      <c r="O12" s="111">
        <f>+O4/K4-1</f>
        <v>-0.24434824434824431</v>
      </c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</row>
    <row r="13" spans="1:38" x14ac:dyDescent="0.25">
      <c r="B13" t="s">
        <v>11</v>
      </c>
      <c r="C13" s="23"/>
      <c r="D13" s="23"/>
      <c r="E13" s="23"/>
      <c r="F13" s="23"/>
      <c r="G13" s="111">
        <f t="shared" si="6"/>
        <v>9.0663058186738921E-2</v>
      </c>
      <c r="H13" s="111">
        <f t="shared" si="6"/>
        <v>3.7735849056603765E-2</v>
      </c>
      <c r="I13" s="111">
        <f t="shared" ref="I13:I18" si="8">+I5/E5-1</f>
        <v>-0.16157205240174677</v>
      </c>
      <c r="J13" s="111">
        <f t="shared" si="7"/>
        <v>-7.5304540420819466E-2</v>
      </c>
      <c r="K13" s="111">
        <f t="shared" si="7"/>
        <v>-8.1885856079404462E-2</v>
      </c>
      <c r="L13" s="111">
        <f t="shared" si="7"/>
        <v>-8.9610389610389585E-2</v>
      </c>
      <c r="M13" s="111">
        <f t="shared" ref="M13:N18" si="9">+M5/I5-1</f>
        <v>-0.12760416666666663</v>
      </c>
      <c r="N13" s="111">
        <f t="shared" si="9"/>
        <v>-7.7844311377245456E-2</v>
      </c>
      <c r="O13" s="111">
        <f t="shared" ref="O13:O17" si="10">+O5/K5-1</f>
        <v>-8.2432432432432479E-2</v>
      </c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</row>
    <row r="14" spans="1:38" x14ac:dyDescent="0.25">
      <c r="B14" t="s">
        <v>481</v>
      </c>
      <c r="C14" s="23"/>
      <c r="D14" s="23"/>
      <c r="E14" s="23"/>
      <c r="F14" s="23"/>
      <c r="G14" s="111">
        <f t="shared" si="6"/>
        <v>-2.525252525252486E-3</v>
      </c>
      <c r="H14" s="111">
        <f t="shared" si="6"/>
        <v>0</v>
      </c>
      <c r="I14" s="111">
        <f t="shared" si="8"/>
        <v>-0.12814645308924488</v>
      </c>
      <c r="J14" s="111">
        <f t="shared" si="7"/>
        <v>-8.102345415778256E-2</v>
      </c>
      <c r="K14" s="111">
        <f t="shared" si="7"/>
        <v>-1.7721518987341756E-2</v>
      </c>
      <c r="L14" s="111">
        <f t="shared" si="7"/>
        <v>2.2831050228310446E-2</v>
      </c>
      <c r="M14" s="111">
        <f t="shared" si="9"/>
        <v>4.1994750656167978E-2</v>
      </c>
      <c r="N14" s="111">
        <f t="shared" si="9"/>
        <v>0.11368909512761016</v>
      </c>
      <c r="O14" s="111">
        <f t="shared" si="10"/>
        <v>4.3814432989690788E-2</v>
      </c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</row>
    <row r="15" spans="1:38" x14ac:dyDescent="0.25">
      <c r="B15" t="s">
        <v>378</v>
      </c>
      <c r="C15" s="23"/>
      <c r="D15" s="23"/>
      <c r="E15" s="23"/>
      <c r="F15" s="23"/>
      <c r="G15" s="111">
        <f t="shared" si="6"/>
        <v>-8.5303186022610444E-2</v>
      </c>
      <c r="H15" s="111">
        <f t="shared" si="6"/>
        <v>-1.6293279022403295E-2</v>
      </c>
      <c r="I15" s="111">
        <f t="shared" si="8"/>
        <v>-0.19095477386934678</v>
      </c>
      <c r="J15" s="111">
        <f t="shared" si="7"/>
        <v>-7.6839826839826819E-2</v>
      </c>
      <c r="K15" s="111">
        <f t="shared" si="7"/>
        <v>-7.415730337078652E-2</v>
      </c>
      <c r="L15" s="111">
        <f t="shared" si="7"/>
        <v>-7.556935817805388E-2</v>
      </c>
      <c r="M15" s="111">
        <f t="shared" si="9"/>
        <v>-0.14782608695652177</v>
      </c>
      <c r="N15" s="111">
        <f t="shared" si="9"/>
        <v>-4.1031652989448997E-2</v>
      </c>
      <c r="O15" s="111">
        <f t="shared" si="10"/>
        <v>-0.1104368932038835</v>
      </c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</row>
    <row r="16" spans="1:38" x14ac:dyDescent="0.25">
      <c r="B16" t="s">
        <v>381</v>
      </c>
      <c r="C16" s="23"/>
      <c r="D16" s="23"/>
      <c r="E16" s="23"/>
      <c r="F16" s="23"/>
      <c r="G16" s="111">
        <f t="shared" si="6"/>
        <v>0.4058441558441559</v>
      </c>
      <c r="H16" s="111">
        <f t="shared" si="6"/>
        <v>0.54063604240282692</v>
      </c>
      <c r="I16" s="111">
        <f t="shared" si="8"/>
        <v>0.3162055335968379</v>
      </c>
      <c r="J16" s="111">
        <f t="shared" si="7"/>
        <v>0.2406779661016949</v>
      </c>
      <c r="K16" s="111">
        <f t="shared" si="7"/>
        <v>0.23787528868360286</v>
      </c>
      <c r="L16" s="111">
        <f t="shared" si="7"/>
        <v>0.21788990825688082</v>
      </c>
      <c r="M16" s="111">
        <f t="shared" si="9"/>
        <v>0.3213213213213213</v>
      </c>
      <c r="N16" s="111">
        <f t="shared" si="9"/>
        <v>0.18579234972677594</v>
      </c>
      <c r="O16" s="111">
        <f t="shared" si="10"/>
        <v>4.1044776119403048E-2</v>
      </c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</row>
    <row r="17" spans="2:38" x14ac:dyDescent="0.25">
      <c r="B17" t="s">
        <v>387</v>
      </c>
      <c r="C17" s="23"/>
      <c r="D17" s="23"/>
      <c r="E17" s="23"/>
      <c r="F17" s="23"/>
      <c r="G17" s="111">
        <f t="shared" si="6"/>
        <v>0.23529411764705888</v>
      </c>
      <c r="H17" s="111">
        <f t="shared" si="6"/>
        <v>0.20754716981132071</v>
      </c>
      <c r="I17" s="111">
        <f t="shared" si="8"/>
        <v>-0.11111111111111116</v>
      </c>
      <c r="J17" s="111">
        <f t="shared" si="7"/>
        <v>0.14999999999999991</v>
      </c>
      <c r="K17" s="111">
        <f t="shared" si="7"/>
        <v>0</v>
      </c>
      <c r="L17" s="111">
        <f t="shared" si="7"/>
        <v>1.5625E-2</v>
      </c>
      <c r="M17" s="111">
        <f t="shared" si="9"/>
        <v>0.19999999999999996</v>
      </c>
      <c r="N17" s="111">
        <f t="shared" si="9"/>
        <v>-0.21739130434782605</v>
      </c>
      <c r="O17" s="111">
        <f t="shared" si="10"/>
        <v>0</v>
      </c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</row>
    <row r="18" spans="2:38" x14ac:dyDescent="0.25">
      <c r="B18" t="s">
        <v>30</v>
      </c>
      <c r="C18" s="23"/>
      <c r="D18" s="23"/>
      <c r="E18" s="23"/>
      <c r="F18" s="23"/>
      <c r="G18" s="111">
        <f t="shared" si="6"/>
        <v>2.4414850686037104E-2</v>
      </c>
      <c r="H18" s="111">
        <f t="shared" si="6"/>
        <v>1.6887816646562026E-2</v>
      </c>
      <c r="I18" s="111">
        <f t="shared" si="8"/>
        <v>-0.13101031730582047</v>
      </c>
      <c r="J18" s="111">
        <f t="shared" si="7"/>
        <v>-5.9992429977289929E-2</v>
      </c>
      <c r="K18" s="111">
        <f t="shared" si="7"/>
        <v>-0.11286192633444947</v>
      </c>
      <c r="L18" s="111">
        <f t="shared" si="7"/>
        <v>-0.1075523922499011</v>
      </c>
      <c r="M18" s="111">
        <f t="shared" si="9"/>
        <v>-0.1518817204301075</v>
      </c>
      <c r="N18" s="111">
        <f t="shared" si="9"/>
        <v>-0.11616670022146169</v>
      </c>
      <c r="O18" s="111">
        <f>+O10/K10-1</f>
        <v>-0.1378774422735346</v>
      </c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</row>
    <row r="19" spans="2:38" x14ac:dyDescent="0.25"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</row>
    <row r="20" spans="2:38" x14ac:dyDescent="0.25"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</row>
    <row r="21" spans="2:38" x14ac:dyDescent="0.25"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</row>
    <row r="22" spans="2:38" x14ac:dyDescent="0.25"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</row>
    <row r="23" spans="2:38" x14ac:dyDescent="0.25"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</row>
    <row r="24" spans="2:38" x14ac:dyDescent="0.25"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</row>
    <row r="25" spans="2:38" x14ac:dyDescent="0.25"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</row>
    <row r="26" spans="2:38" x14ac:dyDescent="0.25"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</row>
    <row r="27" spans="2:38" x14ac:dyDescent="0.25"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</row>
    <row r="28" spans="2:38" x14ac:dyDescent="0.25"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</row>
    <row r="29" spans="2:38" x14ac:dyDescent="0.25"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</row>
    <row r="30" spans="2:38" x14ac:dyDescent="0.25"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</row>
    <row r="31" spans="2:38" x14ac:dyDescent="0.25"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</row>
    <row r="32" spans="2:38" x14ac:dyDescent="0.25"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</row>
    <row r="33" spans="3:38" x14ac:dyDescent="0.25"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</row>
    <row r="34" spans="3:38" x14ac:dyDescent="0.25"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</row>
    <row r="35" spans="3:38" x14ac:dyDescent="0.25"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</row>
    <row r="36" spans="3:38" x14ac:dyDescent="0.25"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</row>
    <row r="37" spans="3:38" x14ac:dyDescent="0.25"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</row>
    <row r="38" spans="3:38" x14ac:dyDescent="0.25"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</row>
    <row r="39" spans="3:38" x14ac:dyDescent="0.25"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</row>
    <row r="40" spans="3:38" x14ac:dyDescent="0.25"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</row>
    <row r="41" spans="3:38" x14ac:dyDescent="0.25"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</row>
    <row r="42" spans="3:38" x14ac:dyDescent="0.25"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</row>
    <row r="43" spans="3:38" x14ac:dyDescent="0.25"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</row>
    <row r="44" spans="3:38" x14ac:dyDescent="0.25"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</row>
    <row r="45" spans="3:38" x14ac:dyDescent="0.25"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</row>
    <row r="46" spans="3:38" x14ac:dyDescent="0.25"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</row>
    <row r="47" spans="3:38" x14ac:dyDescent="0.25"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</row>
    <row r="48" spans="3:38" x14ac:dyDescent="0.25"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</row>
    <row r="49" spans="3:38" x14ac:dyDescent="0.25"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</row>
    <row r="50" spans="3:38" x14ac:dyDescent="0.25"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</row>
    <row r="51" spans="3:38" x14ac:dyDescent="0.25"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</row>
    <row r="52" spans="3:38" x14ac:dyDescent="0.25"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</row>
    <row r="53" spans="3:38" x14ac:dyDescent="0.25"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</row>
    <row r="54" spans="3:38" x14ac:dyDescent="0.25"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</row>
    <row r="55" spans="3:38" x14ac:dyDescent="0.25"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</row>
    <row r="56" spans="3:38" x14ac:dyDescent="0.25"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</row>
    <row r="57" spans="3:38" x14ac:dyDescent="0.25"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</row>
    <row r="58" spans="3:38" x14ac:dyDescent="0.25"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</row>
    <row r="59" spans="3:38" x14ac:dyDescent="0.25"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</row>
    <row r="60" spans="3:38" x14ac:dyDescent="0.25"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</row>
    <row r="61" spans="3:38" x14ac:dyDescent="0.25"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</row>
    <row r="62" spans="3:38" x14ac:dyDescent="0.25"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</row>
    <row r="63" spans="3:38" x14ac:dyDescent="0.25"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</row>
    <row r="64" spans="3:38" x14ac:dyDescent="0.25"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</row>
    <row r="65" spans="3:38" x14ac:dyDescent="0.25"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</row>
    <row r="66" spans="3:38" x14ac:dyDescent="0.25"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</row>
    <row r="67" spans="3:38" x14ac:dyDescent="0.25"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</row>
    <row r="68" spans="3:38" x14ac:dyDescent="0.25"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</row>
    <row r="69" spans="3:38" x14ac:dyDescent="0.25"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</row>
    <row r="70" spans="3:38" x14ac:dyDescent="0.25"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</row>
    <row r="71" spans="3:38" x14ac:dyDescent="0.25"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</row>
    <row r="72" spans="3:38" x14ac:dyDescent="0.25"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</row>
    <row r="73" spans="3:38" x14ac:dyDescent="0.25"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</row>
    <row r="74" spans="3:38" x14ac:dyDescent="0.25"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</row>
    <row r="75" spans="3:38" x14ac:dyDescent="0.25"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</row>
    <row r="76" spans="3:38" x14ac:dyDescent="0.25"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</row>
    <row r="77" spans="3:38" x14ac:dyDescent="0.25"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</row>
    <row r="78" spans="3:38" x14ac:dyDescent="0.25"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</row>
    <row r="79" spans="3:38" x14ac:dyDescent="0.25"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</row>
    <row r="80" spans="3:38" x14ac:dyDescent="0.25"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</row>
    <row r="81" spans="3:38" x14ac:dyDescent="0.25"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</row>
    <row r="82" spans="3:38" x14ac:dyDescent="0.25"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</row>
    <row r="83" spans="3:38" x14ac:dyDescent="0.25"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</row>
    <row r="84" spans="3:38" x14ac:dyDescent="0.25"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</row>
    <row r="85" spans="3:38" x14ac:dyDescent="0.25"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</row>
    <row r="86" spans="3:38" x14ac:dyDescent="0.25"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</row>
    <row r="87" spans="3:38" x14ac:dyDescent="0.25"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</row>
    <row r="88" spans="3:38" x14ac:dyDescent="0.25"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</row>
    <row r="89" spans="3:38" x14ac:dyDescent="0.25"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</row>
    <row r="90" spans="3:38" x14ac:dyDescent="0.25"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</row>
    <row r="91" spans="3:38" x14ac:dyDescent="0.25"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</row>
    <row r="92" spans="3:38" x14ac:dyDescent="0.25"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</row>
    <row r="93" spans="3:38" x14ac:dyDescent="0.25"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</row>
    <row r="94" spans="3:38" x14ac:dyDescent="0.25"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</row>
    <row r="95" spans="3:38" x14ac:dyDescent="0.25"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</row>
    <row r="96" spans="3:38" x14ac:dyDescent="0.25"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</row>
    <row r="97" spans="3:38" x14ac:dyDescent="0.25"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</row>
    <row r="98" spans="3:38" x14ac:dyDescent="0.25"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</row>
    <row r="99" spans="3:38" x14ac:dyDescent="0.25"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</row>
    <row r="100" spans="3:38" x14ac:dyDescent="0.25"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</row>
    <row r="101" spans="3:38" x14ac:dyDescent="0.25"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</row>
    <row r="102" spans="3:38" x14ac:dyDescent="0.25"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</row>
    <row r="103" spans="3:38" x14ac:dyDescent="0.25"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</row>
    <row r="104" spans="3:38" x14ac:dyDescent="0.25"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</row>
    <row r="105" spans="3:38" x14ac:dyDescent="0.25"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</row>
    <row r="106" spans="3:38" x14ac:dyDescent="0.25"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</row>
    <row r="107" spans="3:38" x14ac:dyDescent="0.25"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</row>
    <row r="108" spans="3:38" x14ac:dyDescent="0.25"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</row>
    <row r="109" spans="3:38" x14ac:dyDescent="0.25"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</row>
    <row r="110" spans="3:38" x14ac:dyDescent="0.25"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</row>
    <row r="111" spans="3:38" x14ac:dyDescent="0.25"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</row>
    <row r="112" spans="3:38" x14ac:dyDescent="0.25"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</row>
    <row r="113" spans="3:38" x14ac:dyDescent="0.25"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</row>
    <row r="114" spans="3:38" x14ac:dyDescent="0.25"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</row>
    <row r="115" spans="3:38" x14ac:dyDescent="0.25"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</row>
    <row r="116" spans="3:38" x14ac:dyDescent="0.25"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</row>
    <row r="117" spans="3:38" x14ac:dyDescent="0.25"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</row>
    <row r="118" spans="3:38" x14ac:dyDescent="0.25"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</row>
    <row r="119" spans="3:38" x14ac:dyDescent="0.25"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</row>
    <row r="120" spans="3:38" x14ac:dyDescent="0.25"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</row>
    <row r="121" spans="3:38" x14ac:dyDescent="0.25"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</row>
    <row r="122" spans="3:38" x14ac:dyDescent="0.25"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</row>
    <row r="123" spans="3:38" x14ac:dyDescent="0.25"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</row>
    <row r="124" spans="3:38" x14ac:dyDescent="0.25"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</row>
    <row r="125" spans="3:38" x14ac:dyDescent="0.25"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</row>
    <row r="126" spans="3:38" x14ac:dyDescent="0.25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</row>
    <row r="127" spans="3:38" x14ac:dyDescent="0.25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</row>
    <row r="128" spans="3:38" x14ac:dyDescent="0.25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</row>
    <row r="129" spans="3:38" x14ac:dyDescent="0.25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</row>
    <row r="130" spans="3:38" x14ac:dyDescent="0.25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</row>
    <row r="131" spans="3:38" x14ac:dyDescent="0.25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</row>
    <row r="132" spans="3:38" x14ac:dyDescent="0.25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</row>
    <row r="133" spans="3:38" x14ac:dyDescent="0.25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</row>
    <row r="134" spans="3:38" x14ac:dyDescent="0.25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</row>
    <row r="135" spans="3:38" x14ac:dyDescent="0.25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</row>
    <row r="136" spans="3:38" x14ac:dyDescent="0.25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</row>
    <row r="137" spans="3:38" x14ac:dyDescent="0.25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</row>
    <row r="138" spans="3:38" x14ac:dyDescent="0.25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</row>
    <row r="139" spans="3:38" x14ac:dyDescent="0.25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</row>
    <row r="140" spans="3:38" x14ac:dyDescent="0.25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</row>
    <row r="141" spans="3:38" x14ac:dyDescent="0.25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</row>
    <row r="142" spans="3:38" x14ac:dyDescent="0.25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</row>
    <row r="143" spans="3:38" x14ac:dyDescent="0.25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</row>
    <row r="144" spans="3:38" x14ac:dyDescent="0.25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</row>
    <row r="145" spans="3:38" x14ac:dyDescent="0.25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</row>
    <row r="146" spans="3:38" x14ac:dyDescent="0.25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</row>
    <row r="147" spans="3:38" x14ac:dyDescent="0.25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</row>
    <row r="148" spans="3:38" x14ac:dyDescent="0.25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</row>
    <row r="149" spans="3:38" x14ac:dyDescent="0.25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</row>
    <row r="150" spans="3:38" x14ac:dyDescent="0.25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</row>
    <row r="151" spans="3:38" x14ac:dyDescent="0.25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</row>
    <row r="152" spans="3:38" x14ac:dyDescent="0.25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</row>
    <row r="153" spans="3:38" x14ac:dyDescent="0.25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</row>
    <row r="154" spans="3:38" x14ac:dyDescent="0.25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</row>
    <row r="155" spans="3:38" x14ac:dyDescent="0.25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</row>
    <row r="156" spans="3:38" x14ac:dyDescent="0.25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</row>
    <row r="157" spans="3:38" x14ac:dyDescent="0.25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</row>
    <row r="158" spans="3:38" x14ac:dyDescent="0.25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</row>
    <row r="159" spans="3:38" x14ac:dyDescent="0.25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</row>
    <row r="160" spans="3:38" x14ac:dyDescent="0.25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</row>
    <row r="161" spans="3:38" x14ac:dyDescent="0.25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</row>
    <row r="162" spans="3:38" x14ac:dyDescent="0.25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</row>
    <row r="163" spans="3:38" x14ac:dyDescent="0.25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</row>
    <row r="164" spans="3:38" x14ac:dyDescent="0.25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</row>
    <row r="165" spans="3:38" x14ac:dyDescent="0.25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</row>
    <row r="166" spans="3:38" x14ac:dyDescent="0.25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</row>
    <row r="167" spans="3:38" x14ac:dyDescent="0.25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</row>
    <row r="168" spans="3:38" x14ac:dyDescent="0.25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</row>
    <row r="169" spans="3:38" x14ac:dyDescent="0.25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</row>
    <row r="170" spans="3:38" x14ac:dyDescent="0.25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</row>
    <row r="171" spans="3:38" x14ac:dyDescent="0.25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</row>
    <row r="172" spans="3:38" x14ac:dyDescent="0.25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</row>
    <row r="173" spans="3:38" x14ac:dyDescent="0.25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</row>
    <row r="174" spans="3:38" x14ac:dyDescent="0.25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</row>
    <row r="175" spans="3:38" x14ac:dyDescent="0.25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</row>
    <row r="176" spans="3:38" x14ac:dyDescent="0.25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</row>
    <row r="177" spans="3:38" x14ac:dyDescent="0.25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</row>
    <row r="178" spans="3:38" x14ac:dyDescent="0.25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</row>
    <row r="179" spans="3:38" x14ac:dyDescent="0.25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</row>
    <row r="180" spans="3:38" x14ac:dyDescent="0.25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</row>
    <row r="181" spans="3:38" x14ac:dyDescent="0.25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</row>
    <row r="182" spans="3:38" x14ac:dyDescent="0.25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</row>
    <row r="183" spans="3:38" x14ac:dyDescent="0.25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</row>
    <row r="184" spans="3:38" x14ac:dyDescent="0.25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</row>
    <row r="185" spans="3:38" x14ac:dyDescent="0.25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</row>
    <row r="186" spans="3:38" x14ac:dyDescent="0.25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</row>
    <row r="187" spans="3:38" x14ac:dyDescent="0.25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</row>
    <row r="188" spans="3:38" x14ac:dyDescent="0.25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</row>
    <row r="189" spans="3:38" x14ac:dyDescent="0.25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</row>
    <row r="190" spans="3:38" x14ac:dyDescent="0.25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</row>
    <row r="191" spans="3:38" x14ac:dyDescent="0.25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</row>
    <row r="192" spans="3:38" x14ac:dyDescent="0.25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</row>
    <row r="193" spans="3:38" x14ac:dyDescent="0.25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</row>
    <row r="194" spans="3:38" x14ac:dyDescent="0.25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</row>
    <row r="195" spans="3:38" x14ac:dyDescent="0.25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</row>
    <row r="196" spans="3:38" x14ac:dyDescent="0.25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</row>
    <row r="197" spans="3:38" x14ac:dyDescent="0.25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</row>
    <row r="198" spans="3:38" x14ac:dyDescent="0.25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</row>
    <row r="199" spans="3:38" x14ac:dyDescent="0.25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</row>
    <row r="200" spans="3:38" x14ac:dyDescent="0.25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</row>
    <row r="201" spans="3:38" x14ac:dyDescent="0.25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</row>
    <row r="202" spans="3:38" x14ac:dyDescent="0.25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</row>
    <row r="203" spans="3:38" x14ac:dyDescent="0.25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</row>
    <row r="204" spans="3:38" x14ac:dyDescent="0.25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</row>
    <row r="205" spans="3:38" x14ac:dyDescent="0.25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</row>
    <row r="206" spans="3:38" x14ac:dyDescent="0.25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</row>
    <row r="207" spans="3:38" x14ac:dyDescent="0.25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</row>
    <row r="208" spans="3:38" x14ac:dyDescent="0.25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</row>
    <row r="209" spans="3:38" x14ac:dyDescent="0.25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</row>
    <row r="210" spans="3:38" x14ac:dyDescent="0.25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</row>
    <row r="211" spans="3:38" x14ac:dyDescent="0.25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</row>
    <row r="212" spans="3:38" x14ac:dyDescent="0.25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</row>
    <row r="213" spans="3:38" x14ac:dyDescent="0.25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</row>
    <row r="214" spans="3:38" x14ac:dyDescent="0.25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</row>
    <row r="215" spans="3:38" x14ac:dyDescent="0.25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</row>
    <row r="216" spans="3:38" x14ac:dyDescent="0.25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</row>
    <row r="217" spans="3:38" x14ac:dyDescent="0.25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</row>
    <row r="218" spans="3:38" x14ac:dyDescent="0.25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</row>
    <row r="219" spans="3:38" x14ac:dyDescent="0.25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</row>
    <row r="220" spans="3:38" x14ac:dyDescent="0.25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</row>
    <row r="221" spans="3:38" x14ac:dyDescent="0.25"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</row>
    <row r="222" spans="3:38" x14ac:dyDescent="0.25"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</row>
    <row r="223" spans="3:38" x14ac:dyDescent="0.25"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</row>
    <row r="224" spans="3:38" x14ac:dyDescent="0.25"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</row>
    <row r="225" spans="3:38" x14ac:dyDescent="0.25"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</row>
    <row r="226" spans="3:38" x14ac:dyDescent="0.25"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</row>
    <row r="227" spans="3:38" x14ac:dyDescent="0.25"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</row>
  </sheetData>
  <hyperlinks>
    <hyperlink ref="A1" location="Main!A1" display="Main" xr:uid="{E9A34C90-34B2-41FE-9B00-72ABCBD49772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89DB7-F8FF-415E-A6B2-76D392D93B13}">
  <dimension ref="A1:T61"/>
  <sheetViews>
    <sheetView zoomScale="200" zoomScaleNormal="200" workbookViewId="0">
      <pane xSplit="2" ySplit="2" topLeftCell="G3" activePane="bottomRight" state="frozen"/>
      <selection pane="topRight" activeCell="C1" sqref="C1"/>
      <selection pane="bottomLeft" activeCell="A3" sqref="A3"/>
      <selection pane="bottomRight" activeCell="J22" sqref="J22"/>
    </sheetView>
  </sheetViews>
  <sheetFormatPr defaultRowHeight="15" x14ac:dyDescent="0.25"/>
  <cols>
    <col min="1" max="1" width="4.7109375" bestFit="1" customWidth="1"/>
    <col min="2" max="2" width="29.7109375" bestFit="1" customWidth="1"/>
  </cols>
  <sheetData>
    <row r="1" spans="1:20" x14ac:dyDescent="0.25">
      <c r="A1" s="11" t="s">
        <v>29</v>
      </c>
    </row>
    <row r="2" spans="1:20" x14ac:dyDescent="0.25">
      <c r="B2" s="87" t="s">
        <v>196</v>
      </c>
      <c r="C2" s="86">
        <v>17</v>
      </c>
      <c r="D2" s="86">
        <v>18</v>
      </c>
      <c r="E2" s="86">
        <f>+D2+1</f>
        <v>19</v>
      </c>
      <c r="F2" s="86">
        <f t="shared" ref="F2:K2" si="0">+E2+1</f>
        <v>20</v>
      </c>
      <c r="G2" s="86">
        <f t="shared" si="0"/>
        <v>21</v>
      </c>
      <c r="H2" s="86">
        <f t="shared" si="0"/>
        <v>22</v>
      </c>
      <c r="I2" s="86">
        <f t="shared" si="0"/>
        <v>23</v>
      </c>
      <c r="J2" s="86">
        <f t="shared" si="0"/>
        <v>24</v>
      </c>
      <c r="K2" s="86">
        <f t="shared" si="0"/>
        <v>25</v>
      </c>
      <c r="L2" s="104"/>
      <c r="M2" s="105"/>
      <c r="N2" s="104" t="s">
        <v>395</v>
      </c>
      <c r="O2" s="104" t="s">
        <v>143</v>
      </c>
      <c r="P2" s="105"/>
      <c r="Q2" s="104"/>
      <c r="R2" s="104"/>
      <c r="S2" s="104"/>
      <c r="T2" s="104"/>
    </row>
    <row r="3" spans="1:20" x14ac:dyDescent="0.25">
      <c r="B3" t="s">
        <v>3</v>
      </c>
      <c r="C3">
        <v>364.34</v>
      </c>
      <c r="D3">
        <v>400.8</v>
      </c>
      <c r="E3" s="23">
        <v>585.70000000000005</v>
      </c>
      <c r="F3" s="23">
        <v>587.9</v>
      </c>
      <c r="G3" s="23">
        <v>706.9</v>
      </c>
      <c r="H3" s="23">
        <v>480</v>
      </c>
      <c r="I3" s="23">
        <v>400.1</v>
      </c>
      <c r="J3" s="23">
        <v>230.2</v>
      </c>
      <c r="K3" s="23"/>
      <c r="L3" s="23"/>
      <c r="M3" s="23"/>
      <c r="N3" s="23">
        <f>+AVERAGE(C3:J3)</f>
        <v>469.49250000000001</v>
      </c>
      <c r="O3" s="23">
        <f>+MEDIAN(C3:J3)</f>
        <v>440.4</v>
      </c>
      <c r="P3" s="23"/>
    </row>
    <row r="4" spans="1:20" x14ac:dyDescent="0.25">
      <c r="B4" t="s">
        <v>197</v>
      </c>
      <c r="C4" s="24">
        <f>Model!J69</f>
        <v>125.999511</v>
      </c>
      <c r="D4" s="24">
        <f>Model!K69</f>
        <v>125.95603800000001</v>
      </c>
      <c r="E4" s="24">
        <f>Model!L69</f>
        <v>125.498766</v>
      </c>
      <c r="F4" s="24">
        <f>Model!M69</f>
        <v>125.011945</v>
      </c>
      <c r="G4" s="24">
        <f>Model!N69</f>
        <v>124.584509</v>
      </c>
      <c r="H4" s="24">
        <f>Model!O69</f>
        <v>122.38293</v>
      </c>
      <c r="I4" s="24">
        <f>Model!P69</f>
        <v>122.34649400000001</v>
      </c>
      <c r="J4" s="13">
        <v>122.58443699999999</v>
      </c>
      <c r="K4" s="23"/>
      <c r="L4" s="23"/>
      <c r="M4" s="23"/>
      <c r="N4" s="23">
        <f t="shared" ref="N4:N7" si="1">+AVERAGE(C4:J4)</f>
        <v>124.29557875</v>
      </c>
      <c r="O4" s="23">
        <f t="shared" ref="O4:O7" si="2">+MEDIAN(C4:J4)</f>
        <v>124.798227</v>
      </c>
      <c r="P4" s="23"/>
    </row>
    <row r="5" spans="1:20" x14ac:dyDescent="0.25">
      <c r="B5" t="s">
        <v>198</v>
      </c>
      <c r="C5" s="23">
        <f t="shared" ref="C5:I5" si="3">+C3*C4</f>
        <v>45906.661837739994</v>
      </c>
      <c r="D5" s="23">
        <f t="shared" si="3"/>
        <v>50483.180030400006</v>
      </c>
      <c r="E5" s="23">
        <f t="shared" si="3"/>
        <v>73504.627246200005</v>
      </c>
      <c r="F5" s="23">
        <f t="shared" si="3"/>
        <v>73494.522465499991</v>
      </c>
      <c r="G5" s="23">
        <f t="shared" si="3"/>
        <v>88068.789412099999</v>
      </c>
      <c r="H5" s="23">
        <f t="shared" si="3"/>
        <v>58743.806400000001</v>
      </c>
      <c r="I5" s="23">
        <f t="shared" si="3"/>
        <v>48950.832249400002</v>
      </c>
      <c r="J5" s="23">
        <f>+J3*J4</f>
        <v>28218.937397399997</v>
      </c>
      <c r="K5" s="23"/>
      <c r="L5" s="23"/>
      <c r="M5" s="23"/>
      <c r="N5" s="23">
        <f t="shared" si="1"/>
        <v>58421.419629842501</v>
      </c>
      <c r="O5" s="23">
        <f t="shared" si="2"/>
        <v>54613.493215200004</v>
      </c>
      <c r="P5" s="23"/>
    </row>
    <row r="6" spans="1:20" x14ac:dyDescent="0.25">
      <c r="B6" t="s">
        <v>199</v>
      </c>
      <c r="C6" s="23">
        <f>+Model!J113+Model!J115+Model!J121+Model!J123-Model!J105-Model!J103</f>
        <v>3260.6000000000004</v>
      </c>
      <c r="D6" s="23">
        <f>+Model!K113+Model!K115+Model!K121+Model!K123-Model!K105-Model!K103</f>
        <v>1664.6</v>
      </c>
      <c r="E6" s="23">
        <f>+Model!L113+Model!L115+Model!L121+Model!L123-Model!L105-Model!L103</f>
        <v>3318.7999999999997</v>
      </c>
      <c r="F6" s="23">
        <f>+Model!M113+Model!M115+Model!M121+Model!M123-Model!M105-Model!M103</f>
        <v>2408.2000000000007</v>
      </c>
      <c r="G6" s="23">
        <f>+Model!N113+Model!N115+Model!N121+Model!N123-Model!N105-Model!N103</f>
        <v>871</v>
      </c>
      <c r="H6" s="23">
        <f>+Model!O113+Model!O115+Model!O121+Model!O123-Model!O105-Model!O103</f>
        <v>2802</v>
      </c>
      <c r="I6" s="23">
        <f>+Model!P113+Model!P115+Model!P121+Model!P123-Model!P105-Model!P103</f>
        <v>8969</v>
      </c>
      <c r="J6" s="23">
        <f>+Main!H6-Main!H5</f>
        <v>10517</v>
      </c>
      <c r="K6" s="23"/>
      <c r="L6" s="23"/>
      <c r="M6" s="23"/>
      <c r="N6" s="23">
        <f t="shared" si="1"/>
        <v>4226.3999999999996</v>
      </c>
      <c r="O6" s="23">
        <f t="shared" si="2"/>
        <v>3031.3</v>
      </c>
      <c r="P6" s="23"/>
    </row>
    <row r="7" spans="1:20" x14ac:dyDescent="0.25">
      <c r="B7" t="s">
        <v>8</v>
      </c>
      <c r="C7" s="23">
        <f t="shared" ref="C7:H7" si="4">+C6+C5</f>
        <v>49167.261837739992</v>
      </c>
      <c r="D7" s="23">
        <f t="shared" si="4"/>
        <v>52147.780030400005</v>
      </c>
      <c r="E7" s="23">
        <f t="shared" si="4"/>
        <v>76823.427246200008</v>
      </c>
      <c r="F7" s="23">
        <f t="shared" si="4"/>
        <v>75902.722465499988</v>
      </c>
      <c r="G7" s="23">
        <f t="shared" si="4"/>
        <v>88939.789412099999</v>
      </c>
      <c r="H7" s="23">
        <f t="shared" si="4"/>
        <v>61545.806400000001</v>
      </c>
      <c r="I7" s="23">
        <f>+I6+I5</f>
        <v>57919.832249400002</v>
      </c>
      <c r="J7" s="23">
        <f>+J6+J5</f>
        <v>38735.937397399997</v>
      </c>
      <c r="K7" s="23"/>
      <c r="L7" s="23"/>
      <c r="M7" s="23"/>
      <c r="N7" s="23">
        <f t="shared" si="1"/>
        <v>62647.819629842495</v>
      </c>
      <c r="O7" s="23">
        <f t="shared" si="2"/>
        <v>59732.819324700002</v>
      </c>
      <c r="P7" s="23"/>
    </row>
    <row r="8" spans="1:20" x14ac:dyDescent="0.25"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</row>
    <row r="9" spans="1:20" x14ac:dyDescent="0.25">
      <c r="A9" s="27" t="s">
        <v>52</v>
      </c>
      <c r="B9" s="2" t="s">
        <v>200</v>
      </c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</row>
    <row r="10" spans="1:20" x14ac:dyDescent="0.25">
      <c r="B10" t="s">
        <v>201</v>
      </c>
      <c r="C10" s="23">
        <f>+Model!J99+SUM(Model!J100:J104)-Model!J124-SUM(Model!J122,Model!J124:J128)</f>
        <v>17744.799999999996</v>
      </c>
      <c r="D10" s="23">
        <f>+Model!K99+SUM(Model!K100:K104)-Model!K124-SUM(Model!K122,Model!K124:K128)</f>
        <v>12765.1</v>
      </c>
      <c r="E10" s="23">
        <f>+Model!L99+SUM(Model!L100:L104)-Model!L124-SUM(Model!L122,Model!L124:L128)</f>
        <v>18379.099999999995</v>
      </c>
      <c r="F10" s="23">
        <f>+Model!M99+SUM(Model!M100:M104)-Model!M124-SUM(Model!M122,Model!M124:M128)</f>
        <v>19275.600000000002</v>
      </c>
      <c r="G10" s="23">
        <f>+Model!N99+SUM(Model!N100:N104)-Model!N124-SUM(Model!N122,Model!N124:N128)</f>
        <v>18468</v>
      </c>
      <c r="H10" s="23">
        <f>+Model!O99+SUM(Model!O100:O104)-Model!O124-SUM(Model!O122,Model!O124:O128)</f>
        <v>21794</v>
      </c>
      <c r="I10" s="23">
        <f>+Model!P99+SUM(Model!P100:P104)-Model!P124-SUM(Model!P122,Model!P124:P128)</f>
        <v>29602</v>
      </c>
      <c r="J10" s="23">
        <f>+Model!Q99+SUM(Model!Q100:Q104)-Model!Q124-SUM(Model!Q122,Model!Q124:Q128)</f>
        <v>30885</v>
      </c>
      <c r="N10" s="23">
        <f>+AVERAGE(C10:I10)</f>
        <v>19718.371428571427</v>
      </c>
      <c r="O10" s="23">
        <f>+MEDIAN(C10:I10)</f>
        <v>18468</v>
      </c>
      <c r="Q10" s="84" t="s">
        <v>202</v>
      </c>
    </row>
    <row r="11" spans="1:20" x14ac:dyDescent="0.25">
      <c r="B11" t="s">
        <v>203</v>
      </c>
      <c r="C11" s="23">
        <f>+Model!J94+Model!J91+Model!J92+Model!J97+SUM(Model!J100:J104)-SUM(Model!J124:J128)</f>
        <v>18537.2</v>
      </c>
      <c r="D11" s="23">
        <f>+Model!K94+Model!K91+Model!K92+Model!K97+SUM(Model!K100:K104)-SUM(Model!K124:K128)</f>
        <v>12065.699999999999</v>
      </c>
      <c r="E11" s="23">
        <f>+Model!L94+Model!L91+Model!L92+Model!L97+SUM(Model!L100:L104)-SUM(Model!L124:L128)</f>
        <v>14078.6</v>
      </c>
      <c r="F11" s="23">
        <f>+Model!M94+Model!M91+Model!M92+Model!M97+SUM(Model!M100:M104)-SUM(Model!M124:M128)</f>
        <v>14780.600000000002</v>
      </c>
      <c r="G11" s="23">
        <f>+Model!N94+Model!N91+Model!N92+Model!N97+SUM(Model!N100:N104)-SUM(Model!N124:N128)</f>
        <v>15492</v>
      </c>
      <c r="H11" s="23">
        <f>+Model!O94+Model!O91+Model!O92+Model!O97+SUM(Model!O100:O104)-SUM(Model!O124:O128)</f>
        <v>19028</v>
      </c>
      <c r="I11" s="23">
        <f>+Model!P94+Model!P91+Model!P92+Model!P97+SUM(Model!P100:P104)-SUM(Model!P124:P128)</f>
        <v>25400</v>
      </c>
      <c r="J11" s="23">
        <f>+Model!Q94+Model!Q91+Model!Q92+Model!Q97+SUM(Model!Q100:Q104)-SUM(Model!Q124:Q128)</f>
        <v>26138</v>
      </c>
      <c r="N11" s="23">
        <f t="shared" ref="N11:N18" si="5">+AVERAGE(C11:I11)</f>
        <v>17054.585714285717</v>
      </c>
      <c r="O11" s="23">
        <f t="shared" ref="O11:O18" si="6">+MEDIAN(C11:I11)</f>
        <v>15492</v>
      </c>
      <c r="Q11" s="84" t="s">
        <v>204</v>
      </c>
    </row>
    <row r="12" spans="1:20" x14ac:dyDescent="0.25">
      <c r="B12" t="s">
        <v>394</v>
      </c>
      <c r="C12" s="23">
        <f>+Model!J94+Model!J97+SUM(Model!J100:J104)-SUM(Model!J124:J128)</f>
        <v>3956.9999999999991</v>
      </c>
      <c r="D12" s="23">
        <f>+Model!K94+Model!K97+SUM(Model!K100:K104)-SUM(Model!K124:K128)</f>
        <v>2272.8999999999996</v>
      </c>
      <c r="E12" s="23">
        <f>+Model!L94+Model!L97+SUM(Model!L100:L104)-SUM(Model!L124:L128)</f>
        <v>4292.1999999999989</v>
      </c>
      <c r="F12" s="23">
        <f>+Model!M94+Model!M97+SUM(Model!M100:M104)-SUM(Model!M124:M128)</f>
        <v>5342.5999999999995</v>
      </c>
      <c r="G12" s="23">
        <f>+Model!N94+Model!N97+SUM(Model!N100:N104)-SUM(Model!N124:N128)</f>
        <v>5569</v>
      </c>
      <c r="H12" s="23">
        <f>+Model!O94+Model!O97+SUM(Model!O100:O104)-SUM(Model!O124:O128)</f>
        <v>7618</v>
      </c>
      <c r="I12" s="23">
        <f>+Model!P94+Model!P97+SUM(Model!P100:P104)-SUM(Model!P124:P128)</f>
        <v>10110</v>
      </c>
      <c r="J12" s="23">
        <f>+Model!Q94+Model!Q97+SUM(Model!Q100:Q104)-SUM(Model!Q124:Q128)</f>
        <v>10574</v>
      </c>
      <c r="N12" s="23">
        <f t="shared" si="5"/>
        <v>5594.528571428571</v>
      </c>
      <c r="O12" s="23">
        <f t="shared" si="6"/>
        <v>5342.5999999999995</v>
      </c>
      <c r="Q12" s="84"/>
    </row>
    <row r="13" spans="1:20" x14ac:dyDescent="0.25">
      <c r="B13" t="s">
        <v>205</v>
      </c>
      <c r="C13" s="23">
        <f>+C11+Model!J93+Model!J95+Model!J98+Model!J105</f>
        <v>20757.8</v>
      </c>
      <c r="D13" s="23">
        <f>+D11+Model!K93+Model!K95+Model!K98+Model!K105</f>
        <v>15930.3</v>
      </c>
      <c r="E13" s="23">
        <f>+E11+Model!L93+Model!L95+Model!L98+Model!L105</f>
        <v>21741.399999999998</v>
      </c>
      <c r="F13" s="23">
        <f>+F11+Model!M93+Model!M95+Model!M98+Model!M105</f>
        <v>22234.500000000004</v>
      </c>
      <c r="G13" s="23">
        <f>+G11+Model!N93+Model!N95+Model!N98+Model!N105</f>
        <v>25099</v>
      </c>
      <c r="H13" s="23">
        <f>+H11+Model!O93+Model!O95+Model!O98+Model!O105</f>
        <v>28350</v>
      </c>
      <c r="I13" s="23">
        <f>+I11+Model!P93+Model!P95+Model!P98+Model!P105</f>
        <v>36072</v>
      </c>
      <c r="J13" s="23">
        <f>+J11+Model!Q93+Model!Q95+Model!Q98+Model!Q105</f>
        <v>37060</v>
      </c>
      <c r="N13" s="23">
        <f t="shared" si="5"/>
        <v>24312.142857142859</v>
      </c>
      <c r="O13" s="23">
        <f t="shared" si="6"/>
        <v>22234.500000000004</v>
      </c>
      <c r="Q13" s="84" t="s">
        <v>206</v>
      </c>
    </row>
    <row r="14" spans="1:20" x14ac:dyDescent="0.25">
      <c r="B14" t="s">
        <v>207</v>
      </c>
      <c r="C14" s="23">
        <f>+Model!J56*(1-Model!J86)</f>
        <v>2240.8246133863699</v>
      </c>
      <c r="D14" s="23">
        <f>+Model!K56*(1-Model!K86)</f>
        <v>2969.9986682223043</v>
      </c>
      <c r="E14" s="23">
        <f>+Model!L56*(1-Model!L86)</f>
        <v>2407.4285003371861</v>
      </c>
      <c r="F14" s="23">
        <f>+Model!M56*(1-Model!M86)</f>
        <v>2330.1116049382713</v>
      </c>
      <c r="G14" s="23">
        <f>+Model!N56*(1-Model!N86)</f>
        <v>3597.0692307692311</v>
      </c>
      <c r="H14" s="23">
        <f>+Model!O56*(1-Model!O86)</f>
        <v>4043.4537487828629</v>
      </c>
      <c r="I14" s="23">
        <f>+Model!P56*(1-Model!P86)</f>
        <v>3442.0552799433021</v>
      </c>
      <c r="J14" s="23">
        <f>+Model!Q56*(1-Model!Q86)</f>
        <v>1860.5995288574795</v>
      </c>
      <c r="N14" s="23">
        <f t="shared" si="5"/>
        <v>3004.4202351970753</v>
      </c>
      <c r="O14" s="23">
        <f t="shared" si="6"/>
        <v>2969.9986682223043</v>
      </c>
      <c r="Q14" t="s">
        <v>208</v>
      </c>
    </row>
    <row r="15" spans="1:20" x14ac:dyDescent="0.25">
      <c r="B15" t="s">
        <v>209</v>
      </c>
      <c r="C15" s="23"/>
      <c r="D15" s="23">
        <f t="shared" ref="D15:H15" si="7">+D12-C12</f>
        <v>-1684.0999999999995</v>
      </c>
      <c r="E15" s="23">
        <f t="shared" si="7"/>
        <v>2019.2999999999993</v>
      </c>
      <c r="F15" s="23">
        <f t="shared" si="7"/>
        <v>1050.4000000000005</v>
      </c>
      <c r="G15" s="23">
        <f t="shared" si="7"/>
        <v>226.40000000000055</v>
      </c>
      <c r="H15" s="23">
        <f t="shared" si="7"/>
        <v>2049</v>
      </c>
      <c r="I15" s="23">
        <f>+I12-H12</f>
        <v>2492</v>
      </c>
      <c r="J15" s="23">
        <f>+J12-I12</f>
        <v>464</v>
      </c>
      <c r="N15" s="23">
        <f t="shared" si="5"/>
        <v>1025.5000000000002</v>
      </c>
      <c r="O15" s="23">
        <f t="shared" si="6"/>
        <v>1534.85</v>
      </c>
      <c r="Q15" s="84" t="s">
        <v>210</v>
      </c>
    </row>
    <row r="16" spans="1:20" x14ac:dyDescent="0.25">
      <c r="B16" t="s">
        <v>211</v>
      </c>
      <c r="C16" s="23"/>
      <c r="D16" s="23">
        <f>+D14-D15+Model!K136+Model!K137</f>
        <v>5139.3986682223031</v>
      </c>
      <c r="E16" s="23">
        <f>+E14-E15+Model!L136+Model!L137</f>
        <v>1241.0285003371869</v>
      </c>
      <c r="F16" s="23">
        <f>+F14-F15+Model!M136+Model!M137</f>
        <v>2435.9116049382706</v>
      </c>
      <c r="G16" s="23">
        <f>+G14-G15+Model!N136+Model!N137</f>
        <v>4841.6692307692301</v>
      </c>
      <c r="H16" s="23">
        <f>+H14-H15+Model!O136+Model!O137</f>
        <v>3326.4537487828629</v>
      </c>
      <c r="I16" s="23">
        <f>+I14-I15+Model!P136+Model!P137</f>
        <v>2867.0552799433021</v>
      </c>
      <c r="J16" s="23">
        <f>+J14-J15+Model!Q136+Model!Q137</f>
        <v>3566.5995288574795</v>
      </c>
      <c r="N16" s="23">
        <f t="shared" si="5"/>
        <v>3308.586172165526</v>
      </c>
      <c r="O16" s="23">
        <f t="shared" si="6"/>
        <v>3096.7545143630823</v>
      </c>
      <c r="Q16" s="84" t="s">
        <v>212</v>
      </c>
    </row>
    <row r="17" spans="1:17" x14ac:dyDescent="0.25">
      <c r="B17" t="s">
        <v>213</v>
      </c>
      <c r="C17" s="18">
        <f t="shared" ref="C17:H17" si="8">C15/C14</f>
        <v>0</v>
      </c>
      <c r="D17" s="18">
        <f t="shared" si="8"/>
        <v>-0.5670372913022278</v>
      </c>
      <c r="E17" s="18">
        <f t="shared" si="8"/>
        <v>0.83877880473591415</v>
      </c>
      <c r="F17" s="18">
        <f t="shared" si="8"/>
        <v>0.45079385801686844</v>
      </c>
      <c r="G17" s="18">
        <f t="shared" si="8"/>
        <v>6.2940128608974549E-2</v>
      </c>
      <c r="H17" s="18">
        <f t="shared" si="8"/>
        <v>0.50674500743746065</v>
      </c>
      <c r="I17" s="18">
        <f>I15/I14</f>
        <v>0.72398604825459068</v>
      </c>
      <c r="J17" s="18">
        <f>J15/J14</f>
        <v>0.24938198295950553</v>
      </c>
      <c r="N17" s="18">
        <f t="shared" si="5"/>
        <v>0.28802950796451154</v>
      </c>
      <c r="O17" s="18">
        <f t="shared" si="6"/>
        <v>0.45079385801686844</v>
      </c>
      <c r="Q17" s="84" t="s">
        <v>214</v>
      </c>
    </row>
    <row r="18" spans="1:17" x14ac:dyDescent="0.25">
      <c r="B18" t="s">
        <v>215</v>
      </c>
      <c r="C18" s="23"/>
      <c r="D18" s="23"/>
      <c r="E18" s="115">
        <f>+E11*(E24-DCF!$O$18)</f>
        <v>1396.1000562797328</v>
      </c>
      <c r="F18" s="115">
        <f>+F11*(F24-DCF!$O$18)</f>
        <v>1130.4405664987669</v>
      </c>
      <c r="G18" s="115">
        <f>+G11*(G24-DCF!$O$18)</f>
        <v>2364.7796328744093</v>
      </c>
      <c r="H18" s="115">
        <f>+H11*(H24-DCF!$O$18)</f>
        <v>2840.2583506280603</v>
      </c>
      <c r="I18" s="115">
        <f>+I11*(I24-DCF!$O$18)</f>
        <v>1776.7254033744427</v>
      </c>
      <c r="J18" s="115">
        <f>+J11*(J24-DCF!$O$18)</f>
        <v>-334.48755810171912</v>
      </c>
      <c r="N18" s="23">
        <f t="shared" si="5"/>
        <v>1901.6608019310825</v>
      </c>
      <c r="O18" s="23">
        <f t="shared" si="6"/>
        <v>1776.7254033744427</v>
      </c>
      <c r="Q18" s="84" t="s">
        <v>216</v>
      </c>
    </row>
    <row r="19" spans="1:17" x14ac:dyDescent="0.25">
      <c r="C19" s="23"/>
      <c r="D19" s="23"/>
      <c r="E19" s="23"/>
      <c r="F19" s="23"/>
      <c r="G19" s="23"/>
      <c r="H19" s="23"/>
      <c r="I19" s="23"/>
    </row>
    <row r="20" spans="1:17" x14ac:dyDescent="0.25">
      <c r="A20" s="27" t="s">
        <v>52</v>
      </c>
      <c r="B20" s="2" t="s">
        <v>217</v>
      </c>
    </row>
    <row r="21" spans="1:17" x14ac:dyDescent="0.25">
      <c r="B21" t="s">
        <v>218</v>
      </c>
      <c r="C21" s="85">
        <f>+Model!J44/Model!J131</f>
        <v>0.60513187423272108</v>
      </c>
      <c r="D21" s="85">
        <f>+Model!K44/Model!K131</f>
        <v>0.63953199953199957</v>
      </c>
      <c r="E21" s="85">
        <f>+Model!L44/Model!L131</f>
        <v>0.58506641324286701</v>
      </c>
      <c r="F21" s="85">
        <f>+Model!M44/Model!M131</f>
        <v>0.46777407214322947</v>
      </c>
      <c r="G21" s="85">
        <f>+Model!N44/Model!N131</f>
        <v>0.56794772756534051</v>
      </c>
      <c r="H21" s="85">
        <f>+Model!O44/Model!O131</f>
        <v>0.59959930467576084</v>
      </c>
      <c r="I21" s="85">
        <f>+Model!P44/Model!P131</f>
        <v>0.4729857132496918</v>
      </c>
      <c r="J21" s="85">
        <f>+Model!Q44/Model!Q131</f>
        <v>0.39666866608222212</v>
      </c>
      <c r="N21" s="89">
        <f t="shared" ref="N21" si="9">+AVERAGE(C21:I21)</f>
        <v>0.56257672923451574</v>
      </c>
      <c r="O21" s="89">
        <f t="shared" ref="O21" si="10">+MEDIAN(C21:I21)</f>
        <v>0.58506641324286701</v>
      </c>
      <c r="Q21" s="84" t="s">
        <v>219</v>
      </c>
    </row>
    <row r="22" spans="1:17" x14ac:dyDescent="0.25">
      <c r="B22" t="s">
        <v>220</v>
      </c>
      <c r="C22" s="18"/>
      <c r="D22" s="18">
        <f>+Model!K66/AVERAGE(Model!J110:K110)</f>
        <v>0.33997281974549404</v>
      </c>
      <c r="E22" s="18">
        <f>+Model!L66/AVERAGE(Model!K110:L110)</f>
        <v>0.22875544986127633</v>
      </c>
      <c r="F22" s="18">
        <f>+Model!M66/AVERAGE(Model!L110:M110)</f>
        <v>0.19461514095660437</v>
      </c>
      <c r="G22" s="18">
        <f>+Model!N66/AVERAGE(Model!M110:N110)</f>
        <v>0.25236908919695328</v>
      </c>
      <c r="H22" s="18">
        <f>+Model!O66/AVERAGE(Model!N110:O110)</f>
        <v>0.26432620223075515</v>
      </c>
      <c r="I22" s="18">
        <f>+Model!P66/AVERAGE(Model!O110:P110)</f>
        <v>0.20424512153372132</v>
      </c>
      <c r="J22" s="18">
        <f>+Model!Q66/AVERAGE(Model!P110:Q110)</f>
        <v>7.5242396068535E-2</v>
      </c>
      <c r="N22" s="18">
        <f>+AVERAGE(D22:I22)</f>
        <v>0.24738063725413406</v>
      </c>
      <c r="O22" s="18">
        <f>+MEDIAN(D22:I22)</f>
        <v>0.2405622695291148</v>
      </c>
      <c r="Q22" s="84" t="s">
        <v>221</v>
      </c>
    </row>
    <row r="23" spans="1:17" x14ac:dyDescent="0.25">
      <c r="B23" t="s">
        <v>222</v>
      </c>
      <c r="D23" s="18">
        <f>+Model!K58/AVERAGE(Ratios!C10:D10)</f>
        <v>0.24394704669631831</v>
      </c>
      <c r="E23" s="18">
        <f>+Model!L58/AVERAGE(Ratios!D10:E10)</f>
        <v>0.29602943726279696</v>
      </c>
      <c r="F23" s="18">
        <f>+Model!M58/AVERAGE(Ratios!E10:F10)</f>
        <v>0.17518131866672687</v>
      </c>
      <c r="G23" s="18">
        <f>+Model!N58/AVERAGE(Ratios!F10:G10)</f>
        <v>0.25418878962261149</v>
      </c>
      <c r="H23" s="18">
        <f>+Model!O58/AVERAGE(Ratios!G10:H10)</f>
        <v>0.26799463513983407</v>
      </c>
      <c r="I23" s="18">
        <f>+Model!P58/AVERAGE(Ratios!H10:I10)</f>
        <v>0.18067553895244767</v>
      </c>
      <c r="J23" s="18">
        <f>+Model!Q58/AVERAGE(Ratios!I10:J10)</f>
        <v>7.6446178517698013E-2</v>
      </c>
      <c r="N23" s="18">
        <f t="shared" ref="N23:N32" si="11">+AVERAGE(D23:I23)</f>
        <v>0.23633612772345589</v>
      </c>
      <c r="O23" s="18">
        <f t="shared" ref="O23:O32" si="12">+MEDIAN(D23:I23)</f>
        <v>0.24906791815946488</v>
      </c>
      <c r="Q23" s="84" t="s">
        <v>223</v>
      </c>
    </row>
    <row r="24" spans="1:17" x14ac:dyDescent="0.25">
      <c r="B24" t="s">
        <v>224</v>
      </c>
      <c r="D24" s="18">
        <f t="shared" ref="D24:H24" si="13">+D14/AVERAGE(C11:D11)</f>
        <v>0.19409916499562488</v>
      </c>
      <c r="E24" s="18">
        <f t="shared" si="13"/>
        <v>0.18416469366838556</v>
      </c>
      <c r="F24" s="18">
        <f t="shared" si="13"/>
        <v>0.16148137196722506</v>
      </c>
      <c r="G24" s="18">
        <f t="shared" si="13"/>
        <v>0.23764521255321516</v>
      </c>
      <c r="H24" s="18">
        <f t="shared" si="13"/>
        <v>0.23426730873597121</v>
      </c>
      <c r="I24" s="18">
        <f>+I14/AVERAGE(H11:I11)</f>
        <v>0.15494981903048988</v>
      </c>
      <c r="J24" s="18">
        <f>+J14/AVERAGE(I11:J11)</f>
        <v>7.2203016370735368E-2</v>
      </c>
      <c r="N24" s="18">
        <f t="shared" si="11"/>
        <v>0.1944345951584853</v>
      </c>
      <c r="O24" s="18">
        <f t="shared" si="12"/>
        <v>0.18913192933200523</v>
      </c>
      <c r="Q24" s="84" t="s">
        <v>225</v>
      </c>
    </row>
    <row r="25" spans="1:17" x14ac:dyDescent="0.25">
      <c r="B25" t="s">
        <v>226</v>
      </c>
      <c r="D25" s="18">
        <f t="shared" ref="D25:H25" si="14">+D14/AVERAGE(C12:D12)</f>
        <v>0.95346592023059917</v>
      </c>
      <c r="E25" s="18">
        <f t="shared" si="14"/>
        <v>0.73340192848157271</v>
      </c>
      <c r="F25" s="18">
        <f t="shared" si="14"/>
        <v>0.48368655393744997</v>
      </c>
      <c r="G25" s="18">
        <f t="shared" si="14"/>
        <v>0.65931105076601626</v>
      </c>
      <c r="H25" s="18">
        <f t="shared" si="14"/>
        <v>0.61324846421215784</v>
      </c>
      <c r="I25" s="18">
        <f>+I14/AVERAGE(H12:I12)</f>
        <v>0.38831851082392849</v>
      </c>
      <c r="J25" s="18">
        <f>+J14/AVERAGE(I12:J12)</f>
        <v>0.17990712907150255</v>
      </c>
      <c r="N25" s="18">
        <f t="shared" si="11"/>
        <v>0.63857207140862082</v>
      </c>
      <c r="O25" s="18">
        <f t="shared" si="12"/>
        <v>0.63627975748908705</v>
      </c>
      <c r="Q25" s="84" t="s">
        <v>227</v>
      </c>
    </row>
    <row r="26" spans="1:17" x14ac:dyDescent="0.25">
      <c r="B26" t="s">
        <v>228</v>
      </c>
      <c r="N26" s="18"/>
      <c r="O26" s="18"/>
      <c r="Q26" s="84" t="s">
        <v>229</v>
      </c>
    </row>
    <row r="28" spans="1:17" x14ac:dyDescent="0.25">
      <c r="B28" t="s">
        <v>230</v>
      </c>
      <c r="C28" s="18"/>
      <c r="D28" s="18">
        <f>1-(-Model!K150)/Model!K66</f>
        <v>0.78992705052625911</v>
      </c>
      <c r="E28" s="18">
        <f>1-(-Model!L150)/Model!L66</f>
        <v>0.4186953131768173</v>
      </c>
      <c r="F28" s="18">
        <f>1-(-Model!M150)/Model!M66</f>
        <v>0.53059895833333337</v>
      </c>
      <c r="G28" s="18">
        <f>1-(-Model!N150)/Model!N66</f>
        <v>0.67724667800239313</v>
      </c>
      <c r="H28" s="18">
        <f>1-(-Model!O150)/Model!O66</f>
        <v>0.57719977863862759</v>
      </c>
      <c r="I28" s="18">
        <f>1-(-Model!P150)/Model!P66</f>
        <v>0.41200134093194773</v>
      </c>
      <c r="J28" s="18">
        <f>1-(-Model!Q150)/Model!Q66</f>
        <v>-0.53574580759046775</v>
      </c>
      <c r="N28" s="18">
        <f t="shared" si="11"/>
        <v>0.56761151993489634</v>
      </c>
      <c r="O28" s="18">
        <f t="shared" si="12"/>
        <v>0.55389936848598054</v>
      </c>
      <c r="Q28" s="84" t="s">
        <v>231</v>
      </c>
    </row>
    <row r="29" spans="1:17" x14ac:dyDescent="0.25">
      <c r="B29" t="s">
        <v>232</v>
      </c>
      <c r="C29" s="18"/>
      <c r="D29" s="18">
        <f>-(Model!K141+Model!K144)/Ratios!D14</f>
        <v>0.29441090642756851</v>
      </c>
      <c r="E29" s="18">
        <f>-(Model!L141+Model!L144)/Ratios!E14</f>
        <v>0.6280975737340545</v>
      </c>
      <c r="F29" s="18">
        <f>-(Model!M141+Model!M144)/Ratios!F14</f>
        <v>0.31740968906062045</v>
      </c>
      <c r="G29" s="18">
        <f>-(Model!N141+Model!N144)/Ratios!G14</f>
        <v>0.26855196217433419</v>
      </c>
      <c r="H29" s="18">
        <f>-(Model!O141+Model!O144)/Ratios!H14</f>
        <v>0.48770188124288549</v>
      </c>
      <c r="I29" s="18">
        <f>-(Model!P141+Model!P144)/Ratios!I14</f>
        <v>0.83438520489052337</v>
      </c>
      <c r="J29" s="18">
        <f>-(Model!Q141+Model!Q144)/Ratios!J14</f>
        <v>1.4027736541472187</v>
      </c>
      <c r="N29" s="18">
        <f t="shared" si="11"/>
        <v>0.47175953625499778</v>
      </c>
      <c r="O29" s="18">
        <f t="shared" si="12"/>
        <v>0.40255578515175294</v>
      </c>
      <c r="Q29" s="84" t="s">
        <v>233</v>
      </c>
    </row>
    <row r="30" spans="1:17" x14ac:dyDescent="0.25">
      <c r="B30" t="s">
        <v>234</v>
      </c>
      <c r="D30" s="18">
        <f t="shared" ref="D30:H30" si="15">+D28*D22</f>
        <v>0.26855372676065364</v>
      </c>
      <c r="E30" s="18">
        <f t="shared" si="15"/>
        <v>9.5778834720570818E-2</v>
      </c>
      <c r="F30" s="18">
        <f t="shared" si="15"/>
        <v>0.10326259106746913</v>
      </c>
      <c r="G30" s="18">
        <f t="shared" si="15"/>
        <v>0.17091612728912625</v>
      </c>
      <c r="H30" s="18">
        <f t="shared" si="15"/>
        <v>0.15256902541598097</v>
      </c>
      <c r="I30" s="18">
        <f>+I28*I22</f>
        <v>8.4149263950701811E-2</v>
      </c>
      <c r="J30" s="18">
        <f>+J28*J22</f>
        <v>-4.031079824677912E-2</v>
      </c>
      <c r="N30" s="18">
        <f t="shared" si="11"/>
        <v>0.1458715948674171</v>
      </c>
      <c r="O30" s="18">
        <f t="shared" si="12"/>
        <v>0.12791580824172505</v>
      </c>
      <c r="Q30" s="84" t="s">
        <v>235</v>
      </c>
    </row>
    <row r="31" spans="1:17" x14ac:dyDescent="0.25">
      <c r="B31" t="s">
        <v>236</v>
      </c>
      <c r="D31" s="18">
        <f t="shared" ref="D31:H31" si="16">+D29*D24</f>
        <v>5.7144911103196097E-2</v>
      </c>
      <c r="E31" s="18">
        <f t="shared" si="16"/>
        <v>0.11567339726058835</v>
      </c>
      <c r="F31" s="18">
        <f t="shared" si="16"/>
        <v>5.1255752065199299E-2</v>
      </c>
      <c r="G31" s="18">
        <f t="shared" si="16"/>
        <v>6.3820088132502645E-2</v>
      </c>
      <c r="H31" s="18">
        <f t="shared" si="16"/>
        <v>0.11425260718424102</v>
      </c>
      <c r="I31" s="18">
        <f>+I29*I24</f>
        <v>0.12928783649950482</v>
      </c>
      <c r="J31" s="18">
        <f>+J29*J24</f>
        <v>0.1012844891148279</v>
      </c>
      <c r="N31" s="18">
        <f t="shared" si="11"/>
        <v>8.8572432040872048E-2</v>
      </c>
      <c r="O31" s="18">
        <f t="shared" si="12"/>
        <v>8.9036347658371831E-2</v>
      </c>
      <c r="Q31" s="84" t="s">
        <v>237</v>
      </c>
    </row>
    <row r="32" spans="1:17" x14ac:dyDescent="0.25">
      <c r="B32" t="s">
        <v>396</v>
      </c>
      <c r="D32" s="18">
        <f t="shared" ref="D32:H32" si="17">+D29*D25</f>
        <v>0.28071076582288645</v>
      </c>
      <c r="E32" s="18">
        <f t="shared" si="17"/>
        <v>0.46064797185115236</v>
      </c>
      <c r="F32" s="18">
        <f t="shared" si="17"/>
        <v>0.15352679868808902</v>
      </c>
      <c r="G32" s="18">
        <f t="shared" si="17"/>
        <v>0.17705927636643573</v>
      </c>
      <c r="H32" s="18">
        <f t="shared" si="17"/>
        <v>0.29908242966557974</v>
      </c>
      <c r="I32" s="18">
        <f>+I29*I25</f>
        <v>0.3240072202166065</v>
      </c>
      <c r="J32" s="18">
        <f>+J29*J25</f>
        <v>0.25236898085476694</v>
      </c>
      <c r="N32" s="18">
        <f t="shared" si="11"/>
        <v>0.28250574376845827</v>
      </c>
      <c r="O32" s="18">
        <f t="shared" si="12"/>
        <v>0.2898965977442331</v>
      </c>
      <c r="Q32" s="84"/>
    </row>
    <row r="34" spans="1:17" x14ac:dyDescent="0.25">
      <c r="A34" s="27" t="s">
        <v>52</v>
      </c>
      <c r="B34" s="2" t="s">
        <v>238</v>
      </c>
    </row>
    <row r="35" spans="1:17" x14ac:dyDescent="0.25">
      <c r="B35" t="s">
        <v>239</v>
      </c>
      <c r="C35" s="18">
        <f>+Model!J112/SUM(Model!J121,Model!J123,Model!J113,Model!J115)</f>
        <v>2.2738798444028241</v>
      </c>
      <c r="D35" s="18">
        <f>+Model!K112/SUM(Model!K121,Model!K123,Model!K113,Model!K115)</f>
        <v>2.2452914397929127</v>
      </c>
      <c r="E35" s="18">
        <f>+Model!L112/SUM(Model!L121,Model!L123,Model!L113,Model!L115)</f>
        <v>1.8478014586136093</v>
      </c>
      <c r="F35" s="18">
        <f>+Model!M112/SUM(Model!M121,Model!M123,Model!M113,Model!M115)</f>
        <v>2.0025958034510873</v>
      </c>
      <c r="G35" s="18">
        <f>+Model!N112/SUM(Model!N121,Model!N123,Model!N113,Model!N115)</f>
        <v>2.2295081967213113</v>
      </c>
      <c r="H35" s="18">
        <f>+Model!O112/SUM(Model!O121,Model!O123,Model!O113,Model!O115)</f>
        <v>2.0236824093086927</v>
      </c>
      <c r="I35" s="18">
        <f>+Model!P112/SUM(Model!P121,Model!P123,Model!P113,Model!P115)</f>
        <v>1.2289859522530129</v>
      </c>
      <c r="J35" s="18">
        <f>+Model!Q112/SUM(Model!Q121,Model!Q123,Model!Q113,Model!Q115)</f>
        <v>1.0930442637759712</v>
      </c>
      <c r="N35" s="22">
        <f>+AVERAGE(C35:I35)</f>
        <v>1.9788207292204931</v>
      </c>
      <c r="O35" s="22">
        <f>+MEDIAN(C35:I35)</f>
        <v>2.0236824093086927</v>
      </c>
      <c r="Q35" s="84" t="s">
        <v>240</v>
      </c>
    </row>
    <row r="36" spans="1:17" x14ac:dyDescent="0.25">
      <c r="B36" t="s">
        <v>241</v>
      </c>
      <c r="C36" s="18">
        <f>+C6/Model!J112</f>
        <v>0.25823671038459101</v>
      </c>
      <c r="D36" s="18">
        <f>+D6/Model!K112</f>
        <v>0.16544088415361372</v>
      </c>
      <c r="E36" s="18">
        <f>+E6/Model!L112</f>
        <v>0.31793535531584693</v>
      </c>
      <c r="F36" s="18">
        <f>+F6/Model!M112</f>
        <v>0.20009970918155387</v>
      </c>
      <c r="G36" s="18">
        <f>+G6/Model!N112</f>
        <v>6.3410017472335475E-2</v>
      </c>
      <c r="H36" s="18">
        <f>+H6/Model!O112</f>
        <v>0.18954204153419468</v>
      </c>
      <c r="I36" s="18">
        <f>+I6/Model!P112</f>
        <v>0.56021236727045598</v>
      </c>
      <c r="J36" s="18">
        <f>+J6/Model!Q112</f>
        <v>0.66859504132231407</v>
      </c>
      <c r="N36" s="22">
        <f t="shared" ref="N36:N39" si="18">+AVERAGE(C36:I36)</f>
        <v>0.25069672647322738</v>
      </c>
      <c r="O36" s="22">
        <f t="shared" ref="O36:O39" si="19">+MEDIAN(C36:I36)</f>
        <v>0.20009970918155387</v>
      </c>
      <c r="Q36" s="84" t="s">
        <v>242</v>
      </c>
    </row>
    <row r="37" spans="1:17" x14ac:dyDescent="0.25">
      <c r="B37" t="s">
        <v>243</v>
      </c>
      <c r="C37" s="18">
        <f>+Model!J58/(-Model!J59)</f>
        <v>11.155399835119539</v>
      </c>
      <c r="D37" s="18">
        <f>+Model!K58/(-Model!K59)</f>
        <v>17.951760733236853</v>
      </c>
      <c r="E37" s="18">
        <f>+Model!L58/(-Model!L59)</f>
        <v>14.894345718901455</v>
      </c>
      <c r="F37" s="18">
        <f>+Model!M58/(-Model!M59)</f>
        <v>9.6523266022827041</v>
      </c>
      <c r="G37" s="18">
        <f>+Model!N58/(-Model!N59)</f>
        <v>17.571428571428573</v>
      </c>
      <c r="H37" s="18">
        <f>+Model!O58/(-Model!O59)</f>
        <v>20.75</v>
      </c>
      <c r="I37" s="18">
        <f>+Model!P58/(-Model!P59)</f>
        <v>11.324390243902439</v>
      </c>
      <c r="J37" s="18">
        <f>+Model!Q58/(-Model!Q59)</f>
        <v>3.765472312703583</v>
      </c>
      <c r="N37" s="22">
        <f t="shared" si="18"/>
        <v>14.757093100695938</v>
      </c>
      <c r="O37" s="22">
        <f t="shared" si="19"/>
        <v>14.894345718901455</v>
      </c>
      <c r="Q37" s="84" t="s">
        <v>244</v>
      </c>
    </row>
    <row r="38" spans="1:17" x14ac:dyDescent="0.25">
      <c r="B38" t="s">
        <v>245</v>
      </c>
      <c r="C38" s="18">
        <f>+C6/(Model!J58+Model!J136)</f>
        <v>1.0389370379811369</v>
      </c>
      <c r="D38" s="18">
        <f>+D6/(Model!K58+Model!K136)</f>
        <v>0.39508223957468014</v>
      </c>
      <c r="E38" s="18">
        <f>+E6/(Model!L58+Model!L136)</f>
        <v>0.56682208672780987</v>
      </c>
      <c r="F38" s="18">
        <f>+F6/(Model!M58+Model!M136)</f>
        <v>0.50835936840327633</v>
      </c>
      <c r="G38" s="18">
        <f>+G6/(Model!N58+Model!N136)</f>
        <v>0.13936000000000001</v>
      </c>
      <c r="H38" s="18">
        <f>+H6/(Model!O58+Model!O136)</f>
        <v>0.39682764480951704</v>
      </c>
      <c r="I38" s="18">
        <f>+I6/(Model!P58+Model!P136)</f>
        <v>1.3871017630683575</v>
      </c>
      <c r="J38" s="18">
        <f>+J6/(Model!Q58+Model!Q136)</f>
        <v>2.3767231638418078</v>
      </c>
      <c r="K38" s="22"/>
      <c r="L38" s="22"/>
      <c r="N38" s="22">
        <f t="shared" si="18"/>
        <v>0.63321287722353969</v>
      </c>
      <c r="O38" s="22">
        <f t="shared" si="19"/>
        <v>0.50835936840327633</v>
      </c>
      <c r="Q38" s="84" t="s">
        <v>246</v>
      </c>
    </row>
    <row r="39" spans="1:17" x14ac:dyDescent="0.25">
      <c r="B39" t="s">
        <v>247</v>
      </c>
      <c r="C39" s="16">
        <v>0</v>
      </c>
      <c r="D39" s="16">
        <v>0</v>
      </c>
      <c r="E39" s="16">
        <v>0</v>
      </c>
      <c r="F39" s="16">
        <v>0</v>
      </c>
      <c r="G39" s="16">
        <v>0</v>
      </c>
      <c r="H39" s="16">
        <v>0</v>
      </c>
      <c r="I39" s="16">
        <v>0</v>
      </c>
      <c r="J39" s="16">
        <v>0</v>
      </c>
      <c r="K39" s="22"/>
      <c r="L39" s="22"/>
      <c r="N39" s="22">
        <f t="shared" si="18"/>
        <v>0</v>
      </c>
      <c r="O39" s="22">
        <f t="shared" si="19"/>
        <v>0</v>
      </c>
      <c r="Q39" s="84" t="s">
        <v>248</v>
      </c>
    </row>
    <row r="41" spans="1:17" x14ac:dyDescent="0.25">
      <c r="A41" s="27" t="s">
        <v>52</v>
      </c>
      <c r="B41" s="2" t="s">
        <v>249</v>
      </c>
    </row>
    <row r="42" spans="1:17" x14ac:dyDescent="0.25">
      <c r="B42" t="s">
        <v>250</v>
      </c>
      <c r="C42" s="85">
        <f>+Model!J101/Model!J44*360</f>
        <v>31.783792165502621</v>
      </c>
      <c r="D42" s="85">
        <f>+Model!K101/Model!K44*360</f>
        <v>22.379474870473903</v>
      </c>
      <c r="E42" s="85">
        <f>+Model!L101/Model!L44*360</f>
        <v>22.57436962886014</v>
      </c>
      <c r="F42" s="85">
        <f>+Model!M101/Model!M44*360</f>
        <v>22.649425199615273</v>
      </c>
      <c r="G42" s="85">
        <f>+Model!N101/Model!N44*360</f>
        <v>19.933125531311987</v>
      </c>
      <c r="H42" s="85">
        <f>+Model!O101/Model!O44*360</f>
        <v>20.873667141663802</v>
      </c>
      <c r="I42" s="85">
        <f>+Model!P101/Model!P44*360</f>
        <v>21.177552897884084</v>
      </c>
      <c r="J42" s="85">
        <f>+Model!Q101/Model!Q44*360</f>
        <v>21.000348958939163</v>
      </c>
      <c r="K42" s="85"/>
      <c r="L42" s="85"/>
      <c r="N42" s="85">
        <f>+AVERAGE(C42:I42)</f>
        <v>23.053058205044547</v>
      </c>
      <c r="O42" s="85">
        <f>+MEDIAN(C42:I42)</f>
        <v>22.379474870473903</v>
      </c>
      <c r="Q42" s="84" t="s">
        <v>251</v>
      </c>
    </row>
    <row r="43" spans="1:17" x14ac:dyDescent="0.25">
      <c r="B43" t="s">
        <v>252</v>
      </c>
      <c r="C43" s="85">
        <f>+Model!J124/Model!J44*360</f>
        <v>28.857776026153758</v>
      </c>
      <c r="D43" s="85">
        <f>+Model!K124/Model!K44*360</f>
        <v>19.64757193454907</v>
      </c>
      <c r="E43" s="85">
        <f>+Model!L124/Model!L44*360</f>
        <v>18.329209557087545</v>
      </c>
      <c r="F43" s="85">
        <f>+Model!M124/Model!M44*360</f>
        <v>18.302010656325859</v>
      </c>
      <c r="G43" s="85">
        <f>+Model!N124/Model!N44*360</f>
        <v>35.540946443751771</v>
      </c>
      <c r="H43" s="85">
        <f>+Model!O124/Model!O44*360</f>
        <v>40.031448086089135</v>
      </c>
      <c r="I43" s="85">
        <f>+Model!P124/Model!P44*360</f>
        <v>40.478380864765406</v>
      </c>
      <c r="J43" s="85">
        <f>+Model!Q124/Model!Q44*360</f>
        <v>43.926951262068165</v>
      </c>
      <c r="K43" s="85"/>
      <c r="L43" s="85"/>
      <c r="N43" s="85">
        <f t="shared" ref="N43:N47" si="20">+AVERAGE(C43:I43)</f>
        <v>28.741049081246079</v>
      </c>
      <c r="O43" s="85">
        <f t="shared" ref="O43:O47" si="21">+MEDIAN(C43:I43)</f>
        <v>28.857776026153758</v>
      </c>
      <c r="Q43" s="84" t="s">
        <v>253</v>
      </c>
    </row>
    <row r="44" spans="1:17" x14ac:dyDescent="0.25">
      <c r="B44" t="s">
        <v>254</v>
      </c>
      <c r="C44" s="18">
        <f>+Model!J100/Model!J108</f>
        <v>0.10552675408759296</v>
      </c>
      <c r="D44" s="18">
        <f>+Model!K100/Model!K108</f>
        <v>0.113008073008073</v>
      </c>
      <c r="E44" s="18">
        <f>+Model!L100/Model!L108</f>
        <v>0.10900170177028312</v>
      </c>
      <c r="F44" s="18">
        <f>+Model!M100/Model!M108</f>
        <v>0.10160540467195611</v>
      </c>
      <c r="G44" s="18">
        <f>+Model!N100/Model!N108</f>
        <v>0.10843955195056006</v>
      </c>
      <c r="H44" s="18">
        <f>+Model!O100/Model!O108</f>
        <v>0.13155181049468195</v>
      </c>
      <c r="I44" s="18">
        <f>+Model!P100/Model!P108</f>
        <v>0.10999105567239587</v>
      </c>
      <c r="J44" s="18">
        <f>+Model!Q100/Model!Q108</f>
        <v>9.2096156508097632E-2</v>
      </c>
      <c r="N44" s="22">
        <f t="shared" si="20"/>
        <v>0.11130347880793474</v>
      </c>
      <c r="O44" s="22">
        <f t="shared" si="21"/>
        <v>0.10900170177028312</v>
      </c>
      <c r="Q44" s="84" t="s">
        <v>255</v>
      </c>
    </row>
    <row r="45" spans="1:17" x14ac:dyDescent="0.25">
      <c r="B45" t="s">
        <v>256</v>
      </c>
      <c r="C45" s="85">
        <f>+Model!J45/Model!J100</f>
        <v>1.9801785780445333</v>
      </c>
      <c r="D45" s="85">
        <f>+Model!K45/Model!K100</f>
        <v>1.4357891249430572</v>
      </c>
      <c r="E45" s="85">
        <f>+Model!L45/Model!L100</f>
        <v>1.3883819951338201</v>
      </c>
      <c r="F45" s="85">
        <f>+Model!M45/Model!M100</f>
        <v>1.2618520470918995</v>
      </c>
      <c r="G45" s="85">
        <f>+Model!N45/Model!N100</f>
        <v>1.3585633719204511</v>
      </c>
      <c r="H45" s="85">
        <f>+Model!O45/Model!O100</f>
        <v>1.1540873460246361</v>
      </c>
      <c r="I45" s="85">
        <f>+Model!P45/Model!P100</f>
        <v>1.0195604395604396</v>
      </c>
      <c r="J45" s="85">
        <f>+Model!Q45/Model!Q100</f>
        <v>1.1305110220440882</v>
      </c>
      <c r="N45" s="85">
        <f t="shared" si="20"/>
        <v>1.3712018432455484</v>
      </c>
      <c r="O45" s="85">
        <f t="shared" si="21"/>
        <v>1.3585633719204511</v>
      </c>
      <c r="Q45" s="84" t="s">
        <v>257</v>
      </c>
    </row>
    <row r="46" spans="1:17" x14ac:dyDescent="0.25">
      <c r="B46" t="s">
        <v>258</v>
      </c>
      <c r="C46" s="83">
        <f t="shared" ref="C46:H46" si="22">360/C45</f>
        <v>181.80178494583419</v>
      </c>
      <c r="D46" s="83">
        <f t="shared" si="22"/>
        <v>250.73319873089125</v>
      </c>
      <c r="E46" s="83">
        <f t="shared" si="22"/>
        <v>259.29463307776558</v>
      </c>
      <c r="F46" s="83">
        <f t="shared" si="22"/>
        <v>285.29493677936836</v>
      </c>
      <c r="G46" s="83">
        <f t="shared" si="22"/>
        <v>264.98579855800745</v>
      </c>
      <c r="H46" s="83">
        <f t="shared" si="22"/>
        <v>311.93479526489421</v>
      </c>
      <c r="I46" s="83">
        <f>360/I45</f>
        <v>353.09333908169862</v>
      </c>
      <c r="J46" s="83">
        <f>360/J45</f>
        <v>318.44006204298694</v>
      </c>
      <c r="N46" s="85">
        <f t="shared" si="20"/>
        <v>272.44835520549424</v>
      </c>
      <c r="O46" s="85">
        <f t="shared" si="21"/>
        <v>264.98579855800745</v>
      </c>
      <c r="Q46" s="84" t="s">
        <v>259</v>
      </c>
    </row>
    <row r="47" spans="1:17" x14ac:dyDescent="0.25">
      <c r="B47" t="s">
        <v>260</v>
      </c>
      <c r="C47" s="83">
        <f t="shared" ref="C47:H47" si="23">+C46+C42-C43</f>
        <v>184.72780108518305</v>
      </c>
      <c r="D47" s="83">
        <f t="shared" si="23"/>
        <v>253.46510166681608</v>
      </c>
      <c r="E47" s="83">
        <f t="shared" si="23"/>
        <v>263.53979314953818</v>
      </c>
      <c r="F47" s="83">
        <f t="shared" si="23"/>
        <v>289.64235132265776</v>
      </c>
      <c r="G47" s="83">
        <f t="shared" si="23"/>
        <v>249.37797764556765</v>
      </c>
      <c r="H47" s="83">
        <f t="shared" si="23"/>
        <v>292.77701432046888</v>
      </c>
      <c r="I47" s="83">
        <f>+I46+I42-I43</f>
        <v>333.79251111481727</v>
      </c>
      <c r="J47" s="83">
        <f>+J46+J42-J43</f>
        <v>295.51345973985798</v>
      </c>
      <c r="N47" s="85">
        <f t="shared" si="20"/>
        <v>266.76036432929266</v>
      </c>
      <c r="O47" s="85">
        <f t="shared" si="21"/>
        <v>263.53979314953818</v>
      </c>
      <c r="Q47" s="84" t="s">
        <v>261</v>
      </c>
    </row>
    <row r="49" spans="1:17" x14ac:dyDescent="0.25">
      <c r="A49" s="27" t="s">
        <v>52</v>
      </c>
      <c r="B49" s="2" t="s">
        <v>262</v>
      </c>
    </row>
    <row r="50" spans="1:17" x14ac:dyDescent="0.25">
      <c r="B50" s="2" t="s">
        <v>263</v>
      </c>
      <c r="C50" s="13"/>
      <c r="D50" s="13"/>
      <c r="E50" s="13"/>
      <c r="F50" s="13"/>
      <c r="G50" s="13"/>
      <c r="H50" s="13"/>
      <c r="I50" s="13"/>
    </row>
    <row r="51" spans="1:17" x14ac:dyDescent="0.25">
      <c r="B51" t="s">
        <v>264</v>
      </c>
      <c r="C51" s="85">
        <f>+C5/Model!J66</f>
        <v>25.709376029200261</v>
      </c>
      <c r="D51" s="85">
        <f>+D5/Model!K66</f>
        <v>13.589377918759592</v>
      </c>
      <c r="E51" s="85">
        <f>+E5/Model!L66</f>
        <v>31.839481610586493</v>
      </c>
      <c r="F51" s="85">
        <f>+F5/Model!M66</f>
        <v>34.177140283435634</v>
      </c>
      <c r="G51" s="85">
        <f>+G5/Model!N66</f>
        <v>27.731213997134578</v>
      </c>
      <c r="H51" s="85">
        <f>+H5/Model!O66</f>
        <v>16.254512008854455</v>
      </c>
      <c r="I51" s="85">
        <f>+I5/Model!P66</f>
        <v>16.409933707475695</v>
      </c>
      <c r="J51" s="85">
        <f>+J5/Model!Q66</f>
        <v>24.906387817652249</v>
      </c>
      <c r="K51" s="85"/>
      <c r="L51" s="85"/>
      <c r="Q51" s="84" t="s">
        <v>265</v>
      </c>
    </row>
    <row r="52" spans="1:17" x14ac:dyDescent="0.25">
      <c r="B52" t="s">
        <v>266</v>
      </c>
      <c r="C52" s="85"/>
      <c r="D52" s="85">
        <f>+D51/(100*(Model!K64/Model!J64-1))</f>
        <v>0.13421705547700977</v>
      </c>
      <c r="E52" s="85">
        <f>+E51/(100*(Model!L64/Model!K64-1))</f>
        <v>-0.84179400031933826</v>
      </c>
      <c r="F52" s="85">
        <f>+F51/(100*(Model!M64/Model!L64-1))</f>
        <v>-5.1827556850865388</v>
      </c>
      <c r="G52" s="85">
        <f>+G51/(100*(Model!N64/Model!M64-1))</f>
        <v>0.56176260005904355</v>
      </c>
      <c r="H52" s="85">
        <f>+H51/(100*(Model!O64/Model!N64-1))</f>
        <v>1.1455560844335519</v>
      </c>
      <c r="I52" s="85">
        <f>+I51/(100*(Model!P64/Model!O64-1))</f>
        <v>-0.94739337770799126</v>
      </c>
      <c r="J52" s="85">
        <f>+J51/(100*(Model!Q64/Model!P64-1))</f>
        <v>-0.41452212318063353</v>
      </c>
      <c r="K52" s="85"/>
      <c r="L52" s="85"/>
      <c r="Q52" s="84" t="s">
        <v>267</v>
      </c>
    </row>
    <row r="53" spans="1:17" x14ac:dyDescent="0.25">
      <c r="B53" t="s">
        <v>268</v>
      </c>
      <c r="C53" s="85">
        <f>+C5/Model!J112</f>
        <v>3.6357680603925102</v>
      </c>
      <c r="D53" s="85">
        <f>+D5/Model!K112</f>
        <v>5.0174107528027356</v>
      </c>
      <c r="E53" s="85">
        <f>+E5/Model!L112</f>
        <v>7.041617386067097</v>
      </c>
      <c r="F53" s="85">
        <f>+F5/Model!M112</f>
        <v>6.1067322364353958</v>
      </c>
      <c r="G53" s="85">
        <f>+G5/Model!N112</f>
        <v>6.411530970595515</v>
      </c>
      <c r="H53" s="85">
        <f>+H5/Model!O112</f>
        <v>3.9737405398092402</v>
      </c>
      <c r="I53" s="85">
        <f>+I5/Model!P112</f>
        <v>3.057516068044972</v>
      </c>
      <c r="J53" s="85">
        <f>+J5/Model!Q112</f>
        <v>1.7939566050476794</v>
      </c>
      <c r="K53" s="85"/>
      <c r="L53" s="85"/>
      <c r="Q53" s="84" t="s">
        <v>269</v>
      </c>
    </row>
    <row r="54" spans="1:17" x14ac:dyDescent="0.25">
      <c r="B54" t="s">
        <v>270</v>
      </c>
      <c r="C54" s="85">
        <f>+C5/(Model!J112-Model!J91-Model!J92)</f>
        <v>-23.496090612007375</v>
      </c>
      <c r="D54" s="85">
        <f>+D5/(Model!K112-Model!K91-Model!K92)</f>
        <v>187.80944951785705</v>
      </c>
      <c r="E54" s="85">
        <f>+E5/(Model!L112-Model!L91-Model!L92)</f>
        <v>112.70258700735958</v>
      </c>
      <c r="F54" s="85">
        <f>+F5/(Model!M112-Model!M91-Model!M92)</f>
        <v>28.299777614747793</v>
      </c>
      <c r="G54" s="85">
        <f>+G5/(Model!N112-Model!N91-Model!N92)</f>
        <v>23.096981225308156</v>
      </c>
      <c r="H54" s="85">
        <f>+H5/(Model!O112-Model!O91-Model!O92)</f>
        <v>17.415892795730805</v>
      </c>
      <c r="I54" s="85">
        <f>+I5/(Model!P112-Model!P91-Model!P92)</f>
        <v>67.987267013055558</v>
      </c>
      <c r="J54" s="85">
        <f>+J5/(Model!Q112-Model!Q91-Model!Q92)</f>
        <v>169.99359877951807</v>
      </c>
      <c r="K54" s="85"/>
      <c r="L54" s="85"/>
      <c r="Q54" s="84" t="s">
        <v>271</v>
      </c>
    </row>
    <row r="55" spans="1:17" x14ac:dyDescent="0.25">
      <c r="B55" t="s">
        <v>272</v>
      </c>
      <c r="C55" s="85">
        <f>+C5/Model!J143</f>
        <v>16.554275661800869</v>
      </c>
      <c r="D55" s="85">
        <f>+D5/Model!K143</f>
        <v>13.362408689888833</v>
      </c>
      <c r="E55" s="85">
        <f>+E5/Model!L143</f>
        <v>29.695239868379581</v>
      </c>
      <c r="F55" s="85">
        <f>+F5/Model!M143</f>
        <v>25.4429559182649</v>
      </c>
      <c r="G55" s="85">
        <f>+G5/Model!N143</f>
        <v>18.061687738330598</v>
      </c>
      <c r="H55" s="85">
        <f>+H5/Model!O143</f>
        <v>13.73160504908836</v>
      </c>
      <c r="I55" s="85">
        <f>+I5/Model!P143</f>
        <v>10.977984357344697</v>
      </c>
      <c r="J55" s="85">
        <f>+J5/Model!Q143</f>
        <v>5.9925541298364831</v>
      </c>
      <c r="K55" s="85"/>
      <c r="L55" s="85"/>
      <c r="Q55" s="84" t="s">
        <v>273</v>
      </c>
    </row>
    <row r="56" spans="1:17" x14ac:dyDescent="0.25">
      <c r="B56" t="s">
        <v>274</v>
      </c>
      <c r="C56" s="85">
        <f>+C5/Model!J44</f>
        <v>2.9659873132144949</v>
      </c>
      <c r="D56" s="85">
        <f>+D5/Model!K44</f>
        <v>3.6942876818780555</v>
      </c>
      <c r="E56" s="85">
        <f>+E5/Model!L44</f>
        <v>4.6277348976107282</v>
      </c>
      <c r="F56" s="85">
        <f>+F5/Model!M44</f>
        <v>5.6101832388436819</v>
      </c>
      <c r="G56" s="85">
        <f>+G5/Model!N44</f>
        <v>4.9911470338396144</v>
      </c>
      <c r="H56" s="85">
        <f>+H5/Model!O44</f>
        <v>2.8865316888604982</v>
      </c>
      <c r="I56" s="85">
        <f>+I5/Model!P44</f>
        <v>2.5018313528263314</v>
      </c>
      <c r="J56" s="85">
        <f>+J5/Model!Q44</f>
        <v>1.6412084097592181</v>
      </c>
      <c r="K56" s="85"/>
      <c r="L56" s="85"/>
      <c r="Q56" s="84" t="s">
        <v>275</v>
      </c>
    </row>
    <row r="57" spans="1:17" x14ac:dyDescent="0.25">
      <c r="B57" s="2" t="s">
        <v>276</v>
      </c>
      <c r="K57" s="85"/>
      <c r="L57" s="85"/>
    </row>
    <row r="58" spans="1:17" x14ac:dyDescent="0.25">
      <c r="B58" t="s">
        <v>277</v>
      </c>
      <c r="C58" s="85">
        <f>+C7/(Model!J136+Model!J58)</f>
        <v>15.666346494309199</v>
      </c>
      <c r="D58" s="85">
        <f>+D7/(Model!K136+Model!K58)</f>
        <v>12.376944445066814</v>
      </c>
      <c r="E58" s="85">
        <f>+E7/(Model!L136+Model!L58)</f>
        <v>13.120771164659869</v>
      </c>
      <c r="F58" s="85">
        <f>+F7/(Model!M136+Model!M58)</f>
        <v>16.022697472240985</v>
      </c>
      <c r="G58" s="85">
        <f>+G7/(Model!N136+Model!N58)</f>
        <v>14.230366305936</v>
      </c>
      <c r="H58" s="85">
        <f>+H7/(Model!O136+Model!O58)</f>
        <v>8.7163017136382948</v>
      </c>
      <c r="I58" s="85">
        <f>+I7/(Model!P136+Model!P58)</f>
        <v>8.9575985538818443</v>
      </c>
      <c r="J58" s="85">
        <f>+J7/(Model!Q136+Model!Q58)</f>
        <v>8.753884157604519</v>
      </c>
      <c r="K58" s="85"/>
      <c r="L58" s="85"/>
      <c r="Q58" s="84" t="s">
        <v>278</v>
      </c>
    </row>
    <row r="59" spans="1:17" x14ac:dyDescent="0.25">
      <c r="B59" t="s">
        <v>126</v>
      </c>
      <c r="C59" s="85">
        <f>+C7/Model!J58</f>
        <v>18.167705663725378</v>
      </c>
      <c r="D59" s="85">
        <f>+D7/Model!K58</f>
        <v>14.012946748642985</v>
      </c>
      <c r="E59" s="85">
        <f>+E7/Model!L58</f>
        <v>16.665240844765499</v>
      </c>
      <c r="F59" s="85">
        <f>+F7/Model!M58</f>
        <v>23.013377741040564</v>
      </c>
      <c r="G59" s="85">
        <f>+G7/Model!N58</f>
        <v>18.540710738399</v>
      </c>
      <c r="H59" s="85">
        <f>+H7/Model!O58</f>
        <v>11.407934457831326</v>
      </c>
      <c r="I59" s="85">
        <f>+I7/Model!P58</f>
        <v>12.474656956579798</v>
      </c>
      <c r="J59" s="85">
        <f>+J7/Model!Q58</f>
        <v>16.754298182266435</v>
      </c>
      <c r="K59" s="85"/>
      <c r="L59" s="85"/>
      <c r="Q59" s="84" t="s">
        <v>279</v>
      </c>
    </row>
    <row r="60" spans="1:17" x14ac:dyDescent="0.25">
      <c r="B60" t="s">
        <v>280</v>
      </c>
      <c r="C60" s="85"/>
      <c r="D60" s="85">
        <f t="shared" ref="D60:H60" si="24">+D7/D15</f>
        <v>-30.964776456504971</v>
      </c>
      <c r="E60" s="85">
        <f t="shared" si="24"/>
        <v>38.044583393354152</v>
      </c>
      <c r="F60" s="85">
        <f t="shared" si="24"/>
        <v>72.260779194116481</v>
      </c>
      <c r="G60" s="85">
        <f t="shared" si="24"/>
        <v>392.84359280962803</v>
      </c>
      <c r="H60" s="85">
        <f t="shared" si="24"/>
        <v>30.036996778916546</v>
      </c>
      <c r="I60" s="85">
        <f>+I7/I15</f>
        <v>23.242308286276085</v>
      </c>
      <c r="J60" s="85">
        <f>+J7/J15</f>
        <v>83.482623701293093</v>
      </c>
      <c r="K60" s="85"/>
      <c r="L60" s="85"/>
      <c r="Q60" s="84" t="s">
        <v>281</v>
      </c>
    </row>
    <row r="61" spans="1:17" x14ac:dyDescent="0.25">
      <c r="B61" t="s">
        <v>282</v>
      </c>
      <c r="C61" s="85">
        <f>+C7/Model!J44</f>
        <v>3.1766516884123606</v>
      </c>
      <c r="D61" s="85">
        <f>+D7/Model!K44</f>
        <v>3.816100754500483</v>
      </c>
      <c r="E61" s="85">
        <f>+E7/Model!L44</f>
        <v>4.8366812885195332</v>
      </c>
      <c r="F61" s="85">
        <f>+F7/Model!M44</f>
        <v>5.7940124933588795</v>
      </c>
      <c r="G61" s="85">
        <f>+G7/Model!N44</f>
        <v>5.0405094594559365</v>
      </c>
      <c r="H61" s="85">
        <f>+H7/Model!O44</f>
        <v>3.0242153407694956</v>
      </c>
      <c r="I61" s="85">
        <f>+I7/Model!P44</f>
        <v>2.9602285724931003</v>
      </c>
      <c r="J61" s="85">
        <f>+J7/Model!Q44</f>
        <v>2.2528752702919621</v>
      </c>
      <c r="K61" s="85"/>
      <c r="L61" s="85"/>
      <c r="Q61" s="84" t="s">
        <v>283</v>
      </c>
    </row>
  </sheetData>
  <hyperlinks>
    <hyperlink ref="A1" location="Main!A1" display="Main" xr:uid="{5862819E-5630-4E62-9C87-252E0EE830A5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440AC-AC9E-4DAD-9789-6E5CF51D79F6}">
  <dimension ref="A1:W76"/>
  <sheetViews>
    <sheetView showGridLines="0" topLeftCell="A6" zoomScale="200" zoomScaleNormal="200" workbookViewId="0">
      <selection activeCell="J5" sqref="J5"/>
    </sheetView>
  </sheetViews>
  <sheetFormatPr defaultRowHeight="15" x14ac:dyDescent="0.25"/>
  <cols>
    <col min="1" max="1" width="4.7109375" bestFit="1" customWidth="1"/>
  </cols>
  <sheetData>
    <row r="1" spans="1:23" ht="19.5" x14ac:dyDescent="0.3">
      <c r="A1" s="54" t="s">
        <v>29</v>
      </c>
      <c r="B1" s="55" t="s">
        <v>152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</row>
    <row r="2" spans="1:23" x14ac:dyDescent="0.25">
      <c r="E2" s="56"/>
    </row>
    <row r="3" spans="1:23" x14ac:dyDescent="0.25">
      <c r="B3" t="s">
        <v>153</v>
      </c>
      <c r="E3" s="57" t="s">
        <v>112</v>
      </c>
      <c r="G3" t="s">
        <v>154</v>
      </c>
      <c r="J3" s="57">
        <f>Main!H2</f>
        <v>174</v>
      </c>
      <c r="L3" t="s">
        <v>154</v>
      </c>
      <c r="O3" s="57">
        <f>Main!H2</f>
        <v>174</v>
      </c>
    </row>
    <row r="4" spans="1:23" x14ac:dyDescent="0.25">
      <c r="B4" t="s">
        <v>117</v>
      </c>
      <c r="E4" s="100">
        <v>45579</v>
      </c>
      <c r="G4" t="s">
        <v>155</v>
      </c>
      <c r="J4" s="58">
        <f ca="1">V62</f>
        <v>715.77023433704926</v>
      </c>
      <c r="L4" t="s">
        <v>472</v>
      </c>
      <c r="O4" s="58">
        <f>+SUM(J15,O15,T15)</f>
        <v>341.26000000000005</v>
      </c>
    </row>
    <row r="5" spans="1:23" x14ac:dyDescent="0.25">
      <c r="B5" t="s">
        <v>156</v>
      </c>
      <c r="E5" s="101">
        <v>45657</v>
      </c>
      <c r="G5" t="s">
        <v>157</v>
      </c>
      <c r="J5" s="60">
        <f ca="1">J4/J3-1</f>
        <v>3.113622036419823</v>
      </c>
      <c r="L5" t="s">
        <v>157</v>
      </c>
      <c r="O5" s="60">
        <f>O4/O3-1</f>
        <v>0.96126436781609215</v>
      </c>
    </row>
    <row r="7" spans="1:23" x14ac:dyDescent="0.25">
      <c r="A7" s="15" t="s">
        <v>52</v>
      </c>
      <c r="B7" s="47" t="s">
        <v>158</v>
      </c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</row>
    <row r="8" spans="1:23" x14ac:dyDescent="0.25">
      <c r="A8" s="15"/>
    </row>
    <row r="9" spans="1:23" x14ac:dyDescent="0.25">
      <c r="A9" s="15"/>
      <c r="B9" s="61" t="s">
        <v>159</v>
      </c>
      <c r="C9" s="62"/>
      <c r="D9" s="62"/>
      <c r="E9" s="62"/>
      <c r="G9" s="61" t="s">
        <v>160</v>
      </c>
      <c r="H9" s="61"/>
      <c r="I9" s="62"/>
      <c r="J9" s="62"/>
      <c r="L9" s="61" t="s">
        <v>161</v>
      </c>
      <c r="M9" s="62"/>
      <c r="N9" s="62"/>
      <c r="O9" s="62"/>
      <c r="Q9" s="61" t="s">
        <v>162</v>
      </c>
      <c r="R9" s="62"/>
      <c r="S9" s="62"/>
      <c r="T9" s="62"/>
    </row>
    <row r="10" spans="1:23" x14ac:dyDescent="0.25">
      <c r="A10" s="15"/>
      <c r="B10" s="14" t="s">
        <v>163</v>
      </c>
      <c r="G10" s="14" t="s">
        <v>163</v>
      </c>
      <c r="H10" s="14"/>
      <c r="I10" s="14" t="s">
        <v>164</v>
      </c>
      <c r="J10" s="14" t="s">
        <v>165</v>
      </c>
      <c r="L10" s="14" t="s">
        <v>163</v>
      </c>
      <c r="N10" s="14" t="s">
        <v>164</v>
      </c>
      <c r="O10" s="14" t="s">
        <v>165</v>
      </c>
      <c r="Q10" s="14" t="s">
        <v>163</v>
      </c>
      <c r="S10" s="14" t="s">
        <v>164</v>
      </c>
      <c r="T10" s="14" t="s">
        <v>165</v>
      </c>
    </row>
    <row r="11" spans="1:23" x14ac:dyDescent="0.25">
      <c r="B11" t="s">
        <v>30</v>
      </c>
      <c r="E11" s="59">
        <v>3</v>
      </c>
      <c r="K11" s="1"/>
    </row>
    <row r="12" spans="1:23" x14ac:dyDescent="0.25">
      <c r="B12" t="s">
        <v>166</v>
      </c>
      <c r="E12" s="59">
        <v>3</v>
      </c>
    </row>
    <row r="13" spans="1:23" x14ac:dyDescent="0.25">
      <c r="B13" t="s">
        <v>167</v>
      </c>
      <c r="E13" s="59">
        <v>3</v>
      </c>
      <c r="G13" t="s">
        <v>3</v>
      </c>
      <c r="J13" s="58">
        <v>176.62</v>
      </c>
      <c r="L13" t="s">
        <v>3</v>
      </c>
      <c r="O13" s="58">
        <v>540.66</v>
      </c>
      <c r="Q13" t="s">
        <v>3</v>
      </c>
      <c r="T13" s="58">
        <v>720.81</v>
      </c>
    </row>
    <row r="14" spans="1:23" x14ac:dyDescent="0.25">
      <c r="B14" t="s">
        <v>168</v>
      </c>
      <c r="E14" s="59">
        <v>3</v>
      </c>
      <c r="G14" t="s">
        <v>169</v>
      </c>
      <c r="J14" s="63">
        <v>0.35</v>
      </c>
      <c r="L14" t="s">
        <v>169</v>
      </c>
      <c r="O14" s="63">
        <v>0.6</v>
      </c>
      <c r="Q14" t="s">
        <v>169</v>
      </c>
      <c r="T14" s="63">
        <v>0.05</v>
      </c>
    </row>
    <row r="15" spans="1:23" x14ac:dyDescent="0.25">
      <c r="B15" t="s">
        <v>170</v>
      </c>
      <c r="E15" s="59">
        <v>3</v>
      </c>
      <c r="G15" t="s">
        <v>171</v>
      </c>
      <c r="J15" s="110">
        <f>156.66*J14</f>
        <v>54.830999999999996</v>
      </c>
      <c r="L15" t="s">
        <v>171</v>
      </c>
      <c r="O15" s="110">
        <f>440.66*O14</f>
        <v>264.39600000000002</v>
      </c>
      <c r="Q15" t="s">
        <v>171</v>
      </c>
      <c r="T15" s="110">
        <f>440.66*T14</f>
        <v>22.033000000000001</v>
      </c>
    </row>
    <row r="17" spans="1:22" x14ac:dyDescent="0.25">
      <c r="B17" s="14" t="s">
        <v>172</v>
      </c>
    </row>
    <row r="18" spans="1:22" x14ac:dyDescent="0.25">
      <c r="B18" t="s">
        <v>167</v>
      </c>
      <c r="E18" s="63">
        <f>CHOOSE(E13,J18,O18,T18)</f>
        <v>0.08</v>
      </c>
      <c r="G18" t="s">
        <v>167</v>
      </c>
      <c r="J18" s="63">
        <v>0.09</v>
      </c>
      <c r="L18" t="s">
        <v>167</v>
      </c>
      <c r="O18" s="63">
        <v>8.5000000000000006E-2</v>
      </c>
      <c r="Q18" t="s">
        <v>167</v>
      </c>
      <c r="T18" s="63">
        <v>0.08</v>
      </c>
    </row>
    <row r="19" spans="1:22" x14ac:dyDescent="0.25">
      <c r="B19" t="s">
        <v>168</v>
      </c>
      <c r="E19" s="63">
        <f>CHOOSE(E14,J19,O19,T19)</f>
        <v>2.5000000000000001E-2</v>
      </c>
      <c r="G19" t="s">
        <v>168</v>
      </c>
      <c r="J19" s="63">
        <v>1.4999999999999999E-2</v>
      </c>
      <c r="L19" t="s">
        <v>168</v>
      </c>
      <c r="O19" s="63">
        <v>0.02</v>
      </c>
      <c r="Q19" t="s">
        <v>168</v>
      </c>
      <c r="T19" s="63">
        <v>2.5000000000000001E-2</v>
      </c>
    </row>
    <row r="20" spans="1:22" x14ac:dyDescent="0.25">
      <c r="B20" t="s">
        <v>170</v>
      </c>
      <c r="E20" s="63">
        <f>CHOOSE(E15,J20,O20,T20)</f>
        <v>0.09</v>
      </c>
      <c r="G20" t="s">
        <v>170</v>
      </c>
      <c r="J20" s="63">
        <v>0.08</v>
      </c>
      <c r="L20" t="s">
        <v>170</v>
      </c>
      <c r="O20" s="63">
        <v>8.5000000000000006E-2</v>
      </c>
      <c r="Q20" t="s">
        <v>170</v>
      </c>
      <c r="T20" s="63">
        <v>0.09</v>
      </c>
    </row>
    <row r="24" spans="1:22" x14ac:dyDescent="0.25">
      <c r="A24" s="15" t="s">
        <v>52</v>
      </c>
      <c r="B24" s="47" t="s">
        <v>173</v>
      </c>
      <c r="C24" s="47"/>
      <c r="D24" s="47"/>
      <c r="E24" s="47"/>
      <c r="F24" s="47"/>
      <c r="G24" s="64">
        <v>18</v>
      </c>
      <c r="H24" s="64">
        <f>G24+1</f>
        <v>19</v>
      </c>
      <c r="I24" s="64">
        <f t="shared" ref="I24:V24" si="0">H24+1</f>
        <v>20</v>
      </c>
      <c r="J24" s="64">
        <f t="shared" si="0"/>
        <v>21</v>
      </c>
      <c r="K24" s="64">
        <f t="shared" si="0"/>
        <v>22</v>
      </c>
      <c r="L24" s="64">
        <f t="shared" si="0"/>
        <v>23</v>
      </c>
      <c r="M24" s="90">
        <f t="shared" si="0"/>
        <v>24</v>
      </c>
      <c r="N24" s="90">
        <f t="shared" si="0"/>
        <v>25</v>
      </c>
      <c r="O24" s="90">
        <f t="shared" si="0"/>
        <v>26</v>
      </c>
      <c r="P24" s="90">
        <f t="shared" si="0"/>
        <v>27</v>
      </c>
      <c r="Q24" s="90">
        <f t="shared" si="0"/>
        <v>28</v>
      </c>
      <c r="R24" s="90">
        <f t="shared" si="0"/>
        <v>29</v>
      </c>
      <c r="S24" s="90">
        <f t="shared" si="0"/>
        <v>30</v>
      </c>
      <c r="T24" s="90">
        <f t="shared" si="0"/>
        <v>31</v>
      </c>
      <c r="U24" s="90">
        <f t="shared" si="0"/>
        <v>32</v>
      </c>
      <c r="V24" s="90">
        <f t="shared" si="0"/>
        <v>33</v>
      </c>
    </row>
    <row r="25" spans="1:22" x14ac:dyDescent="0.25">
      <c r="B25" t="s">
        <v>122</v>
      </c>
      <c r="G25" s="23">
        <f>Model!K44</f>
        <v>13665.2</v>
      </c>
      <c r="H25" s="23">
        <f>Model!L44</f>
        <v>15883.5</v>
      </c>
      <c r="I25" s="23">
        <f>Model!M44</f>
        <v>13100.199999999999</v>
      </c>
      <c r="J25" s="23">
        <f>Model!N44</f>
        <v>17645</v>
      </c>
      <c r="K25" s="23">
        <f>Model!O44</f>
        <v>20351</v>
      </c>
      <c r="L25" s="23">
        <f>Model!P44</f>
        <v>19566</v>
      </c>
      <c r="M25" s="23">
        <f ca="1">L25*(1+M26)</f>
        <v>17949.78</v>
      </c>
      <c r="N25" s="23">
        <f t="shared" ref="N25:V25" ca="1" si="1">M25*(1+N26)</f>
        <v>21256.552033158587</v>
      </c>
      <c r="O25" s="23">
        <f t="shared" ca="1" si="1"/>
        <v>23566.66107585471</v>
      </c>
      <c r="P25" s="23">
        <f t="shared" ca="1" si="1"/>
        <v>26553.596372568532</v>
      </c>
      <c r="Q25" s="23">
        <f t="shared" ca="1" si="1"/>
        <v>29198.076225860757</v>
      </c>
      <c r="R25" s="23">
        <f t="shared" ca="1" si="1"/>
        <v>32595.176414235044</v>
      </c>
      <c r="S25" s="23">
        <f t="shared" ca="1" si="1"/>
        <v>35439.432635441619</v>
      </c>
      <c r="T25" s="23">
        <f t="shared" ca="1" si="1"/>
        <v>37758.767223519615</v>
      </c>
      <c r="U25" s="23">
        <f t="shared" ca="1" si="1"/>
        <v>39612.109848786022</v>
      </c>
      <c r="V25" s="23">
        <f t="shared" ca="1" si="1"/>
        <v>41070.343599339212</v>
      </c>
    </row>
    <row r="26" spans="1:22" x14ac:dyDescent="0.25">
      <c r="B26" s="65" t="s">
        <v>174</v>
      </c>
      <c r="C26" s="12"/>
      <c r="G26" s="66"/>
      <c r="H26" s="67">
        <f t="shared" ref="H26:L26" si="2">H25/G25-1</f>
        <v>0.16233205514738169</v>
      </c>
      <c r="I26" s="67">
        <f t="shared" si="2"/>
        <v>-0.17523215915887558</v>
      </c>
      <c r="J26" s="67">
        <f t="shared" si="2"/>
        <v>0.34692600112975391</v>
      </c>
      <c r="K26" s="67">
        <f t="shared" si="2"/>
        <v>0.15335789175403791</v>
      </c>
      <c r="L26" s="67">
        <f t="shared" si="2"/>
        <v>-3.8573043093705461E-2</v>
      </c>
      <c r="M26" s="67" cm="1">
        <f t="array" aca="1" ref="M26" ca="1">OFFSET(M26,$E$11,,)</f>
        <v>-8.2603495860165591E-2</v>
      </c>
      <c r="N26" s="67" cm="1">
        <f t="array" aca="1" ref="N26" ca="1">OFFSET(N26,$E$11,,)</f>
        <v>0.18422354107730496</v>
      </c>
      <c r="O26" s="67" cm="1">
        <f t="array" aca="1" ref="O26" ca="1">OFFSET(O26,$E$11,,)</f>
        <v>0.10867750513312456</v>
      </c>
      <c r="P26" s="67" cm="1">
        <f t="array" aca="1" ref="P26" ca="1">OFFSET(P26,$E$11,,)</f>
        <v>0.12674410206433936</v>
      </c>
      <c r="Q26" s="67" cm="1">
        <f t="array" aca="1" ref="Q26" ca="1">OFFSET(Q26,$E$11,,)</f>
        <v>9.9590270793757027E-2</v>
      </c>
      <c r="R26" s="67" cm="1">
        <f t="array" aca="1" ref="R26" ca="1">OFFSET(R26,$E$11,,)</f>
        <v>0.11634671277984653</v>
      </c>
      <c r="S26" s="67" cm="1">
        <f t="array" aca="1" ref="S26" ca="1">OFFSET(S26,$E$11,,)</f>
        <v>8.7260034584884891E-2</v>
      </c>
      <c r="T26" s="67" cm="1">
        <f t="array" aca="1" ref="T26" ca="1">OFFSET(T26,$E$11,,)</f>
        <v>6.5445025938663665E-2</v>
      </c>
      <c r="U26" s="67" cm="1">
        <f t="array" aca="1" ref="U26" ca="1">OFFSET(U26,$E$11,,)</f>
        <v>4.9083769453997748E-2</v>
      </c>
      <c r="V26" s="67" cm="1">
        <f t="array" aca="1" ref="V26" ca="1">OFFSET(V26,$E$11,,)</f>
        <v>3.681282709049831E-2</v>
      </c>
    </row>
    <row r="27" spans="1:22" x14ac:dyDescent="0.25">
      <c r="B27" s="65" t="s">
        <v>160</v>
      </c>
      <c r="C27" s="12"/>
      <c r="I27" s="18"/>
      <c r="J27" s="18"/>
      <c r="K27" s="18"/>
      <c r="L27" s="18"/>
      <c r="M27" s="68">
        <v>-0.12</v>
      </c>
      <c r="N27" s="68">
        <v>-0.04</v>
      </c>
      <c r="O27" s="68">
        <v>0</v>
      </c>
      <c r="P27" s="68">
        <v>0.01</v>
      </c>
      <c r="Q27" s="68">
        <v>0.03</v>
      </c>
      <c r="R27" s="68">
        <v>0.03</v>
      </c>
      <c r="S27" s="68">
        <f t="shared" ref="S27:T27" si="3">+R27*0.6</f>
        <v>1.7999999999999999E-2</v>
      </c>
      <c r="T27" s="68">
        <f t="shared" si="3"/>
        <v>1.0799999999999999E-2</v>
      </c>
      <c r="U27" s="68">
        <v>4.0000000000000001E-3</v>
      </c>
      <c r="V27" s="68">
        <v>0.01</v>
      </c>
    </row>
    <row r="28" spans="1:22" x14ac:dyDescent="0.25">
      <c r="B28" s="65" t="s">
        <v>175</v>
      </c>
      <c r="C28" s="12"/>
      <c r="I28" s="18"/>
      <c r="J28" s="18"/>
      <c r="K28" s="18"/>
      <c r="L28" s="18"/>
      <c r="M28" s="68">
        <v>-0.10260349586016559</v>
      </c>
      <c r="N28" s="68">
        <v>0.16422354107730497</v>
      </c>
      <c r="O28" s="68">
        <v>8.8677505133124557E-2</v>
      </c>
      <c r="P28" s="68">
        <v>0.10674410206433937</v>
      </c>
      <c r="Q28" s="68">
        <v>7.9590270793757023E-2</v>
      </c>
      <c r="R28" s="68">
        <v>9.6346712779846522E-2</v>
      </c>
      <c r="S28" s="68">
        <f>+R28*(1-25%)</f>
        <v>7.2260034584884891E-2</v>
      </c>
      <c r="T28" s="68">
        <f t="shared" ref="T28:V28" si="4">+S28*(1-25%)</f>
        <v>5.4195025938663668E-2</v>
      </c>
      <c r="U28" s="68">
        <f t="shared" si="4"/>
        <v>4.0646269453997755E-2</v>
      </c>
      <c r="V28" s="68">
        <f t="shared" si="4"/>
        <v>3.0484702090498316E-2</v>
      </c>
    </row>
    <row r="29" spans="1:22" x14ac:dyDescent="0.25">
      <c r="B29" s="65" t="s">
        <v>176</v>
      </c>
      <c r="C29" s="12"/>
      <c r="I29" s="18"/>
      <c r="J29" s="18"/>
      <c r="K29" s="18"/>
      <c r="L29" s="18"/>
      <c r="M29" s="68">
        <f>+M28+2%</f>
        <v>-8.2603495860165591E-2</v>
      </c>
      <c r="N29" s="68">
        <f t="shared" ref="N29:R29" si="5">+N28+2%</f>
        <v>0.18422354107730496</v>
      </c>
      <c r="O29" s="68">
        <f t="shared" si="5"/>
        <v>0.10867750513312456</v>
      </c>
      <c r="P29" s="68">
        <f t="shared" si="5"/>
        <v>0.12674410206433936</v>
      </c>
      <c r="Q29" s="68">
        <f t="shared" si="5"/>
        <v>9.9590270793757027E-2</v>
      </c>
      <c r="R29" s="68">
        <f t="shared" si="5"/>
        <v>0.11634671277984653</v>
      </c>
      <c r="S29" s="68">
        <f>+R29*(1-25%)</f>
        <v>8.7260034584884891E-2</v>
      </c>
      <c r="T29" s="68">
        <f t="shared" ref="T29:V29" si="6">+S29*(1-25%)</f>
        <v>6.5445025938663665E-2</v>
      </c>
      <c r="U29" s="68">
        <f t="shared" si="6"/>
        <v>4.9083769453997748E-2</v>
      </c>
      <c r="V29" s="68">
        <f t="shared" si="6"/>
        <v>3.681282709049831E-2</v>
      </c>
    </row>
    <row r="31" spans="1:22" x14ac:dyDescent="0.25">
      <c r="B31" t="s">
        <v>166</v>
      </c>
      <c r="G31" s="23">
        <f>Model!K56</f>
        <v>3943.8</v>
      </c>
      <c r="H31" s="23">
        <f>Model!L56</f>
        <v>4778.3</v>
      </c>
      <c r="I31" s="23">
        <f>Model!M56</f>
        <v>3135.2</v>
      </c>
      <c r="J31" s="23">
        <f>Model!N56</f>
        <v>5017</v>
      </c>
      <c r="K31" s="23">
        <f>Model!O56</f>
        <v>5589</v>
      </c>
      <c r="L31" s="23">
        <f>Model!P56</f>
        <v>4746</v>
      </c>
      <c r="M31" s="23">
        <f ca="1">M32*M25</f>
        <v>3410.4582</v>
      </c>
      <c r="N31" s="23">
        <f t="shared" ref="N31:V31" ca="1" si="7">N32*N25</f>
        <v>4230.0538545985592</v>
      </c>
      <c r="O31" s="23">
        <f t="shared" ca="1" si="7"/>
        <v>4912.4705012619152</v>
      </c>
      <c r="P31" s="23">
        <f t="shared" ca="1" si="7"/>
        <v>5798.5752238687228</v>
      </c>
      <c r="Q31" s="23">
        <f t="shared" ca="1" si="7"/>
        <v>6680.2607075504384</v>
      </c>
      <c r="R31" s="23">
        <f t="shared" ca="1" si="7"/>
        <v>7814.0638472485007</v>
      </c>
      <c r="S31" s="23">
        <f t="shared" ca="1" si="7"/>
        <v>8859.8581588604047</v>
      </c>
      <c r="T31" s="23">
        <f t="shared" ca="1" si="7"/>
        <v>9439.6918058799038</v>
      </c>
      <c r="U31" s="23">
        <f t="shared" ca="1" si="7"/>
        <v>9903.0274621965054</v>
      </c>
      <c r="V31" s="23">
        <f t="shared" ca="1" si="7"/>
        <v>10267.585899834803</v>
      </c>
    </row>
    <row r="32" spans="1:22" x14ac:dyDescent="0.25">
      <c r="B32" s="65" t="s">
        <v>177</v>
      </c>
      <c r="G32" s="67">
        <f>G31/G25</f>
        <v>0.28860170359745924</v>
      </c>
      <c r="H32" s="67">
        <f t="shared" ref="H32:L32" si="8">H31/H25</f>
        <v>0.30083419901155289</v>
      </c>
      <c r="I32" s="67">
        <f t="shared" si="8"/>
        <v>0.23932459046426774</v>
      </c>
      <c r="J32" s="67">
        <f t="shared" si="8"/>
        <v>0.28432983848115612</v>
      </c>
      <c r="K32" s="67">
        <f t="shared" si="8"/>
        <v>0.27463023930028008</v>
      </c>
      <c r="L32" s="67">
        <f t="shared" si="8"/>
        <v>0.24256363078810181</v>
      </c>
      <c r="M32" s="67" cm="1">
        <f t="array" aca="1" ref="M32" ca="1">OFFSET(M32,$E$12,,)</f>
        <v>0.19</v>
      </c>
      <c r="N32" s="67" cm="1">
        <f t="array" aca="1" ref="N32" ca="1">OFFSET(N32,$E$12,,)</f>
        <v>0.19900000000000001</v>
      </c>
      <c r="O32" s="67" cm="1">
        <f t="array" aca="1" ref="O32" ca="1">OFFSET(O32,$E$12,,)</f>
        <v>0.20845000000000002</v>
      </c>
      <c r="P32" s="67" cm="1">
        <f t="array" aca="1" ref="P32" ca="1">OFFSET(P32,$E$12,,)</f>
        <v>0.21837250000000002</v>
      </c>
      <c r="Q32" s="67" cm="1">
        <f t="array" aca="1" ref="Q32" ca="1">OFFSET(Q32,$E$12,,)</f>
        <v>0.22879112500000004</v>
      </c>
      <c r="R32" s="67" cm="1">
        <f t="array" aca="1" ref="R32" ca="1">OFFSET(R32,$E$12,,)</f>
        <v>0.23973068125000005</v>
      </c>
      <c r="S32" s="67" cm="1">
        <f t="array" aca="1" ref="S32" ca="1">OFFSET(S32,$E$12,,)</f>
        <v>0.25</v>
      </c>
      <c r="T32" s="67" cm="1">
        <f t="array" aca="1" ref="T32" ca="1">OFFSET(T32,$E$12,,)</f>
        <v>0.25</v>
      </c>
      <c r="U32" s="67" cm="1">
        <f t="array" aca="1" ref="U32" ca="1">OFFSET(U32,$E$12,,)</f>
        <v>0.25</v>
      </c>
      <c r="V32" s="67" cm="1">
        <f t="array" aca="1" ref="V32" ca="1">OFFSET(V32,$E$12,,)</f>
        <v>0.25</v>
      </c>
    </row>
    <row r="33" spans="2:22" x14ac:dyDescent="0.25">
      <c r="B33" s="65" t="s">
        <v>160</v>
      </c>
      <c r="M33" s="68">
        <v>0.18</v>
      </c>
      <c r="N33" s="68">
        <v>0.18</v>
      </c>
      <c r="O33" s="68">
        <v>0.18</v>
      </c>
      <c r="P33" s="68">
        <v>0.18</v>
      </c>
      <c r="Q33" s="68">
        <v>0.18</v>
      </c>
      <c r="R33" s="68">
        <v>0.18</v>
      </c>
      <c r="S33" s="68">
        <v>0.18</v>
      </c>
      <c r="T33" s="68">
        <v>0.18</v>
      </c>
      <c r="U33" s="68">
        <v>0.18</v>
      </c>
      <c r="V33" s="68">
        <v>0.18</v>
      </c>
    </row>
    <row r="34" spans="2:22" x14ac:dyDescent="0.25">
      <c r="B34" s="65" t="s">
        <v>175</v>
      </c>
      <c r="M34" s="68">
        <v>0.18</v>
      </c>
      <c r="N34" s="68">
        <f>+M34*1.05</f>
        <v>0.189</v>
      </c>
      <c r="O34" s="68">
        <f t="shared" ref="O34:R34" si="9">+N34*1.05</f>
        <v>0.19845000000000002</v>
      </c>
      <c r="P34" s="68">
        <f t="shared" si="9"/>
        <v>0.20837250000000002</v>
      </c>
      <c r="Q34" s="68">
        <f t="shared" si="9"/>
        <v>0.21879112500000003</v>
      </c>
      <c r="R34" s="68">
        <f t="shared" si="9"/>
        <v>0.22973068125000004</v>
      </c>
      <c r="S34" s="68">
        <v>0.24</v>
      </c>
      <c r="T34" s="68">
        <v>0.24</v>
      </c>
      <c r="U34" s="68">
        <v>0.24</v>
      </c>
      <c r="V34" s="68">
        <v>0.24</v>
      </c>
    </row>
    <row r="35" spans="2:22" x14ac:dyDescent="0.25">
      <c r="B35" s="65" t="s">
        <v>176</v>
      </c>
      <c r="M35" s="68">
        <f>+M34+1%</f>
        <v>0.19</v>
      </c>
      <c r="N35" s="68">
        <f t="shared" ref="N35:V35" si="10">+N34+1%</f>
        <v>0.19900000000000001</v>
      </c>
      <c r="O35" s="68">
        <f t="shared" si="10"/>
        <v>0.20845000000000002</v>
      </c>
      <c r="P35" s="68">
        <f t="shared" si="10"/>
        <v>0.21837250000000002</v>
      </c>
      <c r="Q35" s="68">
        <f t="shared" si="10"/>
        <v>0.22879112500000004</v>
      </c>
      <c r="R35" s="68">
        <f t="shared" si="10"/>
        <v>0.23973068125000005</v>
      </c>
      <c r="S35" s="68">
        <f t="shared" si="10"/>
        <v>0.25</v>
      </c>
      <c r="T35" s="68">
        <f t="shared" si="10"/>
        <v>0.25</v>
      </c>
      <c r="U35" s="68">
        <f t="shared" si="10"/>
        <v>0.25</v>
      </c>
      <c r="V35" s="68">
        <f t="shared" si="10"/>
        <v>0.25</v>
      </c>
    </row>
    <row r="37" spans="2:22" x14ac:dyDescent="0.25">
      <c r="B37" t="s">
        <v>178</v>
      </c>
      <c r="G37" s="13">
        <f>Model!K61</f>
        <v>867.7</v>
      </c>
      <c r="H37" s="13">
        <f>Model!L61</f>
        <v>2133.6999999999998</v>
      </c>
      <c r="I37" s="13">
        <f>Model!M61</f>
        <v>759.2</v>
      </c>
      <c r="J37" s="13">
        <f>Model!N61</f>
        <v>1280.4000000000001</v>
      </c>
      <c r="K37" s="13">
        <f>Model!O61</f>
        <v>1420</v>
      </c>
      <c r="L37" s="13">
        <f>Model!P61</f>
        <v>1163</v>
      </c>
      <c r="M37" s="23">
        <f ca="1">M38*M31</f>
        <v>852.61455000000001</v>
      </c>
      <c r="N37" s="23">
        <f t="shared" ref="N37:V37" ca="1" si="11">N38*N31</f>
        <v>1057.5134636496398</v>
      </c>
      <c r="O37" s="23">
        <f t="shared" ca="1" si="11"/>
        <v>1228.1176253154788</v>
      </c>
      <c r="P37" s="23">
        <f t="shared" ca="1" si="11"/>
        <v>1449.6438059671807</v>
      </c>
      <c r="Q37" s="23">
        <f t="shared" ca="1" si="11"/>
        <v>1670.0651768876096</v>
      </c>
      <c r="R37" s="23">
        <f t="shared" ca="1" si="11"/>
        <v>1953.5159618121252</v>
      </c>
      <c r="S37" s="23">
        <f t="shared" ca="1" si="11"/>
        <v>2214.9645397151012</v>
      </c>
      <c r="T37" s="23">
        <f t="shared" ca="1" si="11"/>
        <v>2359.9229514699759</v>
      </c>
      <c r="U37" s="23">
        <f t="shared" ca="1" si="11"/>
        <v>2475.7568655491264</v>
      </c>
      <c r="V37" s="23">
        <f t="shared" ca="1" si="11"/>
        <v>2566.8964749587008</v>
      </c>
    </row>
    <row r="38" spans="2:22" x14ac:dyDescent="0.25">
      <c r="B38" s="12" t="s">
        <v>179</v>
      </c>
      <c r="G38" s="67">
        <f t="shared" ref="G38:L38" si="12">G37/G31</f>
        <v>0.22001622800344844</v>
      </c>
      <c r="H38" s="67">
        <f t="shared" si="12"/>
        <v>0.44653956428018327</v>
      </c>
      <c r="I38" s="67">
        <f t="shared" si="12"/>
        <v>0.24215361061495283</v>
      </c>
      <c r="J38" s="67">
        <f t="shared" si="12"/>
        <v>0.25521227825393661</v>
      </c>
      <c r="K38" s="67">
        <f t="shared" si="12"/>
        <v>0.25407049561638934</v>
      </c>
      <c r="L38" s="67">
        <f t="shared" si="12"/>
        <v>0.24504846186262116</v>
      </c>
      <c r="M38" s="67">
        <v>0.25</v>
      </c>
      <c r="N38" s="67">
        <v>0.25</v>
      </c>
      <c r="O38" s="67">
        <v>0.25</v>
      </c>
      <c r="P38" s="67">
        <v>0.25</v>
      </c>
      <c r="Q38" s="67">
        <v>0.25</v>
      </c>
      <c r="R38" s="67">
        <v>0.25</v>
      </c>
      <c r="S38" s="67">
        <v>0.25</v>
      </c>
      <c r="T38" s="67">
        <v>0.25</v>
      </c>
      <c r="U38" s="67">
        <v>0.25</v>
      </c>
      <c r="V38" s="67">
        <v>0.25</v>
      </c>
    </row>
    <row r="39" spans="2:22" x14ac:dyDescent="0.25">
      <c r="B39" s="12"/>
    </row>
    <row r="40" spans="2:22" x14ac:dyDescent="0.25">
      <c r="B40" s="69" t="s">
        <v>180</v>
      </c>
      <c r="C40" s="70"/>
      <c r="D40" s="70"/>
      <c r="E40" s="70"/>
      <c r="F40" s="70"/>
      <c r="G40" s="91">
        <f t="shared" ref="G40:V40" si="13">G31-G37</f>
        <v>3076.1000000000004</v>
      </c>
      <c r="H40" s="91">
        <f t="shared" si="13"/>
        <v>2644.6000000000004</v>
      </c>
      <c r="I40" s="91">
        <f t="shared" si="13"/>
        <v>2376</v>
      </c>
      <c r="J40" s="91">
        <f t="shared" si="13"/>
        <v>3736.6</v>
      </c>
      <c r="K40" s="91">
        <f t="shared" si="13"/>
        <v>4169</v>
      </c>
      <c r="L40" s="91">
        <f t="shared" si="13"/>
        <v>3583</v>
      </c>
      <c r="M40" s="91">
        <f t="shared" ca="1" si="13"/>
        <v>2557.8436499999998</v>
      </c>
      <c r="N40" s="91">
        <f t="shared" ca="1" si="13"/>
        <v>3172.5403909489196</v>
      </c>
      <c r="O40" s="91">
        <f t="shared" ca="1" si="13"/>
        <v>3684.3528759464361</v>
      </c>
      <c r="P40" s="91">
        <f t="shared" ca="1" si="13"/>
        <v>4348.9314179015419</v>
      </c>
      <c r="Q40" s="91">
        <f t="shared" ca="1" si="13"/>
        <v>5010.1955306628288</v>
      </c>
      <c r="R40" s="91">
        <f t="shared" ca="1" si="13"/>
        <v>5860.5478854363755</v>
      </c>
      <c r="S40" s="91">
        <f t="shared" ca="1" si="13"/>
        <v>6644.8936191453031</v>
      </c>
      <c r="T40" s="91">
        <f t="shared" ca="1" si="13"/>
        <v>7079.7688544099274</v>
      </c>
      <c r="U40" s="91">
        <f t="shared" ca="1" si="13"/>
        <v>7427.2705966473786</v>
      </c>
      <c r="V40" s="92">
        <f t="shared" ca="1" si="13"/>
        <v>7700.6894248761018</v>
      </c>
    </row>
    <row r="42" spans="2:22" x14ac:dyDescent="0.25">
      <c r="B42" t="s">
        <v>181</v>
      </c>
      <c r="G42" s="23">
        <f>Model!K136</f>
        <v>491.9</v>
      </c>
      <c r="H42" s="23">
        <f>Model!L136</f>
        <v>1245.3</v>
      </c>
      <c r="I42" s="23">
        <f>Model!M136</f>
        <v>1439</v>
      </c>
      <c r="J42" s="23">
        <f>Model!N136</f>
        <v>1453</v>
      </c>
      <c r="K42" s="23">
        <f>Model!O136</f>
        <v>1666</v>
      </c>
      <c r="L42" s="23">
        <f>Model!P136</f>
        <v>1823</v>
      </c>
      <c r="M42" s="23">
        <f ca="1">M43*M25</f>
        <v>1615.4801999999997</v>
      </c>
      <c r="N42" s="23">
        <f t="shared" ref="N42:V42" ca="1" si="14">N43*N25</f>
        <v>1913.0896829842727</v>
      </c>
      <c r="O42" s="23">
        <f t="shared" ca="1" si="14"/>
        <v>2120.9994968269239</v>
      </c>
      <c r="P42" s="23">
        <f t="shared" ca="1" si="14"/>
        <v>2389.823673531168</v>
      </c>
      <c r="Q42" s="23">
        <f t="shared" ca="1" si="14"/>
        <v>2627.8268603274682</v>
      </c>
      <c r="R42" s="23">
        <f t="shared" ca="1" si="14"/>
        <v>2933.5658772811539</v>
      </c>
      <c r="S42" s="23">
        <f t="shared" ca="1" si="14"/>
        <v>3189.5489371897456</v>
      </c>
      <c r="T42" s="23">
        <f t="shared" ca="1" si="14"/>
        <v>3398.2890501167653</v>
      </c>
      <c r="U42" s="23">
        <f t="shared" ca="1" si="14"/>
        <v>3565.0898863907419</v>
      </c>
      <c r="V42" s="23">
        <f t="shared" ca="1" si="14"/>
        <v>3696.3309239405289</v>
      </c>
    </row>
    <row r="43" spans="2:22" x14ac:dyDescent="0.25">
      <c r="B43" s="65" t="s">
        <v>177</v>
      </c>
      <c r="C43" s="66"/>
      <c r="D43" s="66"/>
      <c r="E43" s="66"/>
      <c r="F43" s="66"/>
      <c r="G43" s="71">
        <f t="shared" ref="G43:L43" si="15">G42/G25</f>
        <v>3.5996545970787108E-2</v>
      </c>
      <c r="H43" s="71">
        <f t="shared" si="15"/>
        <v>7.8402115402776459E-2</v>
      </c>
      <c r="I43" s="71">
        <f t="shared" si="15"/>
        <v>0.1098456512114319</v>
      </c>
      <c r="J43" s="71">
        <f t="shared" si="15"/>
        <v>8.2346273731935399E-2</v>
      </c>
      <c r="K43" s="71">
        <f t="shared" si="15"/>
        <v>8.1863299100781287E-2</v>
      </c>
      <c r="L43" s="71">
        <f t="shared" si="15"/>
        <v>9.3171828682408253E-2</v>
      </c>
      <c r="M43" s="72">
        <v>0.09</v>
      </c>
      <c r="N43" s="72">
        <v>0.09</v>
      </c>
      <c r="O43" s="72">
        <v>0.09</v>
      </c>
      <c r="P43" s="72">
        <v>0.09</v>
      </c>
      <c r="Q43" s="72">
        <v>0.09</v>
      </c>
      <c r="R43" s="72">
        <v>0.09</v>
      </c>
      <c r="S43" s="72">
        <v>0.09</v>
      </c>
      <c r="T43" s="72">
        <v>0.09</v>
      </c>
      <c r="U43" s="72">
        <v>0.09</v>
      </c>
      <c r="V43" s="72">
        <v>0.09</v>
      </c>
    </row>
    <row r="45" spans="2:22" x14ac:dyDescent="0.25">
      <c r="B45" t="s">
        <v>182</v>
      </c>
      <c r="G45" s="23">
        <f>+Model!K144</f>
        <v>-822.8</v>
      </c>
      <c r="H45" s="23">
        <f>+Model!L144</f>
        <v>-954.59999999999991</v>
      </c>
      <c r="I45" s="23">
        <f>+Model!M144</f>
        <v>-784</v>
      </c>
      <c r="J45" s="23">
        <f>+Model!N144</f>
        <v>-928</v>
      </c>
      <c r="K45" s="23">
        <f>+Model!O144</f>
        <v>-1070</v>
      </c>
      <c r="L45" s="23">
        <f>+Model!P144</f>
        <v>-2476</v>
      </c>
      <c r="M45" s="23">
        <f ca="1">M46*M25</f>
        <v>-2333.4713999999999</v>
      </c>
      <c r="N45" s="23">
        <f t="shared" ref="N45:V45" ca="1" si="16">N46*N25</f>
        <v>-2487.0165878795547</v>
      </c>
      <c r="O45" s="23">
        <f t="shared" ca="1" si="16"/>
        <v>-2481.5694112875012</v>
      </c>
      <c r="P45" s="23">
        <f t="shared" ca="1" si="16"/>
        <v>-2516.48432822832</v>
      </c>
      <c r="Q45" s="23">
        <f t="shared" ca="1" si="16"/>
        <v>-2627.8268603274682</v>
      </c>
      <c r="R45" s="23">
        <f t="shared" ca="1" si="16"/>
        <v>-2933.5658772811539</v>
      </c>
      <c r="S45" s="23">
        <f t="shared" ca="1" si="16"/>
        <v>-3189.5489371897456</v>
      </c>
      <c r="T45" s="23">
        <f t="shared" ca="1" si="16"/>
        <v>-3398.2890501167653</v>
      </c>
      <c r="U45" s="23">
        <f t="shared" ca="1" si="16"/>
        <v>-3565.0898863907419</v>
      </c>
      <c r="V45" s="23">
        <f t="shared" ca="1" si="16"/>
        <v>-3696.3309239405289</v>
      </c>
    </row>
    <row r="46" spans="2:22" x14ac:dyDescent="0.25">
      <c r="B46" s="65" t="s">
        <v>177</v>
      </c>
      <c r="G46" s="71">
        <f t="shared" ref="G46:L46" si="17">G45/G25</f>
        <v>-6.0211339753534522E-2</v>
      </c>
      <c r="H46" s="71">
        <f t="shared" si="17"/>
        <v>-6.0100103881386341E-2</v>
      </c>
      <c r="I46" s="71">
        <f t="shared" si="17"/>
        <v>-5.9846414558556361E-2</v>
      </c>
      <c r="J46" s="71">
        <f t="shared" si="17"/>
        <v>-5.2592802493624254E-2</v>
      </c>
      <c r="K46" s="71">
        <f t="shared" si="17"/>
        <v>-5.2577268930273695E-2</v>
      </c>
      <c r="L46" s="71">
        <f t="shared" si="17"/>
        <v>-0.12654604926914034</v>
      </c>
      <c r="M46" s="72">
        <v>-0.13</v>
      </c>
      <c r="N46" s="72">
        <f>+M46*0.9</f>
        <v>-0.11700000000000001</v>
      </c>
      <c r="O46" s="72">
        <f t="shared" ref="O46:P46" si="18">+N46*0.9</f>
        <v>-0.1053</v>
      </c>
      <c r="P46" s="72">
        <f t="shared" si="18"/>
        <v>-9.4770000000000007E-2</v>
      </c>
      <c r="Q46" s="72">
        <v>-0.09</v>
      </c>
      <c r="R46" s="72">
        <v>-0.09</v>
      </c>
      <c r="S46" s="72">
        <v>-0.09</v>
      </c>
      <c r="T46" s="72">
        <v>-0.09</v>
      </c>
      <c r="U46" s="72">
        <v>-0.09</v>
      </c>
      <c r="V46" s="72">
        <v>-0.09</v>
      </c>
    </row>
    <row r="48" spans="2:22" x14ac:dyDescent="0.25">
      <c r="B48" t="s">
        <v>183</v>
      </c>
      <c r="G48" s="23">
        <f>Model!K141</f>
        <v>-51.6</v>
      </c>
      <c r="H48" s="23">
        <f>Model!L141</f>
        <v>-557.5</v>
      </c>
      <c r="I48" s="23">
        <f>Model!M141</f>
        <v>44.4</v>
      </c>
      <c r="J48" s="23">
        <f>Model!N141</f>
        <v>-38</v>
      </c>
      <c r="K48" s="23">
        <f>Model!O141</f>
        <v>-902</v>
      </c>
      <c r="L48" s="23">
        <f>Model!P141</f>
        <v>-396</v>
      </c>
      <c r="M48" s="23">
        <f ca="1">M49*M25</f>
        <v>-179.49779999999998</v>
      </c>
      <c r="N48" s="23">
        <f t="shared" ref="N48:V48" ca="1" si="19">N49*N25</f>
        <v>-212.56552033158587</v>
      </c>
      <c r="O48" s="23">
        <f t="shared" ca="1" si="19"/>
        <v>-235.66661075854711</v>
      </c>
      <c r="P48" s="23">
        <f t="shared" ca="1" si="19"/>
        <v>-265.53596372568535</v>
      </c>
      <c r="Q48" s="23">
        <f t="shared" ca="1" si="19"/>
        <v>-291.98076225860757</v>
      </c>
      <c r="R48" s="23">
        <f t="shared" ca="1" si="19"/>
        <v>-325.95176414235044</v>
      </c>
      <c r="S48" s="23">
        <f t="shared" ca="1" si="19"/>
        <v>-354.39432635441619</v>
      </c>
      <c r="T48" s="23">
        <f t="shared" ca="1" si="19"/>
        <v>-377.58767223519618</v>
      </c>
      <c r="U48" s="23">
        <f t="shared" ca="1" si="19"/>
        <v>-396.12109848786025</v>
      </c>
      <c r="V48" s="23">
        <f t="shared" ca="1" si="19"/>
        <v>-410.70343599339213</v>
      </c>
    </row>
    <row r="49" spans="2:22" x14ac:dyDescent="0.25">
      <c r="B49" s="65" t="s">
        <v>177</v>
      </c>
      <c r="G49" s="71">
        <f t="shared" ref="G49:L49" si="20">G48/G25</f>
        <v>-3.7760149869742118E-3</v>
      </c>
      <c r="H49" s="71">
        <f t="shared" si="20"/>
        <v>-3.509931690118677E-2</v>
      </c>
      <c r="I49" s="71">
        <f t="shared" si="20"/>
        <v>3.3892612326529366E-3</v>
      </c>
      <c r="J49" s="71">
        <f t="shared" si="20"/>
        <v>-2.1535845848682346E-3</v>
      </c>
      <c r="K49" s="71">
        <f t="shared" si="20"/>
        <v>-4.4322146331875582E-2</v>
      </c>
      <c r="L49" s="71">
        <f t="shared" si="20"/>
        <v>-2.0239190432382703E-2</v>
      </c>
      <c r="M49" s="72">
        <v>-0.01</v>
      </c>
      <c r="N49" s="72">
        <v>-0.01</v>
      </c>
      <c r="O49" s="72">
        <v>-0.01</v>
      </c>
      <c r="P49" s="72">
        <v>-0.01</v>
      </c>
      <c r="Q49" s="72">
        <v>-0.01</v>
      </c>
      <c r="R49" s="72">
        <v>-0.01</v>
      </c>
      <c r="S49" s="72">
        <v>-0.01</v>
      </c>
      <c r="T49" s="72">
        <v>-0.01</v>
      </c>
      <c r="U49" s="72">
        <v>-0.01</v>
      </c>
      <c r="V49" s="72">
        <v>-0.01</v>
      </c>
    </row>
    <row r="51" spans="2:22" x14ac:dyDescent="0.25">
      <c r="B51" s="73" t="s">
        <v>184</v>
      </c>
      <c r="C51" s="74"/>
      <c r="D51" s="74"/>
      <c r="E51" s="74"/>
      <c r="F51" s="74"/>
      <c r="G51" s="93">
        <f>G40+G42+G45+G48</f>
        <v>2693.6000000000008</v>
      </c>
      <c r="H51" s="93">
        <f t="shared" ref="H51:U51" si="21">H40+H42+H45+H48</f>
        <v>2377.8000000000006</v>
      </c>
      <c r="I51" s="93">
        <f t="shared" si="21"/>
        <v>3075.4</v>
      </c>
      <c r="J51" s="93">
        <f t="shared" si="21"/>
        <v>4223.6000000000004</v>
      </c>
      <c r="K51" s="93">
        <f t="shared" si="21"/>
        <v>3863</v>
      </c>
      <c r="L51" s="93">
        <f>L40+L42+L45+L48</f>
        <v>2534</v>
      </c>
      <c r="M51" s="93">
        <f ca="1">M40+M42+M45+M48</f>
        <v>1660.3546499999998</v>
      </c>
      <c r="N51" s="93">
        <f t="shared" ca="1" si="21"/>
        <v>2386.0479657220521</v>
      </c>
      <c r="O51" s="93">
        <f t="shared" ca="1" si="21"/>
        <v>3088.1163507273118</v>
      </c>
      <c r="P51" s="93">
        <f t="shared" ca="1" si="21"/>
        <v>3956.7347994787042</v>
      </c>
      <c r="Q51" s="93">
        <f t="shared" ca="1" si="21"/>
        <v>4718.2147684042211</v>
      </c>
      <c r="R51" s="93">
        <f t="shared" ca="1" si="21"/>
        <v>5534.5961212940256</v>
      </c>
      <c r="S51" s="93">
        <f t="shared" ca="1" si="21"/>
        <v>6290.499292790887</v>
      </c>
      <c r="T51" s="93">
        <f t="shared" ca="1" si="21"/>
        <v>6702.1811821747315</v>
      </c>
      <c r="U51" s="93">
        <f t="shared" ca="1" si="21"/>
        <v>7031.1494981595188</v>
      </c>
      <c r="V51" s="94">
        <f ca="1">V40+V42+V45+V48</f>
        <v>7289.9859888827086</v>
      </c>
    </row>
    <row r="52" spans="2:22" x14ac:dyDescent="0.25">
      <c r="B52" s="75" t="s">
        <v>185</v>
      </c>
      <c r="C52" s="76"/>
      <c r="D52" s="76"/>
      <c r="E52" s="76"/>
      <c r="F52" s="76"/>
      <c r="G52" s="95"/>
      <c r="H52" s="95"/>
      <c r="I52" s="95"/>
      <c r="J52" s="95"/>
      <c r="K52" s="95"/>
      <c r="L52" s="95"/>
      <c r="M52" s="95">
        <f ca="1">(M51/(1+$D$16)^M53)*M53</f>
        <v>355.13141124999993</v>
      </c>
      <c r="N52" s="95">
        <f t="shared" ref="N52:V52" ca="1" si="22">N51/(1+$D$16)^N53</f>
        <v>2386.0479657220521</v>
      </c>
      <c r="O52" s="95">
        <f t="shared" ca="1" si="22"/>
        <v>3088.1163507273118</v>
      </c>
      <c r="P52" s="95">
        <f t="shared" ca="1" si="22"/>
        <v>3956.7347994787042</v>
      </c>
      <c r="Q52" s="95">
        <f t="shared" ca="1" si="22"/>
        <v>4718.2147684042211</v>
      </c>
      <c r="R52" s="95">
        <f t="shared" ca="1" si="22"/>
        <v>5534.5961212940256</v>
      </c>
      <c r="S52" s="95">
        <f t="shared" ca="1" si="22"/>
        <v>6290.499292790887</v>
      </c>
      <c r="T52" s="95">
        <f t="shared" ca="1" si="22"/>
        <v>6702.1811821747315</v>
      </c>
      <c r="U52" s="95">
        <f t="shared" ca="1" si="22"/>
        <v>7031.1494981595188</v>
      </c>
      <c r="V52" s="96">
        <f t="shared" ca="1" si="22"/>
        <v>7289.9859888827086</v>
      </c>
    </row>
    <row r="53" spans="2:22" x14ac:dyDescent="0.25">
      <c r="B53" t="s">
        <v>186</v>
      </c>
      <c r="M53" s="103">
        <f>YEARFRAC(E4,E5)</f>
        <v>0.21388888888888888</v>
      </c>
      <c r="N53" s="103">
        <f>M53+1</f>
        <v>1.2138888888888888</v>
      </c>
      <c r="O53" s="103">
        <f>N53+1</f>
        <v>2.2138888888888886</v>
      </c>
      <c r="P53" s="103">
        <f t="shared" ref="P53:V53" si="23">O53+1</f>
        <v>3.2138888888888886</v>
      </c>
      <c r="Q53" s="103">
        <f t="shared" si="23"/>
        <v>4.2138888888888886</v>
      </c>
      <c r="R53" s="103">
        <f t="shared" si="23"/>
        <v>5.2138888888888886</v>
      </c>
      <c r="S53" s="103">
        <f t="shared" si="23"/>
        <v>6.2138888888888886</v>
      </c>
      <c r="T53" s="103">
        <f t="shared" si="23"/>
        <v>7.2138888888888886</v>
      </c>
      <c r="U53" s="103">
        <f t="shared" si="23"/>
        <v>8.2138888888888886</v>
      </c>
      <c r="V53" s="103">
        <f t="shared" si="23"/>
        <v>9.2138888888888886</v>
      </c>
    </row>
    <row r="54" spans="2:22" x14ac:dyDescent="0.25">
      <c r="B54" t="s">
        <v>187</v>
      </c>
      <c r="N54" s="13"/>
      <c r="O54" s="13"/>
      <c r="P54" s="13"/>
      <c r="Q54" s="13"/>
      <c r="V54" s="23">
        <f ca="1">SUM(M52:V52)</f>
        <v>47352.657378884149</v>
      </c>
    </row>
    <row r="55" spans="2:22" x14ac:dyDescent="0.25">
      <c r="B55" t="s">
        <v>188</v>
      </c>
      <c r="N55" s="13"/>
      <c r="O55" s="13"/>
      <c r="P55" s="13"/>
      <c r="Q55" s="13"/>
      <c r="V55" s="97">
        <f ca="1">+(V40*(1+E19))*(1-(E19/E20))/(WACC-E19)</f>
        <v>103648.16826916569</v>
      </c>
    </row>
    <row r="56" spans="2:22" x14ac:dyDescent="0.25">
      <c r="B56" s="6" t="s">
        <v>189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35"/>
      <c r="O56" s="35"/>
      <c r="P56" s="35"/>
      <c r="Q56" s="35"/>
      <c r="R56" s="35"/>
      <c r="S56" s="35"/>
      <c r="T56" s="35"/>
      <c r="U56" s="35"/>
      <c r="V56" s="98">
        <f ca="1">V55/(1+E18)^V53</f>
        <v>51003.368759651719</v>
      </c>
    </row>
    <row r="57" spans="2:22" x14ac:dyDescent="0.25">
      <c r="B57" s="77" t="s">
        <v>190</v>
      </c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8"/>
      <c r="O57" s="78"/>
      <c r="P57" s="78"/>
      <c r="Q57" s="78"/>
      <c r="R57" s="78"/>
      <c r="S57" s="78"/>
      <c r="T57" s="78"/>
      <c r="U57" s="78"/>
      <c r="V57" s="99">
        <f ca="1">V54+V56</f>
        <v>98356.026138535875</v>
      </c>
    </row>
    <row r="58" spans="2:22" x14ac:dyDescent="0.25">
      <c r="B58" t="s">
        <v>191</v>
      </c>
      <c r="N58" s="13"/>
      <c r="O58" s="13"/>
      <c r="P58" s="13"/>
      <c r="Q58" s="13"/>
      <c r="V58" s="97">
        <f>+Main!H5+Model!E95+Model!E96</f>
        <v>5776</v>
      </c>
    </row>
    <row r="59" spans="2:22" x14ac:dyDescent="0.25">
      <c r="B59" s="6" t="s">
        <v>192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35"/>
      <c r="O59" s="35"/>
      <c r="P59" s="35"/>
      <c r="Q59" s="35"/>
      <c r="R59" s="35"/>
      <c r="S59" s="35"/>
      <c r="T59" s="35"/>
      <c r="U59" s="35"/>
      <c r="V59" s="98">
        <f>+Main!H6+Model!E116+Model!E117+Model!E118+Model!E119</f>
        <v>16366</v>
      </c>
    </row>
    <row r="60" spans="2:22" x14ac:dyDescent="0.25">
      <c r="B60" t="s">
        <v>193</v>
      </c>
      <c r="N60" s="13"/>
      <c r="O60" s="13"/>
      <c r="P60" s="13"/>
      <c r="Q60" s="13"/>
      <c r="V60" s="97">
        <f ca="1">V57+V58-V59</f>
        <v>87766.026138535875</v>
      </c>
    </row>
    <row r="61" spans="2:22" x14ac:dyDescent="0.25">
      <c r="B61" s="6" t="s">
        <v>194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35"/>
      <c r="O61" s="35"/>
      <c r="P61" s="35"/>
      <c r="Q61" s="35"/>
      <c r="R61" s="35"/>
      <c r="S61" s="35"/>
      <c r="T61" s="35"/>
      <c r="U61" s="35"/>
      <c r="V61" s="109">
        <f>Main!H3</f>
        <v>122.617597</v>
      </c>
    </row>
    <row r="62" spans="2:22" x14ac:dyDescent="0.25">
      <c r="B62" t="s">
        <v>154</v>
      </c>
      <c r="V62" s="97">
        <f ca="1">V60/V61</f>
        <v>715.77023433704926</v>
      </c>
    </row>
    <row r="66" spans="1:22" x14ac:dyDescent="0.25">
      <c r="A66" s="15" t="s">
        <v>52</v>
      </c>
      <c r="B66" s="47" t="s">
        <v>195</v>
      </c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</row>
    <row r="68" spans="1:22" x14ac:dyDescent="0.25">
      <c r="B68" s="79"/>
      <c r="C68" s="116" t="s">
        <v>168</v>
      </c>
      <c r="D68" s="116"/>
      <c r="E68" s="116"/>
      <c r="F68" s="116"/>
      <c r="G68" s="116"/>
      <c r="H68" s="116"/>
      <c r="I68" s="116"/>
      <c r="J68" s="117"/>
    </row>
    <row r="69" spans="1:22" x14ac:dyDescent="0.25">
      <c r="B69" s="118" t="s">
        <v>167</v>
      </c>
      <c r="C69" s="80">
        <f ca="1">V62</f>
        <v>715.77023433704926</v>
      </c>
      <c r="D69" s="81">
        <v>5.0000000000000001E-3</v>
      </c>
      <c r="E69" s="81">
        <v>0.01</v>
      </c>
      <c r="F69" s="81">
        <v>1.4999999999999999E-2</v>
      </c>
      <c r="G69" s="81">
        <v>0.02</v>
      </c>
      <c r="H69" s="81">
        <v>2.5000000000000001E-2</v>
      </c>
      <c r="I69" s="81">
        <v>0.03</v>
      </c>
      <c r="J69" s="81">
        <v>3.5000000000000003E-2</v>
      </c>
    </row>
    <row r="70" spans="1:22" x14ac:dyDescent="0.25">
      <c r="B70" s="118"/>
      <c r="C70" s="82">
        <v>7.0000000000000007E-2</v>
      </c>
      <c r="D70" s="83">
        <f t="dataTable" ref="D70:J76" dt2D="1" dtr="1" r1="E19" r2="E18" ca="1"/>
        <v>791.47798854475855</v>
      </c>
      <c r="E70" s="83">
        <v>803.61247367529768</v>
      </c>
      <c r="F70" s="83">
        <v>817.6131318693906</v>
      </c>
      <c r="G70" s="112">
        <v>834.03981504610374</v>
      </c>
      <c r="H70" s="83">
        <v>853.70119819964361</v>
      </c>
      <c r="I70" s="83">
        <v>877.81029382132078</v>
      </c>
      <c r="J70" s="83">
        <v>908.27326439747901</v>
      </c>
    </row>
    <row r="71" spans="1:22" x14ac:dyDescent="0.25">
      <c r="B71" s="118"/>
      <c r="C71" s="82">
        <v>7.4999999999999997E-2</v>
      </c>
      <c r="D71" s="83">
        <v>737.16351091230297</v>
      </c>
      <c r="E71" s="83">
        <v>745.30575887517693</v>
      </c>
      <c r="F71" s="83">
        <v>754.50640061798913</v>
      </c>
      <c r="G71" s="112">
        <v>765.05408898981398</v>
      </c>
      <c r="H71" s="83">
        <v>777.35293797935469</v>
      </c>
      <c r="I71" s="83">
        <v>791.98666779251698</v>
      </c>
      <c r="J71" s="83">
        <v>809.83085873815844</v>
      </c>
    </row>
    <row r="72" spans="1:22" x14ac:dyDescent="0.25">
      <c r="B72" s="118"/>
      <c r="C72" s="82">
        <v>0.08</v>
      </c>
      <c r="D72" s="83">
        <v>690.92220727690074</v>
      </c>
      <c r="E72" s="83">
        <v>696.1709739405394</v>
      </c>
      <c r="F72" s="83">
        <v>701.96310681522323</v>
      </c>
      <c r="G72" s="112">
        <v>708.43444745371391</v>
      </c>
      <c r="H72" s="83">
        <v>715.77023433704926</v>
      </c>
      <c r="I72" s="83">
        <v>724.22980133868293</v>
      </c>
      <c r="J72" s="83">
        <v>734.18774183138055</v>
      </c>
    </row>
    <row r="73" spans="1:22" x14ac:dyDescent="0.25">
      <c r="B73" s="118"/>
      <c r="C73" s="82">
        <v>8.5000000000000006E-2</v>
      </c>
      <c r="D73" s="112">
        <v>651.20084112192876</v>
      </c>
      <c r="E73" s="112">
        <v>654.33386416992653</v>
      </c>
      <c r="F73" s="112">
        <v>657.67941175728515</v>
      </c>
      <c r="G73" s="112">
        <v>661.28652800847271</v>
      </c>
      <c r="H73" s="112">
        <v>665.22060508944617</v>
      </c>
      <c r="I73" s="112">
        <v>669.57081413560195</v>
      </c>
      <c r="J73" s="112">
        <v>674.46199473649438</v>
      </c>
    </row>
    <row r="74" spans="1:22" x14ac:dyDescent="0.25">
      <c r="B74" s="118"/>
      <c r="C74" s="82">
        <v>0.09</v>
      </c>
      <c r="D74" s="83">
        <v>616.81368818159467</v>
      </c>
      <c r="E74" s="83">
        <v>618.39079354570822</v>
      </c>
      <c r="F74" s="83">
        <v>619.96789890982188</v>
      </c>
      <c r="G74" s="112">
        <v>621.54500427393566</v>
      </c>
      <c r="H74" s="83">
        <v>623.12210963804944</v>
      </c>
      <c r="I74" s="83">
        <v>624.69921500216321</v>
      </c>
      <c r="J74" s="83">
        <v>626.27632036627688</v>
      </c>
    </row>
    <row r="75" spans="1:22" x14ac:dyDescent="0.25">
      <c r="B75" s="118"/>
      <c r="C75" s="82">
        <v>9.5000000000000001E-2</v>
      </c>
      <c r="D75" s="83">
        <v>586.84033534705691</v>
      </c>
      <c r="E75" s="83">
        <v>587.27021294532244</v>
      </c>
      <c r="F75" s="83">
        <v>587.56482733378891</v>
      </c>
      <c r="G75" s="112">
        <v>587.69712587049662</v>
      </c>
      <c r="H75" s="83">
        <v>587.6323265872112</v>
      </c>
      <c r="I75" s="83">
        <v>587.324945371627</v>
      </c>
      <c r="J75" s="83">
        <v>586.71433674066861</v>
      </c>
    </row>
    <row r="76" spans="1:22" x14ac:dyDescent="0.25">
      <c r="B76" s="119"/>
      <c r="C76" s="82">
        <v>0.1</v>
      </c>
      <c r="D76" s="83">
        <v>560.55576047205227</v>
      </c>
      <c r="E76" s="83">
        <v>560.14031247434843</v>
      </c>
      <c r="F76" s="83">
        <v>559.50542015612859</v>
      </c>
      <c r="G76" s="112">
        <v>558.60993770729624</v>
      </c>
      <c r="H76" s="83">
        <v>557.40174710172869</v>
      </c>
      <c r="I76" s="83">
        <v>555.81383944869719</v>
      </c>
      <c r="J76" s="83">
        <v>553.75858773724826</v>
      </c>
    </row>
  </sheetData>
  <mergeCells count="2">
    <mergeCell ref="C68:J68"/>
    <mergeCell ref="B69:B76"/>
  </mergeCells>
  <dataValidations count="1">
    <dataValidation type="list" allowBlank="1" showInputMessage="1" showErrorMessage="1" sqref="E11:E15" xr:uid="{7B16046F-E41F-4A5F-91F6-6A6C50BCB386}">
      <formula1>"1,2,3"</formula1>
    </dataValidation>
  </dataValidations>
  <hyperlinks>
    <hyperlink ref="A1" location="Main!A1" display="Main" xr:uid="{C241D571-D06B-414C-A374-F4A0466DBBC3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EE722-FEE7-4558-ACF3-9C83130F28A7}">
  <dimension ref="A1:H41"/>
  <sheetViews>
    <sheetView showGridLines="0" topLeftCell="A25" zoomScale="200" zoomScaleNormal="200" workbookViewId="0">
      <selection activeCell="F12" sqref="F12"/>
    </sheetView>
  </sheetViews>
  <sheetFormatPr defaultRowHeight="15" x14ac:dyDescent="0.25"/>
  <cols>
    <col min="1" max="1" width="4.7109375" bestFit="1" customWidth="1"/>
    <col min="2" max="2" width="32.85546875" bestFit="1" customWidth="1"/>
  </cols>
  <sheetData>
    <row r="1" spans="1:8" x14ac:dyDescent="0.25">
      <c r="A1" s="11" t="s">
        <v>29</v>
      </c>
    </row>
    <row r="3" spans="1:8" x14ac:dyDescent="0.25">
      <c r="B3" s="47" t="s">
        <v>284</v>
      </c>
      <c r="C3" s="47"/>
      <c r="D3" s="47"/>
      <c r="E3" s="47"/>
      <c r="F3" s="47"/>
    </row>
    <row r="4" spans="1:8" x14ac:dyDescent="0.25">
      <c r="A4" s="27" t="s">
        <v>52</v>
      </c>
      <c r="B4" s="2" t="s">
        <v>285</v>
      </c>
    </row>
    <row r="5" spans="1:8" x14ac:dyDescent="0.25">
      <c r="B5" s="2" t="s">
        <v>286</v>
      </c>
    </row>
    <row r="6" spans="1:8" x14ac:dyDescent="0.25">
      <c r="B6" t="s">
        <v>287</v>
      </c>
      <c r="H6" s="84" t="s">
        <v>288</v>
      </c>
    </row>
    <row r="7" spans="1:8" x14ac:dyDescent="0.25">
      <c r="B7" t="s">
        <v>289</v>
      </c>
      <c r="F7" s="106">
        <v>2.2700000000000001E-2</v>
      </c>
      <c r="H7" s="84" t="s">
        <v>290</v>
      </c>
    </row>
    <row r="8" spans="1:8" x14ac:dyDescent="0.25">
      <c r="B8" t="s">
        <v>286</v>
      </c>
      <c r="F8" s="18">
        <f>F6+F7</f>
        <v>2.2700000000000001E-2</v>
      </c>
      <c r="H8" s="84" t="s">
        <v>291</v>
      </c>
    </row>
    <row r="10" spans="1:8" x14ac:dyDescent="0.25">
      <c r="A10" s="27" t="s">
        <v>52</v>
      </c>
      <c r="B10" s="2" t="s">
        <v>292</v>
      </c>
    </row>
    <row r="11" spans="1:8" x14ac:dyDescent="0.25">
      <c r="B11" t="s">
        <v>293</v>
      </c>
      <c r="H11" s="84" t="s">
        <v>294</v>
      </c>
    </row>
    <row r="12" spans="1:8" x14ac:dyDescent="0.25">
      <c r="B12" t="s">
        <v>295</v>
      </c>
      <c r="H12" s="84" t="s">
        <v>296</v>
      </c>
    </row>
    <row r="13" spans="1:8" x14ac:dyDescent="0.25">
      <c r="B13" t="s">
        <v>297</v>
      </c>
      <c r="H13" s="84" t="s">
        <v>298</v>
      </c>
    </row>
    <row r="14" spans="1:8" x14ac:dyDescent="0.25">
      <c r="B14" t="s">
        <v>299</v>
      </c>
      <c r="H14" s="84" t="s">
        <v>300</v>
      </c>
    </row>
    <row r="15" spans="1:8" x14ac:dyDescent="0.25">
      <c r="B15" t="s">
        <v>301</v>
      </c>
      <c r="H15" s="84" t="s">
        <v>302</v>
      </c>
    </row>
    <row r="17" spans="1:8" x14ac:dyDescent="0.25">
      <c r="A17" s="27" t="s">
        <v>52</v>
      </c>
      <c r="B17" s="2" t="s">
        <v>303</v>
      </c>
    </row>
    <row r="18" spans="1:8" x14ac:dyDescent="0.25">
      <c r="B18" t="s">
        <v>304</v>
      </c>
      <c r="H18" s="84" t="s">
        <v>305</v>
      </c>
    </row>
    <row r="19" spans="1:8" x14ac:dyDescent="0.25">
      <c r="B19" t="s">
        <v>286</v>
      </c>
    </row>
    <row r="20" spans="1:8" x14ac:dyDescent="0.25">
      <c r="B20" t="s">
        <v>303</v>
      </c>
      <c r="F20" s="18">
        <f>F18-F19</f>
        <v>0</v>
      </c>
    </row>
    <row r="22" spans="1:8" x14ac:dyDescent="0.25">
      <c r="A22" s="27" t="s">
        <v>52</v>
      </c>
      <c r="B22" s="88" t="s">
        <v>285</v>
      </c>
      <c r="C22" s="77"/>
      <c r="D22" s="77"/>
      <c r="E22" s="77"/>
      <c r="F22" s="107">
        <f>F8+F15*F20</f>
        <v>2.2700000000000001E-2</v>
      </c>
      <c r="H22" s="84" t="s">
        <v>306</v>
      </c>
    </row>
    <row r="25" spans="1:8" x14ac:dyDescent="0.25">
      <c r="A25" s="27" t="s">
        <v>52</v>
      </c>
      <c r="B25" s="2" t="s">
        <v>307</v>
      </c>
    </row>
    <row r="26" spans="1:8" x14ac:dyDescent="0.25">
      <c r="B26" t="s">
        <v>308</v>
      </c>
      <c r="F26" s="106">
        <v>3.6249999999999998E-2</v>
      </c>
      <c r="H26" s="84" t="s">
        <v>309</v>
      </c>
    </row>
    <row r="27" spans="1:8" x14ac:dyDescent="0.25">
      <c r="B27" t="s">
        <v>310</v>
      </c>
    </row>
    <row r="28" spans="1:8" x14ac:dyDescent="0.25">
      <c r="B28" t="s">
        <v>286</v>
      </c>
    </row>
    <row r="29" spans="1:8" x14ac:dyDescent="0.25">
      <c r="B29" t="s">
        <v>311</v>
      </c>
    </row>
    <row r="30" spans="1:8" x14ac:dyDescent="0.25">
      <c r="B30" t="s">
        <v>312</v>
      </c>
    </row>
    <row r="32" spans="1:8" x14ac:dyDescent="0.25">
      <c r="A32" s="27" t="s">
        <v>52</v>
      </c>
      <c r="B32" s="88" t="s">
        <v>307</v>
      </c>
      <c r="C32" s="77"/>
      <c r="D32" s="77"/>
      <c r="E32" s="77"/>
      <c r="F32" s="108">
        <f>+F26</f>
        <v>3.6249999999999998E-2</v>
      </c>
    </row>
    <row r="34" spans="1:8" x14ac:dyDescent="0.25">
      <c r="A34" s="27" t="s">
        <v>52</v>
      </c>
      <c r="B34" s="2" t="s">
        <v>2</v>
      </c>
    </row>
    <row r="35" spans="1:8" x14ac:dyDescent="0.25">
      <c r="B35" t="s">
        <v>313</v>
      </c>
      <c r="F35" s="23">
        <f>+Main!H4</f>
        <v>21335.461878000002</v>
      </c>
    </row>
    <row r="36" spans="1:8" x14ac:dyDescent="0.25">
      <c r="B36" t="s">
        <v>314</v>
      </c>
      <c r="F36" s="23">
        <f>+Main!H6</f>
        <v>14035</v>
      </c>
    </row>
    <row r="37" spans="1:8" x14ac:dyDescent="0.25">
      <c r="B37" t="s">
        <v>315</v>
      </c>
      <c r="F37" s="23">
        <f>F35+F36</f>
        <v>35370.461878000002</v>
      </c>
    </row>
    <row r="39" spans="1:8" x14ac:dyDescent="0.25">
      <c r="B39" t="s">
        <v>316</v>
      </c>
      <c r="F39" s="22">
        <v>0.27</v>
      </c>
    </row>
    <row r="41" spans="1:8" x14ac:dyDescent="0.25">
      <c r="A41" s="27" t="s">
        <v>52</v>
      </c>
      <c r="B41" s="88" t="s">
        <v>167</v>
      </c>
      <c r="C41" s="77"/>
      <c r="D41" s="77"/>
      <c r="E41" s="77"/>
      <c r="F41" s="107">
        <f>+(F36/F37*F32*(1-F40))+(F35/F37*F22)</f>
        <v>2.8076640278432048E-2</v>
      </c>
      <c r="H41" s="84" t="s">
        <v>317</v>
      </c>
    </row>
  </sheetData>
  <hyperlinks>
    <hyperlink ref="A1" location="Main!A1" display="Main" xr:uid="{BAB9B3D6-5414-47F1-AB23-9A7A4260D479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942A8-37F2-4459-BF30-D5F3B355BF23}">
  <dimension ref="A1:P25"/>
  <sheetViews>
    <sheetView showGridLines="0" zoomScale="200" zoomScaleNormal="200" workbookViewId="0"/>
  </sheetViews>
  <sheetFormatPr defaultRowHeight="15" x14ac:dyDescent="0.25"/>
  <cols>
    <col min="1" max="1" width="4.140625" customWidth="1"/>
    <col min="2" max="2" width="31.5703125" bestFit="1" customWidth="1"/>
    <col min="3" max="4" width="8.85546875" bestFit="1" customWidth="1"/>
    <col min="5" max="5" width="17.85546875" bestFit="1" customWidth="1"/>
    <col min="7" max="7" width="7.85546875" bestFit="1" customWidth="1"/>
    <col min="8" max="8" width="10.140625" bestFit="1" customWidth="1"/>
  </cols>
  <sheetData>
    <row r="1" spans="1:16" x14ac:dyDescent="0.25">
      <c r="A1" s="11" t="s">
        <v>29</v>
      </c>
    </row>
    <row r="2" spans="1:16" ht="15.75" x14ac:dyDescent="0.25">
      <c r="A2" s="26"/>
    </row>
    <row r="3" spans="1:16" ht="15.75" x14ac:dyDescent="0.25">
      <c r="A3" s="17"/>
      <c r="C3" s="120" t="s">
        <v>118</v>
      </c>
      <c r="D3" s="120"/>
      <c r="E3" s="120"/>
      <c r="F3" s="120"/>
      <c r="G3" s="120"/>
      <c r="H3" s="120"/>
      <c r="I3" s="120"/>
      <c r="J3" s="120" t="s">
        <v>119</v>
      </c>
      <c r="K3" s="120"/>
      <c r="L3" s="120"/>
      <c r="M3" s="120"/>
      <c r="N3" s="120"/>
      <c r="O3" s="120"/>
    </row>
    <row r="4" spans="1:16" x14ac:dyDescent="0.25">
      <c r="A4" s="27"/>
    </row>
    <row r="5" spans="1:16" ht="15.75" x14ac:dyDescent="0.25">
      <c r="A5" s="28" t="s">
        <v>52</v>
      </c>
      <c r="B5" s="47" t="s">
        <v>120</v>
      </c>
      <c r="C5" s="48" t="s">
        <v>5</v>
      </c>
      <c r="D5" s="48" t="s">
        <v>8</v>
      </c>
      <c r="E5" s="48" t="s">
        <v>121</v>
      </c>
      <c r="F5" s="48" t="s">
        <v>122</v>
      </c>
      <c r="G5" s="48" t="s">
        <v>123</v>
      </c>
      <c r="H5" s="49" t="s">
        <v>146</v>
      </c>
      <c r="I5" s="48" t="s">
        <v>124</v>
      </c>
      <c r="J5" s="49" t="s">
        <v>147</v>
      </c>
      <c r="K5" s="48" t="s">
        <v>148</v>
      </c>
      <c r="L5" s="48" t="s">
        <v>149</v>
      </c>
      <c r="M5" s="48" t="s">
        <v>150</v>
      </c>
      <c r="N5" s="48" t="s">
        <v>125</v>
      </c>
      <c r="O5" s="48" t="s">
        <v>126</v>
      </c>
    </row>
    <row r="6" spans="1:16" x14ac:dyDescent="0.25">
      <c r="A6" s="27"/>
      <c r="B6" t="s">
        <v>127</v>
      </c>
      <c r="C6" s="23">
        <v>339520</v>
      </c>
      <c r="D6" s="23">
        <v>413940</v>
      </c>
      <c r="E6" s="37">
        <v>1.3180000000000001</v>
      </c>
      <c r="F6" s="23">
        <v>97200</v>
      </c>
      <c r="G6" s="23">
        <v>21400</v>
      </c>
      <c r="H6" s="37">
        <v>1.7600000000000001E-2</v>
      </c>
      <c r="I6" s="37">
        <v>0.1074</v>
      </c>
      <c r="J6" s="29">
        <v>4.29</v>
      </c>
      <c r="K6" s="30">
        <v>24.24</v>
      </c>
      <c r="L6" s="30">
        <v>1.89</v>
      </c>
      <c r="M6" s="27">
        <v>6.18</v>
      </c>
      <c r="N6" s="27">
        <v>19.149999999999999</v>
      </c>
      <c r="O6" s="30">
        <f t="shared" ref="O6:O15" si="0">D6/G6</f>
        <v>19.342990654205607</v>
      </c>
      <c r="P6" s="30"/>
    </row>
    <row r="7" spans="1:16" x14ac:dyDescent="0.25">
      <c r="A7" s="27"/>
      <c r="B7" t="s">
        <v>128</v>
      </c>
      <c r="C7" s="23">
        <v>151050</v>
      </c>
      <c r="D7" s="23">
        <v>149400</v>
      </c>
      <c r="E7" s="37">
        <v>0.4</v>
      </c>
      <c r="F7" s="23">
        <v>11600</v>
      </c>
      <c r="G7" s="23">
        <f>F7*(39.74%)</f>
        <v>4609.84</v>
      </c>
      <c r="H7" s="37">
        <v>7.4999999999999997E-3</v>
      </c>
      <c r="I7" s="37">
        <v>0.1953</v>
      </c>
      <c r="J7" s="27">
        <v>13.02</v>
      </c>
      <c r="K7" s="27">
        <v>44.88</v>
      </c>
      <c r="L7" s="27">
        <v>2.2799999999999998</v>
      </c>
      <c r="M7" s="27">
        <v>12.14</v>
      </c>
      <c r="N7" s="27">
        <v>35.67</v>
      </c>
      <c r="O7" s="29">
        <f t="shared" si="0"/>
        <v>32.408933932631065</v>
      </c>
    </row>
    <row r="8" spans="1:16" x14ac:dyDescent="0.25">
      <c r="A8" s="27"/>
      <c r="B8" t="s">
        <v>129</v>
      </c>
      <c r="C8" s="23">
        <v>66780</v>
      </c>
      <c r="D8" s="23">
        <v>76740</v>
      </c>
      <c r="E8" s="37">
        <v>1.143</v>
      </c>
      <c r="F8" s="23">
        <v>19830</v>
      </c>
      <c r="G8" s="23">
        <v>3390</v>
      </c>
      <c r="H8" s="37">
        <v>2.1299999999999999E-2</v>
      </c>
      <c r="I8" s="37">
        <v>0.10349999999999999</v>
      </c>
      <c r="J8" s="31">
        <f>C8/F8</f>
        <v>3.367624810892587</v>
      </c>
      <c r="K8" s="32">
        <v>2145.34</v>
      </c>
      <c r="L8" s="27">
        <v>0.17</v>
      </c>
      <c r="M8" s="27">
        <v>3.56</v>
      </c>
      <c r="N8" s="30">
        <v>13.52</v>
      </c>
      <c r="O8" s="31">
        <f t="shared" si="0"/>
        <v>22.63716814159292</v>
      </c>
    </row>
    <row r="9" spans="1:16" x14ac:dyDescent="0.25">
      <c r="A9" s="27"/>
      <c r="B9" t="s">
        <v>130</v>
      </c>
      <c r="C9" s="23">
        <v>5830</v>
      </c>
      <c r="D9" s="23">
        <v>7600</v>
      </c>
      <c r="E9" s="37">
        <v>2.0714000000000001</v>
      </c>
      <c r="F9" s="23">
        <f>C9/J9</f>
        <v>3554.8780487804879</v>
      </c>
      <c r="G9" s="23">
        <f>F9*25.87%</f>
        <v>919.64695121951218</v>
      </c>
      <c r="H9" s="37">
        <v>2.0299999999999999E-2</v>
      </c>
      <c r="I9" s="37">
        <v>0.24299999999999999</v>
      </c>
      <c r="J9" s="27">
        <v>1.64</v>
      </c>
      <c r="K9" s="27">
        <v>9.01</v>
      </c>
      <c r="L9" s="30">
        <v>1.78</v>
      </c>
      <c r="M9" s="27">
        <v>6.09</v>
      </c>
      <c r="N9" s="30">
        <v>10.31</v>
      </c>
      <c r="O9" s="30">
        <f t="shared" si="0"/>
        <v>8.2640408799506169</v>
      </c>
    </row>
    <row r="10" spans="1:16" x14ac:dyDescent="0.25">
      <c r="A10" s="27"/>
      <c r="B10" t="s">
        <v>131</v>
      </c>
      <c r="C10" s="23">
        <v>5310</v>
      </c>
      <c r="D10" s="23">
        <f>C10-249+5+1822</f>
        <v>6888</v>
      </c>
      <c r="E10" s="37">
        <v>2.9420000000000002</v>
      </c>
      <c r="F10" s="23">
        <v>5610</v>
      </c>
      <c r="G10" s="23">
        <v>376</v>
      </c>
      <c r="H10" s="37">
        <v>0</v>
      </c>
      <c r="I10" s="37">
        <v>8.77E-2</v>
      </c>
      <c r="J10" s="27">
        <v>1</v>
      </c>
      <c r="K10" s="27">
        <v>10.55</v>
      </c>
      <c r="L10" s="27">
        <v>0.9</v>
      </c>
      <c r="M10" s="27">
        <v>3.08</v>
      </c>
      <c r="N10" s="27">
        <v>8.44</v>
      </c>
      <c r="O10" s="30">
        <f t="shared" si="0"/>
        <v>18.319148936170212</v>
      </c>
    </row>
    <row r="11" spans="1:16" x14ac:dyDescent="0.25">
      <c r="A11" s="27"/>
      <c r="B11" t="s">
        <v>132</v>
      </c>
      <c r="C11" s="23">
        <v>14650</v>
      </c>
      <c r="D11" s="23">
        <v>13150</v>
      </c>
      <c r="E11" s="37">
        <v>0.59840000000000004</v>
      </c>
      <c r="F11" s="23">
        <v>2600</v>
      </c>
      <c r="G11" s="23">
        <f>39.76%*C11</f>
        <v>5824.8399999999992</v>
      </c>
      <c r="H11" s="37">
        <v>1.95E-2</v>
      </c>
      <c r="I11" s="37">
        <v>0.13639999999999999</v>
      </c>
      <c r="J11" s="31">
        <f>C11/F11</f>
        <v>5.634615384615385</v>
      </c>
      <c r="K11" s="30">
        <v>24.49</v>
      </c>
      <c r="L11" s="27">
        <v>2.2799999999999998</v>
      </c>
      <c r="M11" s="30">
        <v>4.59</v>
      </c>
      <c r="N11" s="27">
        <v>20.09</v>
      </c>
      <c r="O11" s="31">
        <f t="shared" si="0"/>
        <v>2.2575727401954393</v>
      </c>
    </row>
    <row r="12" spans="1:16" x14ac:dyDescent="0.25">
      <c r="A12" s="27"/>
      <c r="B12" t="s">
        <v>133</v>
      </c>
      <c r="C12" s="23">
        <v>4660</v>
      </c>
      <c r="D12" s="23">
        <v>5228</v>
      </c>
      <c r="E12" s="37">
        <v>1.7</v>
      </c>
      <c r="F12" s="23">
        <v>3650</v>
      </c>
      <c r="G12" s="23">
        <f>F12*0.084</f>
        <v>306.60000000000002</v>
      </c>
      <c r="H12" s="37">
        <v>1.9900000000000001E-2</v>
      </c>
      <c r="I12" s="37">
        <v>7.46E-2</v>
      </c>
      <c r="J12" s="30">
        <f>C12/F12</f>
        <v>1.2767123287671234</v>
      </c>
      <c r="K12" s="27">
        <v>18.260000000000002</v>
      </c>
      <c r="L12" s="30">
        <v>0.79</v>
      </c>
      <c r="M12" s="27">
        <v>3.35</v>
      </c>
      <c r="N12" s="30">
        <v>11.12</v>
      </c>
      <c r="O12" s="30">
        <f t="shared" si="0"/>
        <v>17.051532941943901</v>
      </c>
      <c r="P12" s="31"/>
    </row>
    <row r="13" spans="1:16" x14ac:dyDescent="0.25">
      <c r="A13" s="27"/>
      <c r="B13" t="s">
        <v>134</v>
      </c>
      <c r="C13" s="23">
        <v>5450</v>
      </c>
      <c r="D13" s="23">
        <v>5765</v>
      </c>
      <c r="E13" s="37">
        <v>2.2795000000000001</v>
      </c>
      <c r="F13" s="23">
        <f>C13/J13</f>
        <v>1066.5362035225048</v>
      </c>
      <c r="G13" s="23">
        <f>F13*16.7%</f>
        <v>178.11154598825829</v>
      </c>
      <c r="H13" s="37">
        <v>1.0699999999999999E-2</v>
      </c>
      <c r="I13" s="37">
        <v>8.0500000000000002E-2</v>
      </c>
      <c r="J13" s="27">
        <v>5.1100000000000003</v>
      </c>
      <c r="K13" s="27">
        <v>47.64</v>
      </c>
      <c r="L13" s="30">
        <v>1.43</v>
      </c>
      <c r="M13" s="27">
        <v>12.28</v>
      </c>
      <c r="N13" s="27">
        <v>21.76</v>
      </c>
      <c r="O13" s="30">
        <f t="shared" si="0"/>
        <v>32.367357029061147</v>
      </c>
    </row>
    <row r="14" spans="1:16" x14ac:dyDescent="0.25">
      <c r="A14" s="27"/>
      <c r="B14" t="s">
        <v>135</v>
      </c>
      <c r="C14" s="23">
        <v>6270</v>
      </c>
      <c r="D14" s="23">
        <v>6240</v>
      </c>
      <c r="E14" s="37">
        <v>1.3857999999999999</v>
      </c>
      <c r="F14" s="23">
        <v>3090</v>
      </c>
      <c r="G14" s="23">
        <f>F14*21.17%</f>
        <v>654.15300000000013</v>
      </c>
      <c r="H14" s="37">
        <v>4.0599999999999997E-2</v>
      </c>
      <c r="I14" s="37">
        <v>0.14430000000000001</v>
      </c>
      <c r="J14" s="30">
        <v>1.73</v>
      </c>
      <c r="K14" s="27">
        <v>11.84</v>
      </c>
      <c r="L14" s="27">
        <v>-1.24</v>
      </c>
      <c r="M14" s="30">
        <v>3.68</v>
      </c>
      <c r="N14" s="27">
        <v>7.26</v>
      </c>
      <c r="O14" s="30">
        <f t="shared" si="0"/>
        <v>9.5390527904022431</v>
      </c>
    </row>
    <row r="15" spans="1:16" x14ac:dyDescent="0.25">
      <c r="A15" s="27"/>
      <c r="B15" t="s">
        <v>136</v>
      </c>
      <c r="C15" s="23">
        <v>129060</v>
      </c>
      <c r="D15" s="23">
        <v>176330</v>
      </c>
      <c r="E15" s="37">
        <v>0.4728</v>
      </c>
      <c r="F15" s="23">
        <f>C15/J15</f>
        <v>83264.516129032258</v>
      </c>
      <c r="G15" s="23">
        <f>F15*0.2567</f>
        <v>21374.00129032258</v>
      </c>
      <c r="H15" s="37">
        <v>1.7600000000000001E-2</v>
      </c>
      <c r="I15" s="37">
        <v>4.6800000000000001E-2</v>
      </c>
      <c r="J15" s="27">
        <v>1.55</v>
      </c>
      <c r="K15" s="30">
        <v>21.2</v>
      </c>
      <c r="L15" s="27">
        <v>-0.21</v>
      </c>
      <c r="M15" s="27">
        <v>6.45</v>
      </c>
      <c r="N15" s="27">
        <v>6.89</v>
      </c>
      <c r="O15" s="30">
        <f t="shared" si="0"/>
        <v>8.2497421799930475</v>
      </c>
    </row>
    <row r="16" spans="1:16" ht="15.75" x14ac:dyDescent="0.25">
      <c r="A16" s="27"/>
      <c r="B16" t="s">
        <v>137</v>
      </c>
      <c r="C16" s="23">
        <v>584</v>
      </c>
      <c r="D16" s="23" t="s">
        <v>138</v>
      </c>
      <c r="E16" s="37" t="s">
        <v>138</v>
      </c>
      <c r="F16" s="23" t="s">
        <v>138</v>
      </c>
      <c r="G16" s="23" t="s">
        <v>138</v>
      </c>
      <c r="H16" s="37">
        <v>0</v>
      </c>
      <c r="I16" s="37" t="s">
        <v>138</v>
      </c>
      <c r="J16" s="33" t="s">
        <v>138</v>
      </c>
      <c r="K16" s="30">
        <v>23.21</v>
      </c>
      <c r="L16" s="27">
        <v>-8.59</v>
      </c>
      <c r="M16" s="34" t="s">
        <v>138</v>
      </c>
      <c r="N16" s="30">
        <v>15.97</v>
      </c>
      <c r="O16" s="34" t="s">
        <v>138</v>
      </c>
    </row>
    <row r="17" spans="1:15" x14ac:dyDescent="0.25">
      <c r="A17" s="27"/>
      <c r="B17" t="s">
        <v>139</v>
      </c>
      <c r="C17" s="23">
        <v>5090</v>
      </c>
      <c r="D17" s="23">
        <v>7045</v>
      </c>
      <c r="E17" s="37">
        <v>1.7952999999999999</v>
      </c>
      <c r="F17" s="23">
        <f>C17/J17</f>
        <v>6132.530120481928</v>
      </c>
      <c r="G17" s="23">
        <f>F17*0.11</f>
        <v>674.57831325301208</v>
      </c>
      <c r="H17" s="37">
        <v>2.23E-2</v>
      </c>
      <c r="I17" s="37">
        <v>8.4900000000000003E-2</v>
      </c>
      <c r="J17" s="27">
        <v>0.83</v>
      </c>
      <c r="K17" s="27">
        <v>17.72</v>
      </c>
      <c r="L17" s="27">
        <v>0.43</v>
      </c>
      <c r="M17" s="27">
        <v>3.62</v>
      </c>
      <c r="N17" s="27">
        <v>22.45</v>
      </c>
      <c r="O17" s="30">
        <f>D17/G17</f>
        <v>10.443561350241113</v>
      </c>
    </row>
    <row r="18" spans="1:15" x14ac:dyDescent="0.25">
      <c r="A18" s="27"/>
      <c r="B18" t="s">
        <v>140</v>
      </c>
      <c r="C18" s="23">
        <v>13360</v>
      </c>
      <c r="D18" s="23">
        <v>15210</v>
      </c>
      <c r="E18" s="37">
        <v>1.0960000000000001</v>
      </c>
      <c r="F18" s="23">
        <f>C18/J18</f>
        <v>4098.1595092024545</v>
      </c>
      <c r="G18" s="23">
        <f>17.89%*F18</f>
        <v>733.16073619631914</v>
      </c>
      <c r="H18" s="37">
        <v>2.7199999999999998E-2</v>
      </c>
      <c r="I18" s="37">
        <v>6.6799999999999998E-2</v>
      </c>
      <c r="J18" s="30">
        <v>3.26</v>
      </c>
      <c r="K18" s="30">
        <v>21.27</v>
      </c>
      <c r="L18" s="30">
        <v>1.64</v>
      </c>
      <c r="M18" s="30">
        <v>3.89</v>
      </c>
      <c r="N18" s="30">
        <v>12.2</v>
      </c>
      <c r="O18" s="30">
        <f t="shared" ref="O18:O20" si="1">D18/G18</f>
        <v>20.745791814916839</v>
      </c>
    </row>
    <row r="19" spans="1:15" x14ac:dyDescent="0.25">
      <c r="A19" s="27"/>
      <c r="B19" t="s">
        <v>141</v>
      </c>
      <c r="C19" s="23">
        <v>2020</v>
      </c>
      <c r="D19" s="23">
        <v>2235</v>
      </c>
      <c r="E19" s="37">
        <v>1.153</v>
      </c>
      <c r="F19" s="23">
        <v>1250</v>
      </c>
      <c r="G19" s="23">
        <f>0.089*F19</f>
        <v>111.25</v>
      </c>
      <c r="H19" s="37">
        <v>9.7999999999999997E-3</v>
      </c>
      <c r="I19" s="37">
        <v>4.9799999999999997E-2</v>
      </c>
      <c r="J19" s="30">
        <v>2.1800000000000002</v>
      </c>
      <c r="K19" s="27">
        <v>64.69</v>
      </c>
      <c r="L19" s="27">
        <v>-0.71</v>
      </c>
      <c r="M19" s="30">
        <v>3.63</v>
      </c>
      <c r="N19" s="27">
        <v>10.27</v>
      </c>
      <c r="O19" s="30">
        <f t="shared" si="1"/>
        <v>20.089887640449437</v>
      </c>
    </row>
    <row r="20" spans="1:15" x14ac:dyDescent="0.25">
      <c r="A20" s="27"/>
      <c r="B20" t="s">
        <v>142</v>
      </c>
      <c r="C20" s="23">
        <v>1120</v>
      </c>
      <c r="D20" s="23">
        <v>1233</v>
      </c>
      <c r="E20" s="37">
        <v>0.97960000000000003</v>
      </c>
      <c r="F20" s="23">
        <v>1010</v>
      </c>
      <c r="G20" s="23">
        <f>F20*0.0526</f>
        <v>53.125999999999998</v>
      </c>
      <c r="H20" s="37">
        <v>1.5100000000000001E-2</v>
      </c>
      <c r="I20" s="37">
        <v>2.29E-2</v>
      </c>
      <c r="J20" s="31">
        <f>C20/F20</f>
        <v>1.108910891089109</v>
      </c>
      <c r="K20" s="27">
        <v>25.7</v>
      </c>
      <c r="L20" s="27">
        <v>0.49</v>
      </c>
      <c r="M20" s="27">
        <v>0.96</v>
      </c>
      <c r="N20" s="27">
        <v>7.75</v>
      </c>
      <c r="O20" s="30">
        <f t="shared" si="1"/>
        <v>23.208974889884427</v>
      </c>
    </row>
    <row r="21" spans="1:15" x14ac:dyDescent="0.25">
      <c r="A21" s="27"/>
      <c r="B21" s="36" t="s">
        <v>143</v>
      </c>
      <c r="C21" s="52">
        <f t="shared" ref="C21:O21" si="2">MEDIAN(C6:C20)</f>
        <v>5830</v>
      </c>
      <c r="D21" s="52">
        <f t="shared" si="2"/>
        <v>7322.5</v>
      </c>
      <c r="E21" s="53">
        <f t="shared" si="2"/>
        <v>1.2355</v>
      </c>
      <c r="F21" s="52">
        <f t="shared" si="2"/>
        <v>3874.0797546012273</v>
      </c>
      <c r="G21" s="52">
        <f t="shared" si="2"/>
        <v>703.86952472466555</v>
      </c>
      <c r="H21" s="53">
        <f t="shared" si="2"/>
        <v>1.7600000000000001E-2</v>
      </c>
      <c r="I21" s="53">
        <f t="shared" si="2"/>
        <v>8.6300000000000002E-2</v>
      </c>
      <c r="J21" s="38">
        <f t="shared" si="2"/>
        <v>1.9550000000000001</v>
      </c>
      <c r="K21" s="38">
        <f t="shared" si="2"/>
        <v>23.21</v>
      </c>
      <c r="L21" s="38">
        <f t="shared" si="2"/>
        <v>0.79</v>
      </c>
      <c r="M21" s="38">
        <f t="shared" si="2"/>
        <v>3.7850000000000001</v>
      </c>
      <c r="N21" s="38">
        <f t="shared" si="2"/>
        <v>12.2</v>
      </c>
      <c r="O21" s="39">
        <f t="shared" si="2"/>
        <v>18.831069795187908</v>
      </c>
    </row>
    <row r="22" spans="1:15" x14ac:dyDescent="0.25">
      <c r="A22" s="27"/>
      <c r="B22" s="36" t="s">
        <v>144</v>
      </c>
      <c r="C22" s="52">
        <f>AVERAGE(C6:C20)</f>
        <v>50050.26666666667</v>
      </c>
      <c r="D22" s="52">
        <f t="shared" ref="D22:J22" si="3">AVERAGE(D6:D20)</f>
        <v>63357.428571428572</v>
      </c>
      <c r="E22" s="53">
        <f>MEDIAN(E6:E20)</f>
        <v>1.2355</v>
      </c>
      <c r="F22" s="52">
        <f t="shared" si="3"/>
        <v>17425.472857929977</v>
      </c>
      <c r="G22" s="52">
        <f t="shared" si="3"/>
        <v>4328.9505597842626</v>
      </c>
      <c r="H22" s="53">
        <f t="shared" si="3"/>
        <v>1.6626666666666665E-2</v>
      </c>
      <c r="I22" s="53">
        <f>AVERAGE(I6:I20)</f>
        <v>0.10313571428571429</v>
      </c>
      <c r="J22" s="40">
        <f t="shared" si="3"/>
        <v>3.2855616725260139</v>
      </c>
      <c r="K22" s="40">
        <f>AVERAGE(K6,K7,K9:K20)</f>
        <v>26.05</v>
      </c>
      <c r="L22" s="40">
        <f>AVERAGE(L6:L20)</f>
        <v>0.22199999999999989</v>
      </c>
      <c r="M22" s="40">
        <f>AVERAGE(M6:M20)</f>
        <v>5.25</v>
      </c>
      <c r="N22" s="40">
        <f>AVERAGE(N6:N20)</f>
        <v>14.856666666666664</v>
      </c>
      <c r="O22" s="41">
        <f>AVERAGE(O6:O20)</f>
        <v>17.494696851545569</v>
      </c>
    </row>
    <row r="23" spans="1:15" x14ac:dyDescent="0.25">
      <c r="A23" s="27"/>
    </row>
    <row r="24" spans="1:15" x14ac:dyDescent="0.25">
      <c r="A24" s="27"/>
      <c r="B24" s="42" t="s">
        <v>145</v>
      </c>
      <c r="C24" s="50">
        <f>[1]Main!D29</f>
        <v>7182</v>
      </c>
      <c r="D24" s="50">
        <f>[1]Main!D32</f>
        <v>0</v>
      </c>
      <c r="E24" s="51">
        <v>1.1801999999999999</v>
      </c>
      <c r="F24" s="50">
        <f>'[1]Income Statement '!L16</f>
        <v>15198</v>
      </c>
      <c r="G24" s="50">
        <f>'[1]Income Statement '!L29</f>
        <v>5395</v>
      </c>
      <c r="H24" s="51">
        <v>2.9399999999999999E-2</v>
      </c>
      <c r="I24" s="51">
        <v>0.11219999999999999</v>
      </c>
      <c r="J24" s="43">
        <f>C24/'[1]Income Statement '!L16</f>
        <v>0.47256217923410976</v>
      </c>
      <c r="K24" s="44" t="e">
        <f>C24/'[1]Income Statement '!L38</f>
        <v>#DIV/0!</v>
      </c>
      <c r="L24" s="44" t="e">
        <f>K24/15.336</f>
        <v>#DIV/0!</v>
      </c>
      <c r="M24" s="44">
        <f>C24/'[1]Balance Sheet'!L30</f>
        <v>1.6248868778280543</v>
      </c>
      <c r="N24" s="45">
        <f>C24/'[1]Cashflow Statement '!L19</f>
        <v>-4.4971822166562303</v>
      </c>
      <c r="O24" s="46">
        <f>D24/G24</f>
        <v>0</v>
      </c>
    </row>
    <row r="25" spans="1:15" x14ac:dyDescent="0.25">
      <c r="A25" s="27"/>
    </row>
  </sheetData>
  <mergeCells count="2">
    <mergeCell ref="C3:I3"/>
    <mergeCell ref="J3:O3"/>
  </mergeCells>
  <conditionalFormatting sqref="J6:J20">
    <cfRule type="top10" dxfId="79" priority="79" rank="5"/>
    <cfRule type="top10" dxfId="78" priority="69" bottom="1" rank="5"/>
    <cfRule type="top10" dxfId="77" priority="80" percent="1" rank="10"/>
  </conditionalFormatting>
  <conditionalFormatting sqref="J9">
    <cfRule type="top10" dxfId="76" priority="66" rank="10"/>
  </conditionalFormatting>
  <conditionalFormatting sqref="J14">
    <cfRule type="top10" dxfId="75" priority="65" rank="10"/>
  </conditionalFormatting>
  <conditionalFormatting sqref="J16">
    <cfRule type="top10" dxfId="74" priority="64" rank="10"/>
  </conditionalFormatting>
  <conditionalFormatting sqref="J18:J19">
    <cfRule type="top10" dxfId="73" priority="63" rank="10"/>
  </conditionalFormatting>
  <conditionalFormatting sqref="K7:K10 K19:K20 K17 K12:K14">
    <cfRule type="top10" dxfId="72" priority="78" rank="5"/>
    <cfRule type="top10" dxfId="71" priority="68" bottom="1" rank="5"/>
  </conditionalFormatting>
  <conditionalFormatting sqref="K11">
    <cfRule type="top10" dxfId="70" priority="46" percent="1" rank="10"/>
    <cfRule type="top10" dxfId="69" priority="45" rank="5"/>
    <cfRule type="top10" dxfId="68" priority="44" bottom="1" rank="5"/>
    <cfRule type="top10" dxfId="67" priority="43" rank="10"/>
  </conditionalFormatting>
  <conditionalFormatting sqref="K15:K16">
    <cfRule type="top10" dxfId="66" priority="50" percent="1" rank="10"/>
    <cfRule type="top10" dxfId="65" priority="49" rank="5"/>
    <cfRule type="top10" dxfId="64" priority="48" bottom="1" rank="5"/>
    <cfRule type="top10" dxfId="63" priority="47" rank="10"/>
  </conditionalFormatting>
  <conditionalFormatting sqref="K6:L6">
    <cfRule type="top10" dxfId="62" priority="39" rank="10"/>
    <cfRule type="top10" dxfId="61" priority="40" bottom="1" rank="5"/>
    <cfRule type="top10" dxfId="60" priority="42" percent="1" rank="10"/>
    <cfRule type="top10" dxfId="59" priority="41" rank="5"/>
  </conditionalFormatting>
  <conditionalFormatting sqref="K18:N18">
    <cfRule type="top10" dxfId="58" priority="60" bottom="1" rank="5"/>
    <cfRule type="top10" dxfId="57" priority="62" percent="1" rank="10"/>
    <cfRule type="top10" dxfId="56" priority="61" rank="5"/>
    <cfRule type="top10" dxfId="55" priority="59" rank="10"/>
  </conditionalFormatting>
  <conditionalFormatting sqref="L7:L8 L10:L12 L14:L17 L19:L20">
    <cfRule type="cellIs" dxfId="54" priority="77" operator="lessThan">
      <formula>0</formula>
    </cfRule>
    <cfRule type="cellIs" dxfId="53" priority="67" operator="between">
      <formula>0</formula>
      <formula>1.1</formula>
    </cfRule>
  </conditionalFormatting>
  <conditionalFormatting sqref="L7:L8 L19:L20 L10:L12 L14:L17">
    <cfRule type="top10" dxfId="52" priority="76" rank="1"/>
  </conditionalFormatting>
  <conditionalFormatting sqref="L9">
    <cfRule type="top10" dxfId="51" priority="35" rank="10"/>
    <cfRule type="top10" dxfId="50" priority="36" bottom="1" rank="5"/>
    <cfRule type="top10" dxfId="49" priority="37" rank="5"/>
    <cfRule type="top10" dxfId="48" priority="38" percent="1" rank="10"/>
  </conditionalFormatting>
  <conditionalFormatting sqref="L13">
    <cfRule type="top10" dxfId="47" priority="31" rank="10"/>
    <cfRule type="top10" dxfId="46" priority="32" bottom="1" rank="5"/>
    <cfRule type="top10" dxfId="45" priority="33" rank="5"/>
    <cfRule type="top10" dxfId="44" priority="34" percent="1" rank="10"/>
  </conditionalFormatting>
  <conditionalFormatting sqref="M6:M10 M20 M15:M17 M12:M13">
    <cfRule type="top10" dxfId="43" priority="75" rank="5"/>
    <cfRule type="top10" dxfId="42" priority="70" bottom="1" rank="5"/>
  </conditionalFormatting>
  <conditionalFormatting sqref="M11">
    <cfRule type="top10" dxfId="41" priority="25" rank="5"/>
    <cfRule type="top10" dxfId="40" priority="24" bottom="1" rank="5"/>
    <cfRule type="top10" dxfId="39" priority="23" rank="10"/>
    <cfRule type="top10" dxfId="38" priority="26" percent="1" rank="10"/>
  </conditionalFormatting>
  <conditionalFormatting sqref="M14">
    <cfRule type="top10" dxfId="37" priority="29" rank="5"/>
    <cfRule type="top10" dxfId="36" priority="28" bottom="1" rank="5"/>
    <cfRule type="top10" dxfId="35" priority="27" rank="10"/>
    <cfRule type="top10" dxfId="34" priority="30" percent="1" rank="10"/>
  </conditionalFormatting>
  <conditionalFormatting sqref="M19">
    <cfRule type="top10" dxfId="33" priority="55" rank="10"/>
    <cfRule type="top10" dxfId="32" priority="56" bottom="1" rank="5"/>
    <cfRule type="top10" dxfId="31" priority="57" rank="5"/>
    <cfRule type="top10" dxfId="30" priority="58" percent="1" rank="10"/>
  </conditionalFormatting>
  <conditionalFormatting sqref="N6:N7 N19:N20 N10:N11 N17 N13:N15">
    <cfRule type="top10" dxfId="29" priority="71" bottom="1" rank="5"/>
    <cfRule type="top10" dxfId="28" priority="74" rank="5"/>
  </conditionalFormatting>
  <conditionalFormatting sqref="N8:N9">
    <cfRule type="top10" dxfId="27" priority="21" rank="5"/>
    <cfRule type="top10" dxfId="26" priority="22" percent="1" rank="10"/>
    <cfRule type="top10" dxfId="25" priority="20" bottom="1" rank="5"/>
    <cfRule type="top10" dxfId="24" priority="19" rank="10"/>
  </conditionalFormatting>
  <conditionalFormatting sqref="N16">
    <cfRule type="top10" dxfId="23" priority="18" percent="1" rank="10"/>
    <cfRule type="top10" dxfId="22" priority="17" rank="5"/>
    <cfRule type="top10" dxfId="21" priority="15" rank="10"/>
    <cfRule type="top10" dxfId="20" priority="16" bottom="1" rank="5"/>
  </conditionalFormatting>
  <conditionalFormatting sqref="N12:O12">
    <cfRule type="top10" dxfId="19" priority="11" rank="10"/>
    <cfRule type="top10" dxfId="18" priority="12" bottom="1" rank="5"/>
    <cfRule type="top10" dxfId="17" priority="13" rank="5"/>
    <cfRule type="top10" dxfId="16" priority="14" percent="1" rank="10"/>
  </conditionalFormatting>
  <conditionalFormatting sqref="O7:O9 O20 O13:O18 O11">
    <cfRule type="top10" dxfId="15" priority="72" bottom="1" rank="5"/>
    <cfRule type="top10" dxfId="14" priority="73" rank="5"/>
  </conditionalFormatting>
  <conditionalFormatting sqref="O10">
    <cfRule type="top10" dxfId="13" priority="2" bottom="1" rank="5"/>
    <cfRule type="top10" dxfId="12" priority="3" rank="5"/>
    <cfRule type="top10" dxfId="11" priority="4" percent="1" rank="10"/>
    <cfRule type="top10" dxfId="10" priority="1" rank="10"/>
  </conditionalFormatting>
  <conditionalFormatting sqref="O19">
    <cfRule type="top10" dxfId="9" priority="52" bottom="1" rank="5"/>
    <cfRule type="top10" dxfId="8" priority="51" rank="10"/>
    <cfRule type="top10" dxfId="7" priority="53" rank="5"/>
    <cfRule type="top10" dxfId="6" priority="54" percent="1" rank="10"/>
  </conditionalFormatting>
  <conditionalFormatting sqref="O6:P6">
    <cfRule type="top10" dxfId="5" priority="10" percent="1" rank="10"/>
    <cfRule type="top10" dxfId="4" priority="9" rank="5"/>
    <cfRule type="top10" dxfId="3" priority="8" bottom="1" rank="5"/>
    <cfRule type="top10" dxfId="2" priority="7" rank="10"/>
  </conditionalFormatting>
  <conditionalFormatting sqref="P12">
    <cfRule type="top10" dxfId="1" priority="5" bottom="1" rank="5"/>
    <cfRule type="top10" dxfId="0" priority="6" rank="5"/>
  </conditionalFormatting>
  <hyperlinks>
    <hyperlink ref="A1" location="Main!A1" display="Main" xr:uid="{368F49B7-8A2B-4B33-B0AC-606B386AC8EB}"/>
  </hyperlink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Main</vt:lpstr>
      <vt:lpstr>Brands</vt:lpstr>
      <vt:lpstr>Market</vt:lpstr>
      <vt:lpstr>Model</vt:lpstr>
      <vt:lpstr>Quart</vt:lpstr>
      <vt:lpstr>Ratios</vt:lpstr>
      <vt:lpstr>DCF</vt:lpstr>
      <vt:lpstr>CoC</vt:lpstr>
      <vt:lpstr>TradingComps</vt:lpstr>
      <vt:lpstr>WACC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Settje</dc:creator>
  <cp:lastModifiedBy>Oscar Settje</cp:lastModifiedBy>
  <dcterms:created xsi:type="dcterms:W3CDTF">2024-06-21T14:30:09Z</dcterms:created>
  <dcterms:modified xsi:type="dcterms:W3CDTF">2025-05-20T13:14:39Z</dcterms:modified>
</cp:coreProperties>
</file>