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7F56613-0CDA-45AE-BF37-AC3770A3A5CC}" xr6:coauthVersionLast="47" xr6:coauthVersionMax="47" xr10:uidLastSave="{00000000-0000-0000-0000-000000000000}"/>
  <bookViews>
    <workbookView xWindow="225" yWindow="4680" windowWidth="38175" windowHeight="15240" activeTab="2" xr2:uid="{03FABE92-8095-40C1-84A9-F723AD2E6BD9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" i="2" l="1"/>
  <c r="S20" i="2"/>
  <c r="S22" i="2" s="1"/>
  <c r="S25" i="2" s="1"/>
  <c r="S27" i="2" s="1"/>
  <c r="S7" i="2"/>
  <c r="S6" i="2"/>
  <c r="S5" i="2"/>
  <c r="S4" i="2"/>
  <c r="J4" i="2"/>
  <c r="J7" i="2"/>
  <c r="J6" i="2"/>
  <c r="J5" i="2"/>
  <c r="J37" i="2"/>
  <c r="H29" i="2"/>
  <c r="G29" i="2"/>
  <c r="F29" i="2"/>
  <c r="E29" i="2"/>
  <c r="D29" i="2"/>
  <c r="C29" i="2"/>
  <c r="I29" i="2"/>
  <c r="I7" i="2"/>
  <c r="I6" i="2"/>
  <c r="I5" i="2"/>
  <c r="I4" i="2"/>
  <c r="I18" i="2"/>
  <c r="H7" i="2"/>
  <c r="H40" i="2" s="1"/>
  <c r="H6" i="2"/>
  <c r="H10" i="2" s="1"/>
  <c r="H4" i="2"/>
  <c r="H5" i="2"/>
  <c r="H9" i="2" s="1"/>
  <c r="H8" i="2"/>
  <c r="J11" i="2"/>
  <c r="I11" i="2"/>
  <c r="J10" i="2"/>
  <c r="I10" i="2"/>
  <c r="J9" i="2"/>
  <c r="I9" i="2"/>
  <c r="J8" i="2"/>
  <c r="I8" i="2"/>
  <c r="H18" i="2"/>
  <c r="H35" i="2" s="1"/>
  <c r="M48" i="4"/>
  <c r="M46" i="4"/>
  <c r="M45" i="4" s="1" a="1"/>
  <c r="M45" i="4" s="1"/>
  <c r="V66" i="4"/>
  <c r="V64" i="4"/>
  <c r="V63" i="4"/>
  <c r="D10" i="4"/>
  <c r="U6" i="4"/>
  <c r="M6" i="4"/>
  <c r="T7" i="2"/>
  <c r="U7" i="2" s="1"/>
  <c r="V7" i="2" s="1"/>
  <c r="W7" i="2" s="1"/>
  <c r="X7" i="2" s="1"/>
  <c r="Y7" i="2" s="1"/>
  <c r="Z7" i="2" s="1"/>
  <c r="AA7" i="2" s="1"/>
  <c r="AB7" i="2" s="1"/>
  <c r="AB40" i="2" s="1"/>
  <c r="T6" i="2"/>
  <c r="U6" i="2" s="1"/>
  <c r="V6" i="2" s="1"/>
  <c r="W6" i="2" s="1"/>
  <c r="X6" i="2" s="1"/>
  <c r="Y6" i="2" s="1"/>
  <c r="Z6" i="2" s="1"/>
  <c r="AA6" i="2" s="1"/>
  <c r="AB6" i="2" s="1"/>
  <c r="AB39" i="2" s="1"/>
  <c r="T5" i="2"/>
  <c r="U5" i="2" s="1"/>
  <c r="V5" i="2" s="1"/>
  <c r="W5" i="2" s="1"/>
  <c r="X5" i="2" s="1"/>
  <c r="Y5" i="2" s="1"/>
  <c r="Z5" i="2" s="1"/>
  <c r="AA5" i="2" s="1"/>
  <c r="AB5" i="2" s="1"/>
  <c r="AB38" i="2" s="1"/>
  <c r="U4" i="2"/>
  <c r="V4" i="2" s="1"/>
  <c r="W4" i="2" s="1"/>
  <c r="X4" i="2" s="1"/>
  <c r="Y4" i="2" s="1"/>
  <c r="Z4" i="2" s="1"/>
  <c r="AA4" i="2" s="1"/>
  <c r="AB4" i="2" s="1"/>
  <c r="AB37" i="2" s="1"/>
  <c r="T4" i="2"/>
  <c r="V57" i="4"/>
  <c r="V54" i="4"/>
  <c r="V51" i="4" a="1"/>
  <c r="V51" i="4" s="1"/>
  <c r="V41" i="4"/>
  <c r="V42" i="4" s="1"/>
  <c r="V40" i="4"/>
  <c r="V39" i="4" a="1"/>
  <c r="V39" i="4" s="1"/>
  <c r="V31" i="4" a="1"/>
  <c r="V31" i="4" s="1"/>
  <c r="V28" i="4"/>
  <c r="V26" i="4"/>
  <c r="V25" i="4" a="1"/>
  <c r="V25" i="4" s="1"/>
  <c r="H74" i="4"/>
  <c r="I74" i="4" s="1"/>
  <c r="J74" i="4" s="1"/>
  <c r="F74" i="4"/>
  <c r="E74" i="4" s="1"/>
  <c r="D74" i="4" s="1"/>
  <c r="C79" i="4"/>
  <c r="C80" i="4" s="1"/>
  <c r="C81" i="4" s="1"/>
  <c r="C77" i="4"/>
  <c r="C76" i="4" s="1"/>
  <c r="C75" i="4" s="1"/>
  <c r="H9" i="4"/>
  <c r="Q11" i="4" s="1"/>
  <c r="U54" i="4"/>
  <c r="T54" i="4"/>
  <c r="S54" i="4"/>
  <c r="R54" i="4"/>
  <c r="Q54" i="4"/>
  <c r="P54" i="4"/>
  <c r="O54" i="4"/>
  <c r="N54" i="4"/>
  <c r="N47" i="4"/>
  <c r="O47" i="4" s="1"/>
  <c r="P47" i="4" s="1"/>
  <c r="Q47" i="4" s="1"/>
  <c r="R47" i="4" s="1"/>
  <c r="S47" i="4" s="1"/>
  <c r="T47" i="4" s="1"/>
  <c r="U47" i="4" s="1"/>
  <c r="U46" i="4" s="1"/>
  <c r="L44" i="4"/>
  <c r="K44" i="4"/>
  <c r="J44" i="4"/>
  <c r="I44" i="4"/>
  <c r="H44" i="4"/>
  <c r="G44" i="4"/>
  <c r="L38" i="4"/>
  <c r="K38" i="4"/>
  <c r="J38" i="4"/>
  <c r="I38" i="4"/>
  <c r="H38" i="4"/>
  <c r="G38" i="4"/>
  <c r="U51" i="4" a="1"/>
  <c r="U51" i="4" s="1"/>
  <c r="T51" i="4" a="1"/>
  <c r="T51" i="4" s="1"/>
  <c r="S51" i="4" a="1"/>
  <c r="S51" i="4" s="1"/>
  <c r="M42" i="4"/>
  <c r="M40" i="4"/>
  <c r="N41" i="4"/>
  <c r="N42" i="4" s="1"/>
  <c r="T34" i="4"/>
  <c r="S34" i="4"/>
  <c r="R34" i="4"/>
  <c r="Q34" i="4"/>
  <c r="P34" i="4"/>
  <c r="O34" i="4"/>
  <c r="N34" i="4"/>
  <c r="M34" i="4"/>
  <c r="M32" i="4"/>
  <c r="L30" i="4"/>
  <c r="K30" i="4"/>
  <c r="J30" i="4"/>
  <c r="I30" i="4"/>
  <c r="H30" i="4"/>
  <c r="G30" i="4"/>
  <c r="U31" i="4" a="1"/>
  <c r="U31" i="4" s="1"/>
  <c r="T31" i="4" a="1"/>
  <c r="T31" i="4" s="1"/>
  <c r="S31" i="4" a="1"/>
  <c r="S31" i="4" s="1"/>
  <c r="U28" i="4"/>
  <c r="T28" i="4"/>
  <c r="S28" i="4"/>
  <c r="R28" i="4"/>
  <c r="Q28" i="4"/>
  <c r="P28" i="4"/>
  <c r="O28" i="4"/>
  <c r="N28" i="4"/>
  <c r="M28" i="4"/>
  <c r="U26" i="4"/>
  <c r="T26" i="4"/>
  <c r="S26" i="4"/>
  <c r="R26" i="4"/>
  <c r="Q26" i="4"/>
  <c r="P26" i="4"/>
  <c r="O26" i="4"/>
  <c r="N26" i="4"/>
  <c r="M26" i="4"/>
  <c r="U25" i="4" a="1"/>
  <c r="U25" i="4" s="1"/>
  <c r="T25" i="4" a="1"/>
  <c r="T25" i="4" s="1"/>
  <c r="S25" i="4" a="1"/>
  <c r="S25" i="4" s="1"/>
  <c r="J40" i="2"/>
  <c r="I40" i="2"/>
  <c r="J39" i="2"/>
  <c r="I39" i="2"/>
  <c r="J38" i="2"/>
  <c r="I38" i="2"/>
  <c r="I37" i="2"/>
  <c r="G40" i="2"/>
  <c r="G39" i="2"/>
  <c r="G38" i="2"/>
  <c r="G37" i="2"/>
  <c r="J36" i="2"/>
  <c r="I36" i="2"/>
  <c r="H36" i="2"/>
  <c r="G36" i="2"/>
  <c r="E36" i="2"/>
  <c r="D36" i="2"/>
  <c r="C36" i="2"/>
  <c r="J35" i="2"/>
  <c r="I35" i="2"/>
  <c r="G35" i="2"/>
  <c r="E35" i="2"/>
  <c r="D35" i="2"/>
  <c r="C35" i="2"/>
  <c r="J34" i="2"/>
  <c r="I34" i="2"/>
  <c r="G34" i="2"/>
  <c r="E34" i="2"/>
  <c r="D34" i="2"/>
  <c r="C34" i="2"/>
  <c r="J33" i="2"/>
  <c r="I33" i="2"/>
  <c r="H33" i="2"/>
  <c r="G33" i="2"/>
  <c r="E33" i="2"/>
  <c r="D33" i="2"/>
  <c r="C33" i="2"/>
  <c r="F26" i="2"/>
  <c r="F24" i="2"/>
  <c r="F21" i="2"/>
  <c r="F19" i="2"/>
  <c r="F17" i="2"/>
  <c r="F16" i="2"/>
  <c r="F15" i="2"/>
  <c r="F14" i="2"/>
  <c r="F8" i="2" s="1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E8" i="2"/>
  <c r="D8" i="2"/>
  <c r="C8" i="2"/>
  <c r="G8" i="2"/>
  <c r="N57" i="4"/>
  <c r="O57" i="4" s="1"/>
  <c r="P57" i="4" s="1"/>
  <c r="Q57" i="4" s="1"/>
  <c r="R57" i="4" s="1"/>
  <c r="S57" i="4" s="1"/>
  <c r="T57" i="4" s="1"/>
  <c r="U57" i="4" s="1"/>
  <c r="M39" i="4" a="1"/>
  <c r="M39" i="4" s="1"/>
  <c r="M25" i="4" a="1"/>
  <c r="M25" i="4" s="1"/>
  <c r="M31" i="4" a="1"/>
  <c r="M31" i="4" s="1"/>
  <c r="G18" i="4"/>
  <c r="R51" i="4" a="1"/>
  <c r="R51" i="4" s="1"/>
  <c r="Q51" i="4" a="1"/>
  <c r="Q51" i="4" s="1"/>
  <c r="P51" i="4" a="1"/>
  <c r="P51" i="4" s="1"/>
  <c r="O51" i="4" a="1"/>
  <c r="O51" i="4" s="1"/>
  <c r="N51" i="4" a="1"/>
  <c r="N51" i="4" s="1"/>
  <c r="N32" i="4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H34" i="2" l="1"/>
  <c r="H11" i="2"/>
  <c r="H39" i="2"/>
  <c r="H38" i="2"/>
  <c r="H37" i="2"/>
  <c r="M11" i="4"/>
  <c r="Q46" i="4"/>
  <c r="R46" i="4"/>
  <c r="O48" i="4"/>
  <c r="P48" i="4"/>
  <c r="S46" i="4"/>
  <c r="V47" i="4"/>
  <c r="T46" i="4"/>
  <c r="R48" i="4"/>
  <c r="U48" i="4"/>
  <c r="Q48" i="4"/>
  <c r="S48" i="4"/>
  <c r="N46" i="4"/>
  <c r="T48" i="4"/>
  <c r="O46" i="4"/>
  <c r="P46" i="4"/>
  <c r="N48" i="4"/>
  <c r="G45" i="4"/>
  <c r="U11" i="4"/>
  <c r="G39" i="4"/>
  <c r="N45" i="4" a="1"/>
  <c r="N45" i="4" s="1"/>
  <c r="N40" i="4"/>
  <c r="O41" i="4"/>
  <c r="N39" i="4" a="1"/>
  <c r="N39" i="4" s="1"/>
  <c r="P41" i="4"/>
  <c r="V48" i="4" l="1"/>
  <c r="V46" i="4"/>
  <c r="V45" i="4" s="1" a="1"/>
  <c r="V45" i="4" s="1"/>
  <c r="O45" i="4" a="1"/>
  <c r="O45" i="4" s="1"/>
  <c r="O39" i="4" a="1"/>
  <c r="O39" i="4" s="1"/>
  <c r="O42" i="4"/>
  <c r="O40" i="4"/>
  <c r="Q41" i="4"/>
  <c r="P40" i="4"/>
  <c r="P42" i="4"/>
  <c r="P45" i="4" a="1"/>
  <c r="P45" i="4" s="1"/>
  <c r="P39" i="4" a="1"/>
  <c r="P39" i="4" s="1"/>
  <c r="R41" i="4" l="1"/>
  <c r="Q42" i="4"/>
  <c r="Q40" i="4"/>
  <c r="Q45" i="4" a="1"/>
  <c r="Q45" i="4" s="1"/>
  <c r="Q39" i="4" a="1"/>
  <c r="Q39" i="4" s="1"/>
  <c r="S41" i="4" l="1"/>
  <c r="R42" i="4"/>
  <c r="R40" i="4"/>
  <c r="R45" i="4" a="1"/>
  <c r="R45" i="4" s="1"/>
  <c r="R39" i="4" a="1"/>
  <c r="R39" i="4" s="1"/>
  <c r="T41" i="4" l="1"/>
  <c r="S42" i="4"/>
  <c r="S40" i="4"/>
  <c r="S45" i="4" a="1"/>
  <c r="S45" i="4" s="1"/>
  <c r="S39" i="4" a="1"/>
  <c r="S39" i="4" s="1"/>
  <c r="U41" i="4" l="1"/>
  <c r="T40" i="4"/>
  <c r="T42" i="4"/>
  <c r="U45" i="4" a="1"/>
  <c r="U45" i="4" s="1"/>
  <c r="T45" i="4" a="1"/>
  <c r="T45" i="4" s="1"/>
  <c r="U39" i="4" a="1"/>
  <c r="U39" i="4" s="1"/>
  <c r="T39" i="4" a="1"/>
  <c r="T39" i="4" s="1"/>
  <c r="U42" i="4" l="1"/>
  <c r="U40" i="4"/>
  <c r="J50" i="3" l="1"/>
  <c r="J46" i="3"/>
  <c r="X40" i="2"/>
  <c r="W40" i="2"/>
  <c r="X39" i="2"/>
  <c r="W39" i="2"/>
  <c r="AA38" i="2"/>
  <c r="Z38" i="2"/>
  <c r="Y38" i="2"/>
  <c r="X38" i="2"/>
  <c r="S38" i="2"/>
  <c r="AA39" i="2"/>
  <c r="AA40" i="2"/>
  <c r="S37" i="2"/>
  <c r="G23" i="3"/>
  <c r="G24" i="3" s="1"/>
  <c r="G29" i="3"/>
  <c r="G30" i="3" s="1"/>
  <c r="G31" i="3"/>
  <c r="F23" i="3"/>
  <c r="F24" i="3" s="1"/>
  <c r="E23" i="3"/>
  <c r="E24" i="3" s="1"/>
  <c r="D23" i="3"/>
  <c r="D24" i="3" s="1"/>
  <c r="C23" i="3"/>
  <c r="C24" i="3" s="1"/>
  <c r="H23" i="3"/>
  <c r="H24" i="3" s="1"/>
  <c r="V40" i="2" l="1"/>
  <c r="Y39" i="2"/>
  <c r="Z39" i="2"/>
  <c r="T38" i="2"/>
  <c r="Y40" i="2"/>
  <c r="S39" i="2"/>
  <c r="Z40" i="2"/>
  <c r="U38" i="2"/>
  <c r="T39" i="2"/>
  <c r="S40" i="2"/>
  <c r="V38" i="2"/>
  <c r="U39" i="2"/>
  <c r="T40" i="2"/>
  <c r="W38" i="2"/>
  <c r="V39" i="2"/>
  <c r="U40" i="2"/>
  <c r="G32" i="3"/>
  <c r="K24" i="3"/>
  <c r="K23" i="3"/>
  <c r="C21" i="3"/>
  <c r="C20" i="3"/>
  <c r="F31" i="3"/>
  <c r="E31" i="3"/>
  <c r="D31" i="3"/>
  <c r="C31" i="3"/>
  <c r="H31" i="3"/>
  <c r="C29" i="3"/>
  <c r="C30" i="3" s="1"/>
  <c r="H29" i="3"/>
  <c r="H30" i="3" s="1"/>
  <c r="F29" i="3"/>
  <c r="F30" i="3" s="1"/>
  <c r="E29" i="3"/>
  <c r="E30" i="3" s="1"/>
  <c r="D29" i="3"/>
  <c r="D30" i="3" s="1"/>
  <c r="T37" i="2" l="1"/>
  <c r="C25" i="3"/>
  <c r="D32" i="3"/>
  <c r="E32" i="3"/>
  <c r="F32" i="3"/>
  <c r="H32" i="3"/>
  <c r="C32" i="3"/>
  <c r="U37" i="2" l="1"/>
  <c r="C38" i="3"/>
  <c r="V37" i="2" l="1"/>
  <c r="W37" i="2" l="1"/>
  <c r="X37" i="2" l="1"/>
  <c r="Y37" i="2" l="1"/>
  <c r="Z37" i="2" l="1"/>
  <c r="AA37" i="2" l="1"/>
  <c r="Q40" i="2" l="1"/>
  <c r="P40" i="2"/>
  <c r="O40" i="2"/>
  <c r="N40" i="2"/>
  <c r="Q39" i="2"/>
  <c r="P39" i="2"/>
  <c r="O39" i="2"/>
  <c r="N39" i="2"/>
  <c r="Q38" i="2"/>
  <c r="P38" i="2"/>
  <c r="O38" i="2"/>
  <c r="N38" i="2"/>
  <c r="R40" i="2"/>
  <c r="R39" i="2"/>
  <c r="R38" i="2"/>
  <c r="Q37" i="2"/>
  <c r="P37" i="2"/>
  <c r="O37" i="2"/>
  <c r="N37" i="2"/>
  <c r="R37" i="2"/>
  <c r="M36" i="2"/>
  <c r="M35" i="2"/>
  <c r="M34" i="2"/>
  <c r="R36" i="2"/>
  <c r="M33" i="2"/>
  <c r="N18" i="2"/>
  <c r="H18" i="4" s="1"/>
  <c r="O18" i="2"/>
  <c r="I18" i="4" s="1"/>
  <c r="P18" i="2"/>
  <c r="J18" i="4" s="1"/>
  <c r="Q11" i="2"/>
  <c r="P11" i="2"/>
  <c r="O11" i="2"/>
  <c r="N11" i="2"/>
  <c r="M11" i="2"/>
  <c r="Q10" i="2"/>
  <c r="P10" i="2"/>
  <c r="O10" i="2"/>
  <c r="N10" i="2"/>
  <c r="M10" i="2"/>
  <c r="Q9" i="2"/>
  <c r="P9" i="2"/>
  <c r="O9" i="2"/>
  <c r="N9" i="2"/>
  <c r="M9" i="2"/>
  <c r="Q8" i="2"/>
  <c r="P8" i="2"/>
  <c r="O8" i="2"/>
  <c r="N8" i="2"/>
  <c r="M8" i="2"/>
  <c r="R11" i="2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R10" i="2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R9" i="2"/>
  <c r="S9" i="2" s="1"/>
  <c r="T9" i="2" s="1"/>
  <c r="U9" i="2" s="1"/>
  <c r="V9" i="2" s="1"/>
  <c r="W9" i="2" s="1"/>
  <c r="X9" i="2" s="1"/>
  <c r="Y9" i="2" s="1"/>
  <c r="Z9" i="2" s="1"/>
  <c r="AA9" i="2" s="1"/>
  <c r="AB9" i="2" s="1"/>
  <c r="R8" i="2"/>
  <c r="S8" i="2" s="1"/>
  <c r="T8" i="2" s="1"/>
  <c r="U8" i="2" s="1"/>
  <c r="V8" i="2" s="1"/>
  <c r="W8" i="2" s="1"/>
  <c r="X8" i="2" s="1"/>
  <c r="Y8" i="2" s="1"/>
  <c r="Z8" i="2" s="1"/>
  <c r="AA8" i="2" s="1"/>
  <c r="Q18" i="2"/>
  <c r="K18" i="4" s="1"/>
  <c r="R18" i="2"/>
  <c r="R35" i="2" s="1"/>
  <c r="M120" i="2"/>
  <c r="M121" i="2" s="1"/>
  <c r="O121" i="2"/>
  <c r="Q121" i="2"/>
  <c r="P121" i="2"/>
  <c r="N121" i="2"/>
  <c r="R121" i="2"/>
  <c r="M111" i="2"/>
  <c r="M112" i="2" s="1"/>
  <c r="N111" i="2"/>
  <c r="N110" i="2"/>
  <c r="O107" i="2"/>
  <c r="I50" i="4" s="1"/>
  <c r="N107" i="2"/>
  <c r="H50" i="4" s="1"/>
  <c r="M107" i="2"/>
  <c r="G50" i="4" s="1"/>
  <c r="G51" i="4" s="1"/>
  <c r="Q127" i="2"/>
  <c r="Q112" i="2"/>
  <c r="P112" i="2"/>
  <c r="O112" i="2"/>
  <c r="R112" i="2"/>
  <c r="R107" i="2"/>
  <c r="L50" i="4" s="1"/>
  <c r="Q107" i="2"/>
  <c r="K50" i="4" s="1"/>
  <c r="P107" i="2"/>
  <c r="J50" i="4" s="1"/>
  <c r="Q83" i="2"/>
  <c r="P83" i="2"/>
  <c r="O83" i="2"/>
  <c r="N83" i="2"/>
  <c r="M83" i="2"/>
  <c r="R83" i="2"/>
  <c r="Q74" i="2"/>
  <c r="P74" i="2"/>
  <c r="O74" i="2"/>
  <c r="N74" i="2"/>
  <c r="M74" i="2"/>
  <c r="R74" i="2"/>
  <c r="Q69" i="2"/>
  <c r="P69" i="2"/>
  <c r="O69" i="2"/>
  <c r="N69" i="2"/>
  <c r="M69" i="2"/>
  <c r="R69" i="2"/>
  <c r="Q60" i="2"/>
  <c r="P60" i="2"/>
  <c r="O60" i="2"/>
  <c r="N60" i="2"/>
  <c r="M60" i="2"/>
  <c r="R60" i="2"/>
  <c r="Q54" i="2"/>
  <c r="P54" i="2"/>
  <c r="O54" i="2"/>
  <c r="N54" i="2"/>
  <c r="M54" i="2"/>
  <c r="R54" i="2"/>
  <c r="M20" i="2"/>
  <c r="M42" i="2" s="1"/>
  <c r="K45" i="2"/>
  <c r="K44" i="2"/>
  <c r="K43" i="2"/>
  <c r="K42" i="2"/>
  <c r="K41" i="2"/>
  <c r="I41" i="2"/>
  <c r="H41" i="2"/>
  <c r="G41" i="2"/>
  <c r="J20" i="2"/>
  <c r="J42" i="2" s="1"/>
  <c r="I20" i="2"/>
  <c r="I42" i="2" s="1"/>
  <c r="H20" i="2"/>
  <c r="H22" i="2" s="1"/>
  <c r="E20" i="2"/>
  <c r="E22" i="2" s="1"/>
  <c r="E25" i="2" s="1"/>
  <c r="E27" i="2" s="1"/>
  <c r="D20" i="2"/>
  <c r="D22" i="2" s="1"/>
  <c r="D25" i="2" s="1"/>
  <c r="D27" i="2" s="1"/>
  <c r="C20" i="2"/>
  <c r="C22" i="2" s="1"/>
  <c r="C25" i="2" s="1"/>
  <c r="C27" i="2" s="1"/>
  <c r="G20" i="2"/>
  <c r="G22" i="2" s="1"/>
  <c r="G25" i="2" s="1"/>
  <c r="G27" i="2" s="1"/>
  <c r="I5" i="1"/>
  <c r="J51" i="3" s="1"/>
  <c r="AA14" i="2" l="1"/>
  <c r="AB8" i="2"/>
  <c r="AB17" i="2"/>
  <c r="AC11" i="2"/>
  <c r="R33" i="2"/>
  <c r="D44" i="2"/>
  <c r="AB15" i="2"/>
  <c r="AC9" i="2"/>
  <c r="AC10" i="2"/>
  <c r="AB16" i="2"/>
  <c r="I8" i="1"/>
  <c r="J52" i="3"/>
  <c r="J53" i="3" s="1"/>
  <c r="Q5" i="4" s="1"/>
  <c r="K51" i="4"/>
  <c r="K45" i="4"/>
  <c r="K39" i="4"/>
  <c r="O36" i="2"/>
  <c r="H51" i="4"/>
  <c r="H39" i="4"/>
  <c r="H45" i="4"/>
  <c r="H19" i="4"/>
  <c r="O34" i="2"/>
  <c r="Q36" i="2"/>
  <c r="Q35" i="2"/>
  <c r="K19" i="4"/>
  <c r="J39" i="4"/>
  <c r="J51" i="4"/>
  <c r="J45" i="4"/>
  <c r="J19" i="4"/>
  <c r="I39" i="4"/>
  <c r="I51" i="4"/>
  <c r="I45" i="4"/>
  <c r="I19" i="4"/>
  <c r="O20" i="2"/>
  <c r="O42" i="2" s="1"/>
  <c r="E44" i="2"/>
  <c r="P34" i="2"/>
  <c r="F18" i="2"/>
  <c r="L18" i="4"/>
  <c r="O33" i="2"/>
  <c r="O35" i="2"/>
  <c r="Q41" i="2"/>
  <c r="P33" i="2"/>
  <c r="P35" i="2"/>
  <c r="H15" i="3"/>
  <c r="H36" i="3"/>
  <c r="D21" i="3"/>
  <c r="D20" i="3"/>
  <c r="D38" i="3"/>
  <c r="N35" i="2"/>
  <c r="C36" i="3"/>
  <c r="C15" i="3"/>
  <c r="D15" i="3"/>
  <c r="D36" i="3"/>
  <c r="E15" i="3"/>
  <c r="E36" i="3"/>
  <c r="R20" i="2"/>
  <c r="R22" i="2" s="1"/>
  <c r="L24" i="4" s="1"/>
  <c r="H20" i="3"/>
  <c r="H21" i="3"/>
  <c r="H38" i="3"/>
  <c r="N33" i="2"/>
  <c r="N34" i="2"/>
  <c r="F36" i="3"/>
  <c r="F15" i="3"/>
  <c r="G15" i="3"/>
  <c r="G36" i="3"/>
  <c r="Q20" i="2"/>
  <c r="Q42" i="2" s="1"/>
  <c r="G20" i="3"/>
  <c r="G21" i="3"/>
  <c r="G38" i="3"/>
  <c r="N36" i="2"/>
  <c r="P41" i="2"/>
  <c r="F21" i="3"/>
  <c r="F20" i="3"/>
  <c r="F38" i="3"/>
  <c r="Q33" i="2"/>
  <c r="Q34" i="2"/>
  <c r="E21" i="3"/>
  <c r="E20" i="3"/>
  <c r="E25" i="3" s="1"/>
  <c r="E38" i="3"/>
  <c r="R34" i="2"/>
  <c r="P36" i="2"/>
  <c r="P20" i="2"/>
  <c r="P22" i="2" s="1"/>
  <c r="J24" i="4" s="1"/>
  <c r="O41" i="2"/>
  <c r="N20" i="2"/>
  <c r="N22" i="2" s="1"/>
  <c r="H24" i="4" s="1"/>
  <c r="H25" i="4" s="1"/>
  <c r="N41" i="2"/>
  <c r="R41" i="2"/>
  <c r="N112" i="2"/>
  <c r="M76" i="2"/>
  <c r="M85" i="2" s="1"/>
  <c r="N76" i="2"/>
  <c r="N85" i="2" s="1"/>
  <c r="R62" i="2"/>
  <c r="H22" i="3" s="1"/>
  <c r="M62" i="2"/>
  <c r="C22" i="3" s="1"/>
  <c r="Q62" i="2"/>
  <c r="G22" i="3" s="1"/>
  <c r="R76" i="2"/>
  <c r="R85" i="2" s="1"/>
  <c r="I22" i="2"/>
  <c r="I25" i="2" s="1"/>
  <c r="I27" i="2" s="1"/>
  <c r="J22" i="2"/>
  <c r="J25" i="2" s="1"/>
  <c r="J27" i="2" s="1"/>
  <c r="J29" i="2" s="1"/>
  <c r="Q76" i="2"/>
  <c r="Q85" i="2" s="1"/>
  <c r="N62" i="2"/>
  <c r="D22" i="3" s="1"/>
  <c r="G43" i="2"/>
  <c r="G44" i="2"/>
  <c r="M22" i="2"/>
  <c r="G24" i="4" s="1"/>
  <c r="G42" i="2"/>
  <c r="O22" i="2"/>
  <c r="I24" i="4" s="1"/>
  <c r="O76" i="2"/>
  <c r="O85" i="2" s="1"/>
  <c r="P76" i="2"/>
  <c r="P85" i="2" s="1"/>
  <c r="O62" i="2"/>
  <c r="E22" i="3" s="1"/>
  <c r="P62" i="2"/>
  <c r="F22" i="3" s="1"/>
  <c r="N42" i="2"/>
  <c r="N43" i="2"/>
  <c r="N25" i="2"/>
  <c r="H25" i="2"/>
  <c r="H43" i="2"/>
  <c r="C42" i="2"/>
  <c r="D42" i="2"/>
  <c r="C44" i="2"/>
  <c r="E42" i="2"/>
  <c r="C45" i="2"/>
  <c r="H42" i="2"/>
  <c r="D45" i="2"/>
  <c r="C43" i="2"/>
  <c r="E45" i="2"/>
  <c r="D43" i="2"/>
  <c r="G45" i="2"/>
  <c r="E43" i="2"/>
  <c r="F34" i="2" l="1"/>
  <c r="F33" i="2"/>
  <c r="F36" i="2"/>
  <c r="F35" i="2"/>
  <c r="I31" i="4"/>
  <c r="I36" i="4"/>
  <c r="I56" i="4" s="1"/>
  <c r="L36" i="4"/>
  <c r="L56" i="4" s="1"/>
  <c r="L31" i="4"/>
  <c r="J44" i="2"/>
  <c r="J36" i="4"/>
  <c r="J56" i="4" s="1"/>
  <c r="J31" i="4"/>
  <c r="I44" i="2"/>
  <c r="H36" i="4"/>
  <c r="H56" i="4" s="1"/>
  <c r="H31" i="4"/>
  <c r="G36" i="4"/>
  <c r="G56" i="4" s="1"/>
  <c r="G31" i="4"/>
  <c r="G25" i="4"/>
  <c r="I25" i="4"/>
  <c r="J25" i="4"/>
  <c r="AB14" i="2"/>
  <c r="AC8" i="2"/>
  <c r="U5" i="4"/>
  <c r="M5" i="4"/>
  <c r="D9" i="4"/>
  <c r="T16" i="2"/>
  <c r="S18" i="2"/>
  <c r="S41" i="2" s="1"/>
  <c r="M21" i="4" s="1"/>
  <c r="T17" i="2"/>
  <c r="T15" i="2"/>
  <c r="L19" i="4"/>
  <c r="L25" i="4"/>
  <c r="L45" i="4"/>
  <c r="L51" i="4"/>
  <c r="M53" i="4" s="1"/>
  <c r="L39" i="4"/>
  <c r="T14" i="2"/>
  <c r="F20" i="2"/>
  <c r="J41" i="2"/>
  <c r="Q22" i="2"/>
  <c r="G39" i="3" s="1"/>
  <c r="F25" i="3"/>
  <c r="K36" i="3"/>
  <c r="K21" i="3"/>
  <c r="P25" i="2"/>
  <c r="F6" i="3"/>
  <c r="F16" i="3"/>
  <c r="F40" i="3"/>
  <c r="F39" i="3"/>
  <c r="F5" i="3"/>
  <c r="R43" i="2"/>
  <c r="H6" i="3"/>
  <c r="H16" i="3"/>
  <c r="H39" i="3"/>
  <c r="H40" i="3"/>
  <c r="H5" i="3"/>
  <c r="K22" i="3"/>
  <c r="R25" i="2"/>
  <c r="R27" i="2" s="1"/>
  <c r="R44" i="2" s="1"/>
  <c r="K20" i="3"/>
  <c r="D25" i="3"/>
  <c r="P43" i="2"/>
  <c r="O25" i="2"/>
  <c r="O27" i="2" s="1"/>
  <c r="O44" i="2" s="1"/>
  <c r="E6" i="3"/>
  <c r="E16" i="3"/>
  <c r="E39" i="3"/>
  <c r="E40" i="3"/>
  <c r="E5" i="3"/>
  <c r="P42" i="2"/>
  <c r="K38" i="3"/>
  <c r="R42" i="2"/>
  <c r="G25" i="3"/>
  <c r="M25" i="2"/>
  <c r="M45" i="2" s="1"/>
  <c r="C11" i="3" s="1"/>
  <c r="C6" i="3"/>
  <c r="C16" i="3"/>
  <c r="C39" i="3"/>
  <c r="C40" i="3"/>
  <c r="C5" i="3"/>
  <c r="D6" i="3"/>
  <c r="D16" i="3"/>
  <c r="D40" i="3"/>
  <c r="D39" i="3"/>
  <c r="D5" i="3"/>
  <c r="H25" i="3"/>
  <c r="I43" i="2"/>
  <c r="J43" i="2"/>
  <c r="J45" i="2"/>
  <c r="I45" i="2"/>
  <c r="R89" i="2"/>
  <c r="R108" i="2" s="1"/>
  <c r="R124" i="2" s="1"/>
  <c r="R127" i="2" s="1"/>
  <c r="M27" i="2"/>
  <c r="O43" i="2"/>
  <c r="M43" i="2"/>
  <c r="N27" i="2"/>
  <c r="N45" i="2"/>
  <c r="D11" i="3" s="1"/>
  <c r="H45" i="2"/>
  <c r="H27" i="2"/>
  <c r="AB18" i="2" l="1"/>
  <c r="AB33" i="2" s="1"/>
  <c r="G16" i="3"/>
  <c r="G40" i="3"/>
  <c r="Q43" i="2"/>
  <c r="K24" i="4"/>
  <c r="H44" i="2"/>
  <c r="M22" i="4"/>
  <c r="M20" i="4"/>
  <c r="M19" i="4" a="1"/>
  <c r="M19" i="4" s="1"/>
  <c r="M18" i="4" s="1"/>
  <c r="M51" i="4" a="1"/>
  <c r="M51" i="4" s="1"/>
  <c r="M54" i="4"/>
  <c r="M52" i="4"/>
  <c r="G6" i="3"/>
  <c r="F22" i="2"/>
  <c r="F42" i="2"/>
  <c r="S34" i="2"/>
  <c r="S33" i="2"/>
  <c r="U15" i="2"/>
  <c r="U17" i="2"/>
  <c r="Q25" i="2"/>
  <c r="T18" i="2"/>
  <c r="T41" i="2" s="1"/>
  <c r="N21" i="4" s="1"/>
  <c r="S35" i="2"/>
  <c r="G5" i="3"/>
  <c r="K5" i="3" s="1"/>
  <c r="R45" i="2"/>
  <c r="H11" i="3" s="1"/>
  <c r="C7" i="3"/>
  <c r="C12" i="3" s="1"/>
  <c r="U14" i="2"/>
  <c r="S36" i="2"/>
  <c r="U16" i="2"/>
  <c r="K39" i="3"/>
  <c r="M89" i="2"/>
  <c r="M108" i="2" s="1"/>
  <c r="M124" i="2" s="1"/>
  <c r="C9" i="3"/>
  <c r="C10" i="3" s="1"/>
  <c r="C34" i="3"/>
  <c r="C4" i="3"/>
  <c r="H7" i="3"/>
  <c r="N89" i="2"/>
  <c r="N108" i="2" s="1"/>
  <c r="N124" i="2" s="1"/>
  <c r="D9" i="3"/>
  <c r="D10" i="3" s="1"/>
  <c r="D34" i="3"/>
  <c r="D35" i="3" s="1"/>
  <c r="D4" i="3"/>
  <c r="D7" i="3"/>
  <c r="D12" i="3" s="1"/>
  <c r="O89" i="2"/>
  <c r="O108" i="2" s="1"/>
  <c r="O124" i="2" s="1"/>
  <c r="E9" i="3"/>
  <c r="E10" i="3" s="1"/>
  <c r="E34" i="3"/>
  <c r="E35" i="3" s="1"/>
  <c r="E4" i="3"/>
  <c r="K40" i="3"/>
  <c r="K25" i="3"/>
  <c r="K6" i="3"/>
  <c r="O45" i="2"/>
  <c r="P27" i="2"/>
  <c r="P45" i="2"/>
  <c r="O29" i="2"/>
  <c r="R29" i="2"/>
  <c r="H9" i="3"/>
  <c r="H10" i="3" s="1"/>
  <c r="H34" i="3"/>
  <c r="H4" i="3"/>
  <c r="M44" i="2"/>
  <c r="M29" i="2"/>
  <c r="N44" i="2"/>
  <c r="N29" i="2"/>
  <c r="K36" i="4" l="1"/>
  <c r="K56" i="4" s="1"/>
  <c r="K31" i="4"/>
  <c r="K25" i="4"/>
  <c r="AB35" i="2"/>
  <c r="AB34" i="2"/>
  <c r="AB36" i="2"/>
  <c r="T35" i="2"/>
  <c r="M50" i="4"/>
  <c r="N19" i="4" a="1"/>
  <c r="N19" i="4" s="1"/>
  <c r="N18" i="4" s="1"/>
  <c r="N22" i="4"/>
  <c r="N20" i="4"/>
  <c r="M24" i="4"/>
  <c r="M30" i="4" s="1"/>
  <c r="M36" i="4" s="1"/>
  <c r="M38" i="4"/>
  <c r="M44" i="4"/>
  <c r="H12" i="3"/>
  <c r="V15" i="2"/>
  <c r="U18" i="2"/>
  <c r="U36" i="2" s="1"/>
  <c r="V14" i="2"/>
  <c r="T33" i="2"/>
  <c r="Q27" i="2"/>
  <c r="H35" i="3" s="1"/>
  <c r="Q45" i="2"/>
  <c r="V17" i="2"/>
  <c r="F25" i="2"/>
  <c r="F43" i="2"/>
  <c r="V16" i="2"/>
  <c r="T36" i="2"/>
  <c r="T34" i="2"/>
  <c r="F11" i="3"/>
  <c r="F7" i="3"/>
  <c r="P29" i="2"/>
  <c r="F9" i="3"/>
  <c r="F34" i="3"/>
  <c r="F4" i="3"/>
  <c r="P44" i="2"/>
  <c r="P89" i="2"/>
  <c r="P108" i="2" s="1"/>
  <c r="P124" i="2" s="1"/>
  <c r="E11" i="3"/>
  <c r="E7" i="3"/>
  <c r="E12" i="3" s="1"/>
  <c r="M56" i="4" l="1"/>
  <c r="M58" i="4" s="1"/>
  <c r="N50" i="4"/>
  <c r="N24" i="4"/>
  <c r="N30" i="4" s="1"/>
  <c r="N36" i="4" s="1"/>
  <c r="N38" i="4"/>
  <c r="N44" i="4"/>
  <c r="W14" i="2"/>
  <c r="F27" i="2"/>
  <c r="F45" i="2"/>
  <c r="U33" i="2"/>
  <c r="U41" i="2"/>
  <c r="O21" i="4" s="1"/>
  <c r="G11" i="3"/>
  <c r="K11" i="3" s="1"/>
  <c r="G7" i="3"/>
  <c r="K7" i="3" s="1"/>
  <c r="W15" i="2"/>
  <c r="U34" i="2"/>
  <c r="W17" i="2"/>
  <c r="V18" i="2"/>
  <c r="V41" i="2" s="1"/>
  <c r="P21" i="4" s="1"/>
  <c r="W16" i="2"/>
  <c r="G34" i="3"/>
  <c r="G35" i="3" s="1"/>
  <c r="G9" i="3"/>
  <c r="G10" i="3" s="1"/>
  <c r="Q44" i="2"/>
  <c r="Q29" i="2"/>
  <c r="G4" i="3"/>
  <c r="K4" i="3" s="1"/>
  <c r="Q89" i="2"/>
  <c r="Q108" i="2" s="1"/>
  <c r="Q124" i="2" s="1"/>
  <c r="Q126" i="2" s="1"/>
  <c r="P127" i="2" s="1"/>
  <c r="P126" i="2" s="1"/>
  <c r="O127" i="2" s="1"/>
  <c r="O126" i="2" s="1"/>
  <c r="N127" i="2" s="1"/>
  <c r="N126" i="2" s="1"/>
  <c r="M127" i="2" s="1"/>
  <c r="M126" i="2" s="1"/>
  <c r="U35" i="2"/>
  <c r="F35" i="3"/>
  <c r="F10" i="3"/>
  <c r="F12" i="3"/>
  <c r="V34" i="2" l="1"/>
  <c r="V35" i="2"/>
  <c r="P20" i="4"/>
  <c r="P22" i="4"/>
  <c r="P19" i="4" a="1"/>
  <c r="P19" i="4" s="1"/>
  <c r="V36" i="2"/>
  <c r="N56" i="4"/>
  <c r="N58" i="4" s="1"/>
  <c r="O20" i="4"/>
  <c r="O22" i="4"/>
  <c r="O19" i="4" a="1"/>
  <c r="O19" i="4" s="1"/>
  <c r="O18" i="4" s="1"/>
  <c r="K9" i="3"/>
  <c r="F44" i="2"/>
  <c r="W18" i="2"/>
  <c r="W41" i="2" s="1"/>
  <c r="Q21" i="4" s="1"/>
  <c r="K35" i="3"/>
  <c r="G12" i="3"/>
  <c r="K12" i="3" s="1"/>
  <c r="X14" i="2"/>
  <c r="K34" i="3"/>
  <c r="X15" i="2"/>
  <c r="X16" i="2"/>
  <c r="K10" i="3"/>
  <c r="X17" i="2"/>
  <c r="V33" i="2"/>
  <c r="W33" i="2" l="1"/>
  <c r="W34" i="2"/>
  <c r="Q22" i="4"/>
  <c r="Q20" i="4"/>
  <c r="Q19" i="4" a="1"/>
  <c r="Q19" i="4" s="1"/>
  <c r="W36" i="2"/>
  <c r="O50" i="4"/>
  <c r="O24" i="4"/>
  <c r="O30" i="4" s="1"/>
  <c r="O36" i="4" s="1"/>
  <c r="P18" i="4"/>
  <c r="O44" i="4"/>
  <c r="O38" i="4"/>
  <c r="Y14" i="2"/>
  <c r="Y15" i="2"/>
  <c r="Y16" i="2"/>
  <c r="X18" i="2"/>
  <c r="X41" i="2" s="1"/>
  <c r="R21" i="4" s="1"/>
  <c r="Y17" i="2"/>
  <c r="W35" i="2"/>
  <c r="O56" i="4" l="1"/>
  <c r="O58" i="4" s="1"/>
  <c r="P38" i="4"/>
  <c r="P50" i="4"/>
  <c r="P44" i="4"/>
  <c r="Q18" i="4"/>
  <c r="P24" i="4"/>
  <c r="P30" i="4" s="1"/>
  <c r="P36" i="4" s="1"/>
  <c r="R20" i="4"/>
  <c r="R22" i="4"/>
  <c r="R19" i="4" a="1"/>
  <c r="R19" i="4" s="1"/>
  <c r="Z16" i="2"/>
  <c r="X33" i="2"/>
  <c r="Y18" i="2"/>
  <c r="Y41" i="2" s="1"/>
  <c r="S21" i="4" s="1"/>
  <c r="X36" i="2"/>
  <c r="Z15" i="2"/>
  <c r="X35" i="2"/>
  <c r="Z17" i="2"/>
  <c r="X34" i="2"/>
  <c r="Z14" i="2"/>
  <c r="Y34" i="2" l="1"/>
  <c r="Y33" i="2"/>
  <c r="P56" i="4"/>
  <c r="P58" i="4" s="1"/>
  <c r="Q24" i="4"/>
  <c r="Q30" i="4" s="1"/>
  <c r="Q36" i="4" s="1"/>
  <c r="Q50" i="4"/>
  <c r="R18" i="4"/>
  <c r="Q44" i="4"/>
  <c r="Q38" i="4"/>
  <c r="S19" i="4" a="1"/>
  <c r="S19" i="4" s="1"/>
  <c r="S22" i="4"/>
  <c r="S20" i="4"/>
  <c r="AA15" i="2"/>
  <c r="AA17" i="2"/>
  <c r="Y35" i="2"/>
  <c r="Y36" i="2"/>
  <c r="Z18" i="2"/>
  <c r="Z41" i="2" s="1"/>
  <c r="T21" i="4" s="1"/>
  <c r="AA16" i="2"/>
  <c r="Z34" i="2" l="1"/>
  <c r="Z36" i="2"/>
  <c r="S18" i="4"/>
  <c r="R50" i="4"/>
  <c r="R24" i="4"/>
  <c r="R30" i="4" s="1"/>
  <c r="R36" i="4" s="1"/>
  <c r="R44" i="4"/>
  <c r="R38" i="4"/>
  <c r="T22" i="4"/>
  <c r="T19" i="4" a="1"/>
  <c r="T19" i="4" s="1"/>
  <c r="T20" i="4"/>
  <c r="Q56" i="4"/>
  <c r="Q58" i="4" s="1"/>
  <c r="Z33" i="2"/>
  <c r="AA18" i="2"/>
  <c r="Z35" i="2"/>
  <c r="AA41" i="2" l="1"/>
  <c r="U21" i="4" s="1"/>
  <c r="AB41" i="2"/>
  <c r="V21" i="4" s="1"/>
  <c r="AA33" i="2"/>
  <c r="U22" i="4"/>
  <c r="U19" i="4" a="1"/>
  <c r="U19" i="4" s="1"/>
  <c r="U20" i="4"/>
  <c r="R56" i="4"/>
  <c r="R58" i="4" s="1"/>
  <c r="S50" i="4"/>
  <c r="S24" i="4"/>
  <c r="S30" i="4" s="1"/>
  <c r="S36" i="4" s="1"/>
  <c r="T18" i="4"/>
  <c r="S38" i="4"/>
  <c r="S44" i="4"/>
  <c r="AA34" i="2"/>
  <c r="AA35" i="2"/>
  <c r="AA36" i="2"/>
  <c r="V20" i="4" l="1"/>
  <c r="V19" i="4" a="1"/>
  <c r="V19" i="4" s="1"/>
  <c r="V22" i="4"/>
  <c r="T50" i="4"/>
  <c r="U18" i="4"/>
  <c r="T24" i="4"/>
  <c r="T30" i="4" s="1"/>
  <c r="T36" i="4" s="1"/>
  <c r="T38" i="4"/>
  <c r="T44" i="4"/>
  <c r="S56" i="4"/>
  <c r="S58" i="4" s="1"/>
  <c r="T56" i="4" l="1"/>
  <c r="T58" i="4" s="1"/>
  <c r="V18" i="4"/>
  <c r="U44" i="4"/>
  <c r="U24" i="4"/>
  <c r="U30" i="4" s="1"/>
  <c r="U36" i="4" s="1"/>
  <c r="U38" i="4"/>
  <c r="U50" i="4"/>
  <c r="U56" i="4" l="1"/>
  <c r="U58" i="4" s="1"/>
  <c r="V44" i="4"/>
  <c r="V50" i="4"/>
  <c r="V24" i="4"/>
  <c r="V38" i="4"/>
  <c r="V30" i="4" l="1"/>
  <c r="V36" i="4" s="1"/>
  <c r="V56" i="4" s="1"/>
  <c r="V60" i="4" s="1"/>
  <c r="V61" i="4" s="1"/>
  <c r="V58" i="4" l="1"/>
  <c r="V59" i="4" s="1"/>
  <c r="V62" i="4" s="1"/>
  <c r="V65" i="4" s="1"/>
  <c r="V67" i="4" l="1"/>
  <c r="H10" i="4" l="1"/>
  <c r="H11" i="4" s="1"/>
  <c r="C7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R2" authorId="0" shapeId="0" xr:uid="{E3372F46-9400-431E-8995-87FE3C42891E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<sst xmlns="http://schemas.openxmlformats.org/spreadsheetml/2006/main" count="355" uniqueCount="246">
  <si>
    <t>TJX Companies</t>
  </si>
  <si>
    <t>Invesors</t>
  </si>
  <si>
    <t>Price</t>
  </si>
  <si>
    <t>MC</t>
  </si>
  <si>
    <t>Cash</t>
  </si>
  <si>
    <t>Debt</t>
  </si>
  <si>
    <t>EV</t>
  </si>
  <si>
    <t>Q124</t>
  </si>
  <si>
    <t>Main</t>
  </si>
  <si>
    <t>Income Statement</t>
  </si>
  <si>
    <t>x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</si>
  <si>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</si>
  <si>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</si>
  <si>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</si>
  <si>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</si>
  <si>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</si>
  <si>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</si>
  <si>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</si>
  <si>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</si>
  <si>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</si>
  <si>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</si>
  <si>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</si>
  <si>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</si>
  <si>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SGA</t>
  </si>
  <si>
    <t>Operating Profit</t>
  </si>
  <si>
    <t>Income before Taxes</t>
  </si>
  <si>
    <t>Income Tax Expense</t>
  </si>
  <si>
    <t>Net Income</t>
  </si>
  <si>
    <t>Shares</t>
  </si>
  <si>
    <t>EPS</t>
  </si>
  <si>
    <t>Metrics</t>
  </si>
  <si>
    <t>Revenue Groth</t>
  </si>
  <si>
    <t>Gross Margin</t>
  </si>
  <si>
    <t>Operating Margin</t>
  </si>
  <si>
    <t>Net Margin</t>
  </si>
  <si>
    <t>Tax Rate</t>
  </si>
  <si>
    <t>Other Income</t>
  </si>
  <si>
    <t>Business Model</t>
  </si>
  <si>
    <t>Balance Sheet</t>
  </si>
  <si>
    <t>Cash and Cash Equivalents</t>
  </si>
  <si>
    <t>Accounts Receivables</t>
  </si>
  <si>
    <t>Merchandise Inventories</t>
  </si>
  <si>
    <t>Prepaid Expenses and other</t>
  </si>
  <si>
    <t>Tax Receivables</t>
  </si>
  <si>
    <t>Current Assets</t>
  </si>
  <si>
    <t>Total Assets</t>
  </si>
  <si>
    <t>PP&amp;E at Cost</t>
  </si>
  <si>
    <t>Deffered Income Tax</t>
  </si>
  <si>
    <t>Operating Lease Right of Use</t>
  </si>
  <si>
    <t>Goodwill</t>
  </si>
  <si>
    <t>Other Assets</t>
  </si>
  <si>
    <t>Non-Current Assets</t>
  </si>
  <si>
    <t>Accounts Payable</t>
  </si>
  <si>
    <t>Accrued Expenses and other</t>
  </si>
  <si>
    <t>Current Lease Debt</t>
  </si>
  <si>
    <t>Current Debt</t>
  </si>
  <si>
    <t>Tax Payable</t>
  </si>
  <si>
    <t>Current Liabilities</t>
  </si>
  <si>
    <t>Other Long-Term Liabilities</t>
  </si>
  <si>
    <t>Long-Term Lease Debt</t>
  </si>
  <si>
    <t>Long-Term Debt</t>
  </si>
  <si>
    <t>Long-Term Liabilties</t>
  </si>
  <si>
    <t>Total Liabilties</t>
  </si>
  <si>
    <t>Preffered Stock</t>
  </si>
  <si>
    <t>Common Stock</t>
  </si>
  <si>
    <t>Paid in Capital</t>
  </si>
  <si>
    <t>Comprehensive Income</t>
  </si>
  <si>
    <t xml:space="preserve">Retained Earnings </t>
  </si>
  <si>
    <t xml:space="preserve">Total Equity </t>
  </si>
  <si>
    <t>Equity &amp; Liabilties</t>
  </si>
  <si>
    <t>Cashflow Statement</t>
  </si>
  <si>
    <t>Change in WC</t>
  </si>
  <si>
    <t>Total</t>
  </si>
  <si>
    <t>D&amp;A</t>
  </si>
  <si>
    <t>Impairment on Equity Investments</t>
  </si>
  <si>
    <t>Early Extinguisment on Debt</t>
  </si>
  <si>
    <t>Property Disposal and impairment</t>
  </si>
  <si>
    <t>Deffered Tax Provision</t>
  </si>
  <si>
    <t>Shared based compensation</t>
  </si>
  <si>
    <t>Change in Accounts Receivables</t>
  </si>
  <si>
    <t>Change in Inventory</t>
  </si>
  <si>
    <t>Change in Tax Receivables</t>
  </si>
  <si>
    <t>Change in Prepaid Expenses</t>
  </si>
  <si>
    <t>Change in Accounts Payables</t>
  </si>
  <si>
    <t>Change in Accrued Expenses</t>
  </si>
  <si>
    <t>Change in Tax Payables</t>
  </si>
  <si>
    <t>Change in Net Operating Liabilities</t>
  </si>
  <si>
    <t>Other</t>
  </si>
  <si>
    <t>CFFO</t>
  </si>
  <si>
    <t>CapEx</t>
  </si>
  <si>
    <t>Purchase of Investments</t>
  </si>
  <si>
    <t>Sales and maturities Investments</t>
  </si>
  <si>
    <t>CFFI</t>
  </si>
  <si>
    <t>Common Stock Buyback</t>
  </si>
  <si>
    <t>Issuance of Common Stock</t>
  </si>
  <si>
    <t>Dividnends Paid</t>
  </si>
  <si>
    <t>Repayment of Debt</t>
  </si>
  <si>
    <t>CFFF</t>
  </si>
  <si>
    <t>Exhange Rate</t>
  </si>
  <si>
    <t>Change in Cash</t>
  </si>
  <si>
    <t>Cash and Cash Equivalents BOP</t>
  </si>
  <si>
    <t>Cash and Cash Equivalents EOP</t>
  </si>
  <si>
    <t>Pesnsion Settlment Charge</t>
  </si>
  <si>
    <t>FY25</t>
  </si>
  <si>
    <t>Q125</t>
  </si>
  <si>
    <t>Q225</t>
  </si>
  <si>
    <t>Q325</t>
  </si>
  <si>
    <t>Q425</t>
  </si>
  <si>
    <t>Payments on Revolving Credit Facility</t>
  </si>
  <si>
    <t>Issuance of Long-Term Debt</t>
  </si>
  <si>
    <t>Payments for Debt Issuance Expenses</t>
  </si>
  <si>
    <t>Segment</t>
  </si>
  <si>
    <t>Products</t>
  </si>
  <si>
    <t>Competiton</t>
  </si>
  <si>
    <t>MarMaxx</t>
  </si>
  <si>
    <t>HomeGoods</t>
  </si>
  <si>
    <t>TJX Canada</t>
  </si>
  <si>
    <t>TJX International</t>
  </si>
  <si>
    <t>Stores</t>
  </si>
  <si>
    <t>Sierra</t>
  </si>
  <si>
    <t>Off Price retailer -&gt; outdoor appereal etc.</t>
  </si>
  <si>
    <t>Off Price Retailer -&gt; Home Fashions</t>
  </si>
  <si>
    <t>incl. In MarMaxx</t>
  </si>
  <si>
    <t>Winners, Home Sense, Marshalls in Canada</t>
  </si>
  <si>
    <t>TJ Maxx, Marshalls Chains -&gt;off price retailer</t>
  </si>
  <si>
    <t>TK Maxx, Homesense in Europe and Australia</t>
  </si>
  <si>
    <t>MarMaxx Number of Stores</t>
  </si>
  <si>
    <t>HomeGoods Number of Stores</t>
  </si>
  <si>
    <t>TJX Canada Number of Stores</t>
  </si>
  <si>
    <t>TJX International Number of Stores</t>
  </si>
  <si>
    <t>MarMaxx Revenue</t>
  </si>
  <si>
    <t>HomeGoods Revenue</t>
  </si>
  <si>
    <t>TJX Canada Revenue</t>
  </si>
  <si>
    <t>TJX International Revenue</t>
  </si>
  <si>
    <t>MarMaxx Revenue per Store</t>
  </si>
  <si>
    <t>HomeGoods Revenue per Store</t>
  </si>
  <si>
    <t>TJX Canada Revenue per Store</t>
  </si>
  <si>
    <t>TJX International Revenue per Store</t>
  </si>
  <si>
    <t>Clothing and Footwear</t>
  </si>
  <si>
    <t>Accessoires incl. Jewelery</t>
  </si>
  <si>
    <t>Home Fashion</t>
  </si>
  <si>
    <t>USA</t>
  </si>
  <si>
    <t>Canada</t>
  </si>
  <si>
    <t>Europe</t>
  </si>
  <si>
    <t>Australia</t>
  </si>
  <si>
    <t>MarMaxx % of Revenue</t>
  </si>
  <si>
    <t>HomeGoods % of Revenue</t>
  </si>
  <si>
    <t>TJX Canada % of Revenue</t>
  </si>
  <si>
    <t>TJX International % of Revenue</t>
  </si>
  <si>
    <t>MarMaxx Store Growth</t>
  </si>
  <si>
    <t>HomeGoods Store Growth</t>
  </si>
  <si>
    <t>TJX Canada Store Growth</t>
  </si>
  <si>
    <t>TJX International Store Growth</t>
  </si>
  <si>
    <t>Ratios</t>
  </si>
  <si>
    <t>Average</t>
  </si>
  <si>
    <t>Efficiency</t>
  </si>
  <si>
    <t>ROE</t>
  </si>
  <si>
    <t>ROA</t>
  </si>
  <si>
    <t>ROCE</t>
  </si>
  <si>
    <t>ROIC</t>
  </si>
  <si>
    <t>Retention Rate</t>
  </si>
  <si>
    <t>Reinvestment Rate</t>
  </si>
  <si>
    <t>Financial Stability</t>
  </si>
  <si>
    <t>Gearing</t>
  </si>
  <si>
    <t>Net Debt/EBITDA</t>
  </si>
  <si>
    <t>Interest Coverage</t>
  </si>
  <si>
    <t>WC Management</t>
  </si>
  <si>
    <t>Creditors</t>
  </si>
  <si>
    <t>Debitors</t>
  </si>
  <si>
    <t>Inventority Intensity</t>
  </si>
  <si>
    <t>Inventority Turnover</t>
  </si>
  <si>
    <t>Storage Duration</t>
  </si>
  <si>
    <t>Cash Conversion Cycle</t>
  </si>
  <si>
    <t>Multiples</t>
  </si>
  <si>
    <t>Net Debt</t>
  </si>
  <si>
    <t>Equity Multiples</t>
  </si>
  <si>
    <t>P/E</t>
  </si>
  <si>
    <t>P/B</t>
  </si>
  <si>
    <t>Entity Multiples</t>
  </si>
  <si>
    <t>EV/Sales</t>
  </si>
  <si>
    <t>EV/EBITDA</t>
  </si>
  <si>
    <t>EV/EBIT</t>
  </si>
  <si>
    <t>WACC</t>
  </si>
  <si>
    <t>Riskfree Rate</t>
  </si>
  <si>
    <t>Country Default Risk</t>
  </si>
  <si>
    <t>Default Spread</t>
  </si>
  <si>
    <t>Cost of Debt</t>
  </si>
  <si>
    <t xml:space="preserve">Beta </t>
  </si>
  <si>
    <t>Equity Riskpremium</t>
  </si>
  <si>
    <t>Cost of Equity</t>
  </si>
  <si>
    <t>% of Equity</t>
  </si>
  <si>
    <t>% of Debt</t>
  </si>
  <si>
    <t>Expected Growth NI</t>
  </si>
  <si>
    <t>Expected Growth OI</t>
  </si>
  <si>
    <t>PEG-Ratio</t>
  </si>
  <si>
    <t>FY26</t>
  </si>
  <si>
    <t>FY27</t>
  </si>
  <si>
    <t>FY29</t>
  </si>
  <si>
    <t>FY28</t>
  </si>
  <si>
    <t>FY30</t>
  </si>
  <si>
    <t>FY31</t>
  </si>
  <si>
    <t>FY32</t>
  </si>
  <si>
    <t>FY33</t>
  </si>
  <si>
    <t>Switches</t>
  </si>
  <si>
    <t>Assumptions</t>
  </si>
  <si>
    <t xml:space="preserve">Conservative Case </t>
  </si>
  <si>
    <t xml:space="preserve">Base Case </t>
  </si>
  <si>
    <t>Optimistic Case</t>
  </si>
  <si>
    <t>EBIT</t>
  </si>
  <si>
    <t>CapEX</t>
  </si>
  <si>
    <t>Taxes</t>
  </si>
  <si>
    <t>WC</t>
  </si>
  <si>
    <t>TGR</t>
  </si>
  <si>
    <t>Share Price</t>
  </si>
  <si>
    <t>Fair Share Price</t>
  </si>
  <si>
    <t>Implied Upside</t>
  </si>
  <si>
    <t>h</t>
  </si>
  <si>
    <t>p</t>
  </si>
  <si>
    <t>Model</t>
  </si>
  <si>
    <t xml:space="preserve">Revenue </t>
  </si>
  <si>
    <t>Growth (%)</t>
  </si>
  <si>
    <t>Conservative Case</t>
  </si>
  <si>
    <t>Optimisitic Case</t>
  </si>
  <si>
    <t>% of Sales</t>
  </si>
  <si>
    <t>Tax Rate (%)</t>
  </si>
  <si>
    <t>Nopat</t>
  </si>
  <si>
    <t>Free Cashflow</t>
  </si>
  <si>
    <t>Discount Period</t>
  </si>
  <si>
    <t>Present Value of FC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</si>
  <si>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</si>
  <si>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</si>
  <si>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</si>
  <si>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</si>
  <si>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</si>
  <si>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</si>
  <si>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</si>
  <si>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</si>
  <si>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Segments</t>
  </si>
  <si>
    <t>% of Revenue</t>
  </si>
  <si>
    <t>Sensitivity Analysis</t>
  </si>
  <si>
    <t>FY34</t>
  </si>
  <si>
    <t xml:space="preserve">Notes </t>
  </si>
  <si>
    <t>In Q225 360 Mio USD Investment in Brands for Less (Discount in Saudi-Arabia)</t>
  </si>
  <si>
    <t>TJX</t>
  </si>
  <si>
    <t>numbers in mio USD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</si>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</sst>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;[Red]#,##0.0"/>
    <numFmt numFmtId="165" formatCode="#,##0;\(#,##0\)"/>
    <numFmt numFmtId="166" formatCode="#,##0.0;\(#,##0.0\)"/>
    <numFmt numFmtId="167" formatCode="#,##0.0_ ;\-#,##0.0\ "/>
    <numFmt numFmtId="168" formatCode="0.0"/>
    <numFmt numFmtId="169" formatCode="0.0%"/>
    <numFmt numFmtId="170" formatCode="#,##0;[Red]#,##0"/>
  </numFmts>
  <fonts count="1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7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5" fontId="0" fillId="0" borderId="0" xfId="0" applyNumberFormat="1"/>
    <xf numFmtId="166" fontId="4" fillId="0" borderId="0" xfId="0" applyNumberFormat="1" applyFont="1"/>
    <xf numFmtId="166" fontId="0" fillId="0" borderId="0" xfId="0" applyNumberFormat="1"/>
    <xf numFmtId="9" fontId="0" fillId="0" borderId="0" xfId="2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164" fontId="0" fillId="0" borderId="10" xfId="0" applyNumberFormat="1" applyBorder="1"/>
    <xf numFmtId="9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0" fontId="0" fillId="0" borderId="0" xfId="0" applyNumberForma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8" fillId="2" borderId="0" xfId="0" applyFont="1" applyFill="1"/>
    <xf numFmtId="0" fontId="0" fillId="3" borderId="12" xfId="0" applyFill="1" applyBorder="1"/>
    <xf numFmtId="10" fontId="0" fillId="3" borderId="12" xfId="0" applyNumberFormat="1" applyFill="1" applyBorder="1"/>
    <xf numFmtId="10" fontId="0" fillId="3" borderId="12" xfId="0" applyNumberFormat="1" applyFill="1" applyBorder="1" applyAlignment="1">
      <alignment horizontal="right"/>
    </xf>
    <xf numFmtId="169" fontId="0" fillId="3" borderId="12" xfId="2" applyNumberFormat="1" applyFont="1" applyFill="1" applyBorder="1"/>
    <xf numFmtId="2" fontId="0" fillId="3" borderId="12" xfId="0" applyNumberFormat="1" applyFill="1" applyBorder="1"/>
    <xf numFmtId="9" fontId="0" fillId="3" borderId="12" xfId="2" applyFont="1" applyFill="1" applyBorder="1"/>
    <xf numFmtId="0" fontId="9" fillId="4" borderId="0" xfId="0" applyFont="1" applyFill="1"/>
    <xf numFmtId="0" fontId="8" fillId="5" borderId="0" xfId="0" applyFont="1" applyFill="1"/>
    <xf numFmtId="0" fontId="10" fillId="0" borderId="0" xfId="0" applyFont="1"/>
    <xf numFmtId="169" fontId="0" fillId="3" borderId="12" xfId="0" applyNumberFormat="1" applyFill="1" applyBorder="1"/>
    <xf numFmtId="0" fontId="4" fillId="0" borderId="1" xfId="0" applyFont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9" fontId="0" fillId="0" borderId="0" xfId="2" applyNumberFormat="1" applyFont="1"/>
    <xf numFmtId="169" fontId="0" fillId="0" borderId="0" xfId="0" applyNumberFormat="1"/>
    <xf numFmtId="0" fontId="8" fillId="6" borderId="0" xfId="0" applyFont="1" applyFill="1"/>
    <xf numFmtId="164" fontId="8" fillId="6" borderId="0" xfId="0" applyNumberFormat="1" applyFont="1" applyFill="1"/>
    <xf numFmtId="0" fontId="0" fillId="0" borderId="1" xfId="0" applyBorder="1"/>
    <xf numFmtId="0" fontId="0" fillId="0" borderId="3" xfId="0" applyBorder="1"/>
    <xf numFmtId="169" fontId="8" fillId="6" borderId="0" xfId="0" applyNumberFormat="1" applyFont="1" applyFill="1"/>
    <xf numFmtId="10" fontId="8" fillId="6" borderId="0" xfId="0" applyNumberFormat="1" applyFont="1" applyFill="1"/>
    <xf numFmtId="2" fontId="11" fillId="6" borderId="0" xfId="0" applyNumberFormat="1" applyFont="1" applyFill="1"/>
    <xf numFmtId="9" fontId="4" fillId="0" borderId="0" xfId="2" applyFont="1"/>
    <xf numFmtId="170" fontId="0" fillId="0" borderId="0" xfId="0" applyNumberFormat="1"/>
    <xf numFmtId="165" fontId="4" fillId="0" borderId="0" xfId="0" applyNumberFormat="1" applyFont="1"/>
    <xf numFmtId="9" fontId="3" fillId="0" borderId="0" xfId="2" applyFont="1"/>
    <xf numFmtId="170" fontId="0" fillId="0" borderId="5" xfId="0" applyNumberFormat="1" applyBorder="1"/>
    <xf numFmtId="170" fontId="0" fillId="0" borderId="10" xfId="0" applyNumberForma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45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15875</xdr:colOff>
      <xdr:row>0</xdr:row>
      <xdr:rowOff>128587</xdr:rowOff>
    </xdr:from>
    <xdr:to>
      <xdr:col>19</xdr:col>
      <xdr:colOff>34925</xdr:colOff>
      <xdr:row>46</xdr:row>
      <xdr:rowOff>109537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99CAE0-6BFA-1714-C940-DEF455F64D81}"/>
            </a:ext>
          </a:extLst>
        </xdr:cNvPr>
        <xdr:cNvCxnSpPr/>
      </xdr:nvCxnSpPr>
      <xdr:spPr>
        <a:xfrm>
          <a:off x="12846050" y="128587"/>
          <a:ext cx="19050" cy="8743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vestor.tjx.com/" TargetMode="External"/><Relationship Id="rId1" Type="http://schemas.openxmlformats.org/officeDocument/2006/relationships/hyperlink" Target="https://www.sec.gov/edgar/browse/?CIK=109198&amp;owner=exclu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DD2F-A8C9-4FF1-AACF-D244E2D69EDE}">
  <dimension ref="A1:J27"/>
  <sheetViews>
    <sheetView topLeftCell="A10" zoomScale="200" zoomScaleNormal="200" workbookViewId="0">
      <selection activeCell="A9" sqref="A9"/>
    </sheetView>
  </sheetViews>
  <sheetFormatPr defaultRowHeight="15" x14ac:dyDescent="0.25"/>
  <cols>
    <col min="1" max="1" width="4.140625" customWidth="1"/>
    <col min="2" max="2" width="15.7109375" customWidth="1"/>
    <col min="3" max="3" width="36.85546875" bestFit="1" customWidth="1"/>
    <col min="4" max="4" width="13.7109375" bestFit="1" customWidth="1"/>
    <col min="5" max="5" width="18.7109375" customWidth="1"/>
    <col min="11" max="11" width="8.85546875" bestFit="1" customWidth="1"/>
  </cols>
  <sheetData>
    <row r="1" spans="1:10" x14ac:dyDescent="0.25">
      <c r="A1" s="7" t="s">
        <v>0</v>
      </c>
    </row>
    <row r="2" spans="1:10" x14ac:dyDescent="0.25">
      <c r="A2" t="s">
        <v>244</v>
      </c>
    </row>
    <row r="3" spans="1:10" x14ac:dyDescent="0.25">
      <c r="H3" t="s">
        <v>2</v>
      </c>
      <c r="I3">
        <v>124.5</v>
      </c>
    </row>
    <row r="4" spans="1:10" x14ac:dyDescent="0.25">
      <c r="B4" t="s">
        <v>243</v>
      </c>
      <c r="H4" t="s">
        <v>28</v>
      </c>
      <c r="I4" s="56">
        <v>1138</v>
      </c>
      <c r="J4" s="3" t="s">
        <v>107</v>
      </c>
    </row>
    <row r="5" spans="1:10" x14ac:dyDescent="0.25">
      <c r="B5" s="4" t="s">
        <v>1</v>
      </c>
      <c r="H5" t="s">
        <v>3</v>
      </c>
      <c r="I5" s="56">
        <f>I4*I3</f>
        <v>141681</v>
      </c>
      <c r="J5" s="3"/>
    </row>
    <row r="6" spans="1:10" x14ac:dyDescent="0.25">
      <c r="H6" t="s">
        <v>4</v>
      </c>
      <c r="I6" s="56">
        <v>5335</v>
      </c>
      <c r="J6" s="3" t="s">
        <v>107</v>
      </c>
    </row>
    <row r="7" spans="1:10" x14ac:dyDescent="0.25">
      <c r="B7" s="7" t="s">
        <v>37</v>
      </c>
      <c r="H7" t="s">
        <v>5</v>
      </c>
      <c r="I7" s="56">
        <v>2866</v>
      </c>
      <c r="J7" s="3" t="s">
        <v>107</v>
      </c>
    </row>
    <row r="8" spans="1:10" x14ac:dyDescent="0.25">
      <c r="B8" s="20" t="s">
        <v>111</v>
      </c>
      <c r="C8" s="21" t="s">
        <v>112</v>
      </c>
      <c r="D8" s="21" t="s">
        <v>118</v>
      </c>
      <c r="E8" s="22" t="s">
        <v>113</v>
      </c>
      <c r="H8" t="s">
        <v>6</v>
      </c>
      <c r="I8" s="56">
        <f>I5-I6+I7</f>
        <v>139212</v>
      </c>
    </row>
    <row r="9" spans="1:10" x14ac:dyDescent="0.25">
      <c r="B9" s="12" t="s">
        <v>114</v>
      </c>
      <c r="C9" s="13" t="s">
        <v>124</v>
      </c>
      <c r="D9" s="59">
        <v>2516</v>
      </c>
      <c r="E9" s="14"/>
    </row>
    <row r="10" spans="1:10" x14ac:dyDescent="0.25">
      <c r="B10" s="15" t="s">
        <v>119</v>
      </c>
      <c r="C10" t="s">
        <v>120</v>
      </c>
      <c r="D10" s="56" t="s">
        <v>122</v>
      </c>
      <c r="E10" s="16"/>
    </row>
    <row r="11" spans="1:10" x14ac:dyDescent="0.25">
      <c r="B11" s="15" t="s">
        <v>115</v>
      </c>
      <c r="C11" t="s">
        <v>121</v>
      </c>
      <c r="D11" s="56">
        <v>919</v>
      </c>
      <c r="E11" s="16"/>
    </row>
    <row r="12" spans="1:10" x14ac:dyDescent="0.25">
      <c r="B12" s="15" t="s">
        <v>116</v>
      </c>
      <c r="C12" t="s">
        <v>123</v>
      </c>
      <c r="D12" s="56">
        <v>312</v>
      </c>
      <c r="E12" s="16"/>
    </row>
    <row r="13" spans="1:10" x14ac:dyDescent="0.25">
      <c r="B13" s="17" t="s">
        <v>117</v>
      </c>
      <c r="C13" s="18" t="s">
        <v>125</v>
      </c>
      <c r="D13" s="60">
        <v>644</v>
      </c>
      <c r="E13" s="19"/>
    </row>
    <row r="16" spans="1:10" x14ac:dyDescent="0.25">
      <c r="C16" s="50" t="s">
        <v>237</v>
      </c>
      <c r="D16" s="51" t="s">
        <v>238</v>
      </c>
    </row>
    <row r="17" spans="2:4" x14ac:dyDescent="0.25">
      <c r="C17" s="15" t="s">
        <v>138</v>
      </c>
      <c r="D17" s="16">
        <v>47</v>
      </c>
    </row>
    <row r="18" spans="2:4" x14ac:dyDescent="0.25">
      <c r="C18" s="15" t="s">
        <v>139</v>
      </c>
      <c r="D18" s="16">
        <v>18</v>
      </c>
    </row>
    <row r="19" spans="2:4" x14ac:dyDescent="0.25">
      <c r="C19" s="17" t="s">
        <v>140</v>
      </c>
      <c r="D19" s="19">
        <v>35</v>
      </c>
    </row>
    <row r="20" spans="2:4" x14ac:dyDescent="0.25">
      <c r="C20" s="15" t="s">
        <v>141</v>
      </c>
      <c r="D20" s="16">
        <v>79</v>
      </c>
    </row>
    <row r="21" spans="2:4" x14ac:dyDescent="0.25">
      <c r="C21" s="15" t="s">
        <v>142</v>
      </c>
      <c r="D21" s="16">
        <v>9</v>
      </c>
    </row>
    <row r="22" spans="2:4" x14ac:dyDescent="0.25">
      <c r="C22" s="15" t="s">
        <v>143</v>
      </c>
      <c r="D22" s="16">
        <v>12</v>
      </c>
    </row>
    <row r="23" spans="2:4" x14ac:dyDescent="0.25">
      <c r="C23" s="17" t="s">
        <v>144</v>
      </c>
      <c r="D23" s="19">
        <v>1</v>
      </c>
    </row>
    <row r="26" spans="2:4" x14ac:dyDescent="0.25">
      <c r="B26" s="5" t="s">
        <v>241</v>
      </c>
    </row>
    <row r="27" spans="2:4" x14ac:dyDescent="0.25">
      <c r="B27" t="s">
        <v>242</v>
      </c>
    </row>
  </sheetData>
  <hyperlinks>
    <hyperlink ref="B4" r:id="rId1" display="SEC" xr:uid="{E02CC647-68DB-4157-859A-51BBB30DA3F9}"/>
    <hyperlink ref="B5" r:id="rId2" xr:uid="{C07ABFFF-B63B-4C1A-A46E-1C7B7809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0287-100B-47AB-AD27-D58D0E825FBE}">
  <dimension ref="A1:AD375"/>
  <sheetViews>
    <sheetView zoomScale="200" zoomScaleNormal="2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S4" sqref="S4:S7"/>
    </sheetView>
  </sheetViews>
  <sheetFormatPr defaultRowHeight="15" x14ac:dyDescent="0.25"/>
  <cols>
    <col min="1" max="1" width="4.7109375" bestFit="1" customWidth="1"/>
    <col min="2" max="2" width="32.5703125" bestFit="1" customWidth="1"/>
    <col min="3" max="3" width="8.85546875" customWidth="1"/>
  </cols>
  <sheetData>
    <row r="1" spans="1:30" x14ac:dyDescent="0.25">
      <c r="A1" s="4" t="s">
        <v>8</v>
      </c>
    </row>
    <row r="2" spans="1:30" x14ac:dyDescent="0.25">
      <c r="C2" s="3" t="s">
        <v>7</v>
      </c>
      <c r="D2" s="3" t="s">
        <v>11</v>
      </c>
      <c r="E2" s="3" t="s">
        <v>12</v>
      </c>
      <c r="F2" s="3" t="s">
        <v>13</v>
      </c>
      <c r="G2" s="3" t="s">
        <v>104</v>
      </c>
      <c r="H2" s="3" t="s">
        <v>105</v>
      </c>
      <c r="I2" s="3" t="s">
        <v>106</v>
      </c>
      <c r="J2" s="3" t="s">
        <v>107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103</v>
      </c>
      <c r="T2" s="3" t="s">
        <v>195</v>
      </c>
      <c r="U2" s="3" t="s">
        <v>196</v>
      </c>
      <c r="V2" s="3" t="s">
        <v>198</v>
      </c>
      <c r="W2" s="3" t="s">
        <v>197</v>
      </c>
      <c r="X2" s="3" t="s">
        <v>199</v>
      </c>
      <c r="Y2" s="3" t="s">
        <v>200</v>
      </c>
      <c r="Z2" s="3" t="s">
        <v>201</v>
      </c>
      <c r="AA2" s="3" t="s">
        <v>202</v>
      </c>
      <c r="AB2" s="3" t="s">
        <v>240</v>
      </c>
    </row>
    <row r="3" spans="1:30" x14ac:dyDescent="0.25">
      <c r="A3" s="6" t="s">
        <v>10</v>
      </c>
      <c r="B3" s="5" t="s">
        <v>118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30" x14ac:dyDescent="0.25">
      <c r="B4" t="s">
        <v>126</v>
      </c>
      <c r="C4" s="8">
        <v>2574</v>
      </c>
      <c r="D4" s="8">
        <v>2578</v>
      </c>
      <c r="E4" s="8">
        <v>2603</v>
      </c>
      <c r="F4" s="8">
        <v>2516</v>
      </c>
      <c r="G4" s="8">
        <v>2620</v>
      </c>
      <c r="H4" s="8">
        <f>1326+1204+101</f>
        <v>2631</v>
      </c>
      <c r="I4" s="8">
        <f>1331+1219+109</f>
        <v>2659</v>
      </c>
      <c r="J4" s="8">
        <f>1319+1197+94+55</f>
        <v>2665</v>
      </c>
      <c r="K4" s="8"/>
      <c r="L4" s="8"/>
      <c r="M4" s="8">
        <v>2343</v>
      </c>
      <c r="N4" s="8">
        <v>2403</v>
      </c>
      <c r="O4" s="8">
        <v>2402</v>
      </c>
      <c r="P4" s="8">
        <v>2432</v>
      </c>
      <c r="Q4" s="8">
        <v>2482</v>
      </c>
      <c r="R4" s="8">
        <v>2516</v>
      </c>
      <c r="S4" s="8">
        <f>1319+1197+94+55</f>
        <v>2665</v>
      </c>
      <c r="T4" s="8">
        <f t="shared" ref="T4:V4" si="0">S4*1.03</f>
        <v>2744.9500000000003</v>
      </c>
      <c r="U4" s="8">
        <f t="shared" si="0"/>
        <v>2827.2985000000003</v>
      </c>
      <c r="V4" s="8">
        <f t="shared" si="0"/>
        <v>2912.1174550000005</v>
      </c>
      <c r="W4" s="8">
        <f>V4*1.03</f>
        <v>2999.4809786500005</v>
      </c>
      <c r="X4" s="8">
        <f>W4*1.02855</f>
        <v>3085.1161605904581</v>
      </c>
      <c r="Y4" s="8">
        <f>X4</f>
        <v>3085.1161605904581</v>
      </c>
      <c r="Z4" s="8">
        <f t="shared" ref="Z4:AB4" si="1">Y4</f>
        <v>3085.1161605904581</v>
      </c>
      <c r="AA4" s="8">
        <f t="shared" si="1"/>
        <v>3085.1161605904581</v>
      </c>
      <c r="AB4" s="8">
        <f t="shared" si="1"/>
        <v>3085.1161605904581</v>
      </c>
      <c r="AC4" s="8">
        <v>3000</v>
      </c>
      <c r="AD4" s="8"/>
    </row>
    <row r="5" spans="1:30" x14ac:dyDescent="0.25">
      <c r="B5" t="s">
        <v>127</v>
      </c>
      <c r="C5" s="8">
        <v>950</v>
      </c>
      <c r="D5" s="8">
        <v>956</v>
      </c>
      <c r="E5" s="8">
        <v>968</v>
      </c>
      <c r="F5" s="8">
        <v>974</v>
      </c>
      <c r="G5" s="8">
        <v>981</v>
      </c>
      <c r="H5" s="8">
        <f>930+62</f>
        <v>992</v>
      </c>
      <c r="I5" s="8">
        <f>941+67</f>
        <v>1008</v>
      </c>
      <c r="J5" s="8">
        <f>919+158+79</f>
        <v>1156</v>
      </c>
      <c r="K5" s="8"/>
      <c r="L5" s="8"/>
      <c r="M5" s="8">
        <v>765</v>
      </c>
      <c r="N5" s="8">
        <v>841</v>
      </c>
      <c r="O5" s="8">
        <v>855</v>
      </c>
      <c r="P5" s="8">
        <v>889</v>
      </c>
      <c r="Q5" s="8">
        <v>940</v>
      </c>
      <c r="R5" s="8">
        <v>974</v>
      </c>
      <c r="S5" s="8">
        <f>919+158+79</f>
        <v>1156</v>
      </c>
      <c r="T5" s="8">
        <f t="shared" ref="T5:Z5" si="2">S5*1.055</f>
        <v>1219.58</v>
      </c>
      <c r="U5" s="8">
        <f t="shared" si="2"/>
        <v>1286.6569</v>
      </c>
      <c r="V5" s="8">
        <f t="shared" si="2"/>
        <v>1357.4230294999998</v>
      </c>
      <c r="W5" s="8">
        <f t="shared" si="2"/>
        <v>1432.0812961224997</v>
      </c>
      <c r="X5" s="8">
        <f t="shared" si="2"/>
        <v>1510.8457674092372</v>
      </c>
      <c r="Y5" s="8">
        <f t="shared" si="2"/>
        <v>1593.9422846167452</v>
      </c>
      <c r="Z5" s="8">
        <f t="shared" si="2"/>
        <v>1681.609110270666</v>
      </c>
      <c r="AA5" s="8">
        <f>Z5*1.0035</f>
        <v>1687.4947421566135</v>
      </c>
      <c r="AB5" s="8">
        <f>AA5</f>
        <v>1687.4947421566135</v>
      </c>
      <c r="AC5" s="8">
        <v>1500</v>
      </c>
      <c r="AD5" s="8"/>
    </row>
    <row r="6" spans="1:30" x14ac:dyDescent="0.25">
      <c r="B6" t="s">
        <v>128</v>
      </c>
      <c r="C6" s="8">
        <v>556</v>
      </c>
      <c r="D6" s="8">
        <v>559</v>
      </c>
      <c r="E6" s="8">
        <v>565</v>
      </c>
      <c r="F6" s="8">
        <v>566</v>
      </c>
      <c r="G6" s="8">
        <v>567</v>
      </c>
      <c r="H6" s="8">
        <f>304+160+108</f>
        <v>572</v>
      </c>
      <c r="I6" s="8">
        <f>307+160+109</f>
        <v>576</v>
      </c>
      <c r="J6" s="8">
        <f>302+106</f>
        <v>408</v>
      </c>
      <c r="K6" s="8"/>
      <c r="L6" s="8"/>
      <c r="M6" s="8">
        <v>484</v>
      </c>
      <c r="N6" s="8">
        <v>513</v>
      </c>
      <c r="O6" s="8">
        <v>525</v>
      </c>
      <c r="P6" s="8">
        <v>546</v>
      </c>
      <c r="Q6" s="8">
        <v>554</v>
      </c>
      <c r="R6" s="8">
        <v>566</v>
      </c>
      <c r="S6" s="8">
        <f>302+106</f>
        <v>408</v>
      </c>
      <c r="T6" s="8">
        <f t="shared" ref="T6:X6" si="3">S6*1.02</f>
        <v>416.16</v>
      </c>
      <c r="U6" s="8">
        <f t="shared" si="3"/>
        <v>424.48320000000001</v>
      </c>
      <c r="V6" s="8">
        <f t="shared" si="3"/>
        <v>432.97286400000002</v>
      </c>
      <c r="W6" s="8">
        <f t="shared" si="3"/>
        <v>441.63232128000004</v>
      </c>
      <c r="X6" s="8">
        <f t="shared" si="3"/>
        <v>450.46496770560003</v>
      </c>
      <c r="Y6" s="8">
        <f>X6*1.0198</f>
        <v>459.38417406617094</v>
      </c>
      <c r="Z6" s="8">
        <f>Y6</f>
        <v>459.38417406617094</v>
      </c>
      <c r="AA6" s="8">
        <f t="shared" ref="AA6:AB6" si="4">Z6</f>
        <v>459.38417406617094</v>
      </c>
      <c r="AB6" s="8">
        <f t="shared" si="4"/>
        <v>459.38417406617094</v>
      </c>
      <c r="AC6" s="8">
        <v>650</v>
      </c>
      <c r="AD6" s="8"/>
    </row>
    <row r="7" spans="1:30" x14ac:dyDescent="0.25">
      <c r="B7" t="s">
        <v>129</v>
      </c>
      <c r="C7" s="8">
        <v>785</v>
      </c>
      <c r="D7" s="8">
        <v>791</v>
      </c>
      <c r="E7" s="8">
        <v>798</v>
      </c>
      <c r="F7" s="8">
        <v>803</v>
      </c>
      <c r="G7" s="8">
        <v>804</v>
      </c>
      <c r="H7" s="8">
        <f>645+77+84</f>
        <v>806</v>
      </c>
      <c r="I7" s="8">
        <f>653+77+84</f>
        <v>814</v>
      </c>
      <c r="J7" s="8">
        <f>644+79</f>
        <v>723</v>
      </c>
      <c r="K7" s="8"/>
      <c r="L7" s="8"/>
      <c r="M7" s="8">
        <v>679</v>
      </c>
      <c r="N7" s="8">
        <v>726</v>
      </c>
      <c r="O7" s="8">
        <v>742</v>
      </c>
      <c r="P7" s="8">
        <v>763</v>
      </c>
      <c r="Q7" s="8">
        <v>781</v>
      </c>
      <c r="R7" s="8">
        <v>803</v>
      </c>
      <c r="S7" s="8">
        <f>644+79</f>
        <v>723</v>
      </c>
      <c r="T7" s="8">
        <f t="shared" ref="T7:X7" si="5">S7*1.05</f>
        <v>759.15</v>
      </c>
      <c r="U7" s="8">
        <f t="shared" si="5"/>
        <v>797.10749999999996</v>
      </c>
      <c r="V7" s="8">
        <f t="shared" si="5"/>
        <v>836.96287499999994</v>
      </c>
      <c r="W7" s="8">
        <f t="shared" si="5"/>
        <v>878.81101875000002</v>
      </c>
      <c r="X7" s="8">
        <f t="shared" si="5"/>
        <v>922.75156968750002</v>
      </c>
      <c r="Y7" s="8">
        <f>X7*1.0454</f>
        <v>964.6444909513126</v>
      </c>
      <c r="Z7" s="8">
        <f>Y7</f>
        <v>964.6444909513126</v>
      </c>
      <c r="AA7" s="8">
        <f t="shared" ref="AA7:AB7" si="6">Z7</f>
        <v>964.6444909513126</v>
      </c>
      <c r="AB7" s="8">
        <f t="shared" si="6"/>
        <v>964.6444909513126</v>
      </c>
      <c r="AC7" s="8">
        <v>1125</v>
      </c>
      <c r="AD7" s="8"/>
    </row>
    <row r="8" spans="1:30" x14ac:dyDescent="0.25">
      <c r="B8" t="s">
        <v>134</v>
      </c>
      <c r="C8" s="10">
        <f t="shared" ref="C8:F8" si="7">C14/C4</f>
        <v>2.8616938616938619</v>
      </c>
      <c r="D8" s="10">
        <f t="shared" si="7"/>
        <v>3.0655546935608999</v>
      </c>
      <c r="E8" s="10">
        <f t="shared" si="7"/>
        <v>3.1144832885132541</v>
      </c>
      <c r="F8" s="10">
        <f t="shared" si="7"/>
        <v>3.9892686804451509</v>
      </c>
      <c r="G8" s="10">
        <f>G14/G4</f>
        <v>2.9580152671755724</v>
      </c>
      <c r="H8" s="10">
        <f t="shared" ref="H8:J8" si="8">H14/H4</f>
        <v>3.2098061573546182</v>
      </c>
      <c r="I8" s="10">
        <f t="shared" si="8"/>
        <v>3.1733734486649117</v>
      </c>
      <c r="J8" s="10">
        <f t="shared" si="8"/>
        <v>3.7414634146341466</v>
      </c>
      <c r="K8" s="10"/>
      <c r="L8" s="10"/>
      <c r="M8" s="10">
        <f t="shared" ref="M8:R11" si="9">M14/M4</f>
        <v>10.268032437046521</v>
      </c>
      <c r="N8" s="10">
        <f t="shared" si="9"/>
        <v>10.680399500624219</v>
      </c>
      <c r="O8" s="10">
        <f t="shared" si="9"/>
        <v>8.0611990008326391</v>
      </c>
      <c r="P8" s="10">
        <f t="shared" si="9"/>
        <v>12.122944078947368</v>
      </c>
      <c r="Q8" s="10">
        <f t="shared" si="9"/>
        <v>12.306607574536663</v>
      </c>
      <c r="R8" s="10">
        <f t="shared" si="9"/>
        <v>13.2802066772655</v>
      </c>
      <c r="S8" s="10">
        <f>R8*1.05</f>
        <v>13.944217011128776</v>
      </c>
      <c r="T8" s="10">
        <f t="shared" ref="T8:AB8" si="10">S8*1.05</f>
        <v>14.641427861685216</v>
      </c>
      <c r="U8" s="10">
        <f t="shared" si="10"/>
        <v>15.373499254769477</v>
      </c>
      <c r="V8" s="10">
        <f t="shared" si="10"/>
        <v>16.14217421750795</v>
      </c>
      <c r="W8" s="10">
        <f t="shared" si="10"/>
        <v>16.949282928383347</v>
      </c>
      <c r="X8" s="10">
        <f t="shared" si="10"/>
        <v>17.796747074802514</v>
      </c>
      <c r="Y8" s="10">
        <f t="shared" si="10"/>
        <v>18.686584428542641</v>
      </c>
      <c r="Z8" s="10">
        <f t="shared" si="10"/>
        <v>19.620913649969776</v>
      </c>
      <c r="AA8" s="10">
        <f t="shared" si="10"/>
        <v>20.601959332468265</v>
      </c>
      <c r="AB8" s="10">
        <f t="shared" si="10"/>
        <v>21.632057299091681</v>
      </c>
      <c r="AC8" s="10">
        <f>AB8</f>
        <v>21.632057299091681</v>
      </c>
    </row>
    <row r="9" spans="1:30" x14ac:dyDescent="0.25">
      <c r="B9" t="s">
        <v>135</v>
      </c>
      <c r="C9" s="10">
        <f t="shared" ref="C9:G9" si="11">C15/C5</f>
        <v>2.0694736842105264</v>
      </c>
      <c r="D9" s="10">
        <f t="shared" si="11"/>
        <v>2.1035564853556483</v>
      </c>
      <c r="E9" s="10">
        <f t="shared" si="11"/>
        <v>2.28099173553719</v>
      </c>
      <c r="F9" s="10">
        <f t="shared" si="11"/>
        <v>2.8798767967145791</v>
      </c>
      <c r="G9" s="10">
        <f t="shared" si="11"/>
        <v>2.1192660550458715</v>
      </c>
      <c r="H9" s="10">
        <f t="shared" ref="H9:J9" si="12">H15/H5</f>
        <v>2.117943548387097</v>
      </c>
      <c r="I9" s="10">
        <f t="shared" si="12"/>
        <v>2.3363095238095237</v>
      </c>
      <c r="J9" s="10">
        <f t="shared" si="12"/>
        <v>2.4662629757785468</v>
      </c>
      <c r="K9" s="10"/>
      <c r="L9" s="10"/>
      <c r="M9" s="10">
        <f t="shared" si="9"/>
        <v>7.5652287581699342</v>
      </c>
      <c r="N9" s="10">
        <f t="shared" si="9"/>
        <v>7.5576694411414982</v>
      </c>
      <c r="O9" s="10">
        <f t="shared" si="9"/>
        <v>7.1298245614035087</v>
      </c>
      <c r="P9" s="10">
        <f t="shared" si="9"/>
        <v>10.118110236220472</v>
      </c>
      <c r="Q9" s="10">
        <f t="shared" si="9"/>
        <v>8.7914893617021281</v>
      </c>
      <c r="R9" s="10">
        <f t="shared" si="9"/>
        <v>9.2299794661190973</v>
      </c>
      <c r="S9" s="10">
        <f>R9*1.02</f>
        <v>9.4145790554414788</v>
      </c>
      <c r="T9" s="10">
        <f t="shared" ref="T9:AB9" si="13">S9*1.02</f>
        <v>9.6028706365503087</v>
      </c>
      <c r="U9" s="10">
        <f t="shared" si="13"/>
        <v>9.7949280492813156</v>
      </c>
      <c r="V9" s="10">
        <f t="shared" si="13"/>
        <v>9.9908266102669412</v>
      </c>
      <c r="W9" s="10">
        <f t="shared" si="13"/>
        <v>10.190643142472281</v>
      </c>
      <c r="X9" s="10">
        <f t="shared" si="13"/>
        <v>10.394456005321727</v>
      </c>
      <c r="Y9" s="10">
        <f t="shared" si="13"/>
        <v>10.602345125428162</v>
      </c>
      <c r="Z9" s="10">
        <f t="shared" si="13"/>
        <v>10.814392027936725</v>
      </c>
      <c r="AA9" s="10">
        <f t="shared" si="13"/>
        <v>11.03067986849546</v>
      </c>
      <c r="AB9" s="10">
        <f t="shared" si="13"/>
        <v>11.25129346586537</v>
      </c>
      <c r="AC9" s="10">
        <f t="shared" ref="AC9:AC11" si="14">AB9</f>
        <v>11.25129346586537</v>
      </c>
    </row>
    <row r="10" spans="1:30" x14ac:dyDescent="0.25">
      <c r="B10" t="s">
        <v>136</v>
      </c>
      <c r="C10" s="10">
        <f t="shared" ref="C10:G10" si="15">C16/C6</f>
        <v>1.8669064748201438</v>
      </c>
      <c r="D10" s="10">
        <f t="shared" si="15"/>
        <v>2.1878354203935597</v>
      </c>
      <c r="E10" s="10">
        <f t="shared" si="15"/>
        <v>2.3309734513274338</v>
      </c>
      <c r="F10" s="10">
        <f t="shared" si="15"/>
        <v>2.5936395759717317</v>
      </c>
      <c r="G10" s="10">
        <f t="shared" si="15"/>
        <v>1.962962962962963</v>
      </c>
      <c r="H10" s="10">
        <f t="shared" ref="H10:J10" si="16">H16/H6</f>
        <v>2.174825174825175</v>
      </c>
      <c r="I10" s="10">
        <f t="shared" si="16"/>
        <v>2.3993055555555554</v>
      </c>
      <c r="J10" s="10">
        <f t="shared" si="16"/>
        <v>3.5539215686274508</v>
      </c>
      <c r="K10" s="10"/>
      <c r="L10" s="10"/>
      <c r="M10" s="10">
        <f t="shared" si="9"/>
        <v>7.995454545454546</v>
      </c>
      <c r="N10" s="10">
        <f t="shared" si="9"/>
        <v>7.8576998050682265</v>
      </c>
      <c r="O10" s="10">
        <f t="shared" si="9"/>
        <v>5.4019047619047615</v>
      </c>
      <c r="P10" s="10">
        <f t="shared" si="9"/>
        <v>7.9542124542124544</v>
      </c>
      <c r="Q10" s="10">
        <f t="shared" si="9"/>
        <v>8.8664259927797833</v>
      </c>
      <c r="R10" s="10">
        <f t="shared" si="9"/>
        <v>8.915194346289752</v>
      </c>
      <c r="S10" s="10">
        <f>R10*1.01</f>
        <v>9.0043462897526503</v>
      </c>
      <c r="T10" s="10">
        <f t="shared" ref="T10:AB10" si="17">S10*1.01</f>
        <v>9.0943897526501765</v>
      </c>
      <c r="U10" s="10">
        <f t="shared" si="17"/>
        <v>9.1853336501766787</v>
      </c>
      <c r="V10" s="10">
        <f t="shared" si="17"/>
        <v>9.277186986678446</v>
      </c>
      <c r="W10" s="10">
        <f t="shared" si="17"/>
        <v>9.3699588565452299</v>
      </c>
      <c r="X10" s="10">
        <f t="shared" si="17"/>
        <v>9.4636584451106831</v>
      </c>
      <c r="Y10" s="10">
        <f t="shared" si="17"/>
        <v>9.5582950295617906</v>
      </c>
      <c r="Z10" s="10">
        <f t="shared" si="17"/>
        <v>9.653877979857409</v>
      </c>
      <c r="AA10" s="10">
        <f t="shared" si="17"/>
        <v>9.7504167596559839</v>
      </c>
      <c r="AB10" s="10">
        <f t="shared" si="17"/>
        <v>9.8479209272525434</v>
      </c>
      <c r="AC10" s="10">
        <f t="shared" si="14"/>
        <v>9.8479209272525434</v>
      </c>
    </row>
    <row r="11" spans="1:30" x14ac:dyDescent="0.25">
      <c r="B11" t="s">
        <v>137</v>
      </c>
      <c r="C11" s="10">
        <f t="shared" ref="C11:G11" si="18">C17/C7</f>
        <v>1.9579617834394905</v>
      </c>
      <c r="D11" s="10">
        <f t="shared" si="18"/>
        <v>2.0493046776232617</v>
      </c>
      <c r="E11" s="10">
        <f t="shared" si="18"/>
        <v>2.0463659147869673</v>
      </c>
      <c r="F11" s="10">
        <f t="shared" si="18"/>
        <v>2.4620174346201744</v>
      </c>
      <c r="G11" s="10">
        <f t="shared" si="18"/>
        <v>1.9116915422885572</v>
      </c>
      <c r="H11" s="10">
        <f t="shared" ref="H11:J11" si="19">H17/H7</f>
        <v>2.0818858560794045</v>
      </c>
      <c r="I11" s="10">
        <f t="shared" si="19"/>
        <v>2.3194103194103195</v>
      </c>
      <c r="J11" s="10">
        <f t="shared" si="19"/>
        <v>2.8741355463347165</v>
      </c>
      <c r="K11" s="10"/>
      <c r="L11" s="10"/>
      <c r="M11" s="10">
        <f t="shared" si="9"/>
        <v>7.7434462444771723</v>
      </c>
      <c r="N11" s="10">
        <f t="shared" si="9"/>
        <v>7.8030303030303028</v>
      </c>
      <c r="O11" s="10">
        <f t="shared" si="9"/>
        <v>5.177897574123989</v>
      </c>
      <c r="P11" s="10">
        <f t="shared" si="9"/>
        <v>7.5085190039318483</v>
      </c>
      <c r="Q11" s="10">
        <f t="shared" si="9"/>
        <v>7.957746478873239</v>
      </c>
      <c r="R11" s="10">
        <f t="shared" si="9"/>
        <v>8.4283935242839352</v>
      </c>
      <c r="S11" s="10">
        <f>R11*1.02</f>
        <v>8.5969613947696146</v>
      </c>
      <c r="T11" s="10">
        <f t="shared" ref="T11:AB11" si="20">S11*1.02</f>
        <v>8.7689006226650079</v>
      </c>
      <c r="U11" s="10">
        <f t="shared" si="20"/>
        <v>8.9442786351183088</v>
      </c>
      <c r="V11" s="10">
        <f t="shared" si="20"/>
        <v>9.1231642078206754</v>
      </c>
      <c r="W11" s="10">
        <f t="shared" si="20"/>
        <v>9.3056274919770896</v>
      </c>
      <c r="X11" s="10">
        <f t="shared" si="20"/>
        <v>9.491740041816632</v>
      </c>
      <c r="Y11" s="10">
        <f t="shared" si="20"/>
        <v>9.6815748426529655</v>
      </c>
      <c r="Z11" s="10">
        <f t="shared" si="20"/>
        <v>9.8752063395060254</v>
      </c>
      <c r="AA11" s="10">
        <f t="shared" si="20"/>
        <v>10.072710466296146</v>
      </c>
      <c r="AB11" s="10">
        <f t="shared" si="20"/>
        <v>10.274164675622069</v>
      </c>
      <c r="AC11" s="10">
        <f t="shared" si="14"/>
        <v>10.274164675622069</v>
      </c>
    </row>
    <row r="12" spans="1:30" x14ac:dyDescent="0.25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30" x14ac:dyDescent="0.25">
      <c r="A13" s="6" t="s">
        <v>10</v>
      </c>
      <c r="B13" s="5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30" x14ac:dyDescent="0.25">
      <c r="A14" s="6"/>
      <c r="B14" t="s">
        <v>130</v>
      </c>
      <c r="C14" s="8">
        <v>7366</v>
      </c>
      <c r="D14" s="8">
        <v>7903</v>
      </c>
      <c r="E14" s="8">
        <v>8107</v>
      </c>
      <c r="F14" s="8">
        <f t="shared" ref="F14:F17" si="21">R14-SUM(C14:E14)</f>
        <v>10037</v>
      </c>
      <c r="G14" s="8">
        <v>7750</v>
      </c>
      <c r="H14" s="8">
        <v>8445</v>
      </c>
      <c r="I14" s="8">
        <v>8438</v>
      </c>
      <c r="J14" s="8">
        <v>9971</v>
      </c>
      <c r="K14" s="8"/>
      <c r="L14" s="8"/>
      <c r="M14" s="8">
        <v>24058</v>
      </c>
      <c r="N14" s="8">
        <v>25665</v>
      </c>
      <c r="O14" s="8">
        <v>19363</v>
      </c>
      <c r="P14" s="8">
        <v>29483</v>
      </c>
      <c r="Q14" s="8">
        <v>30545</v>
      </c>
      <c r="R14" s="8">
        <v>33413</v>
      </c>
      <c r="S14" s="8">
        <v>34604</v>
      </c>
      <c r="T14" s="8">
        <f t="shared" ref="T14:Z14" si="22">T4*T8</f>
        <v>40189.987408932837</v>
      </c>
      <c r="U14" s="8">
        <f t="shared" si="22"/>
        <v>43465.471382760865</v>
      </c>
      <c r="V14" s="8">
        <f t="shared" si="22"/>
        <v>47007.907300455874</v>
      </c>
      <c r="W14" s="8">
        <f t="shared" si="22"/>
        <v>50839.05174544303</v>
      </c>
      <c r="X14" s="8">
        <f t="shared" si="22"/>
        <v>54905.0320064142</v>
      </c>
      <c r="Y14" s="8">
        <f t="shared" si="22"/>
        <v>57650.283606734913</v>
      </c>
      <c r="Z14" s="8">
        <f t="shared" si="22"/>
        <v>60532.797787071664</v>
      </c>
      <c r="AA14" s="8">
        <f>AA4*AA8</f>
        <v>63559.437676425252</v>
      </c>
      <c r="AB14" s="8">
        <f>AB4*AB8</f>
        <v>66737.409560246524</v>
      </c>
    </row>
    <row r="15" spans="1:30" x14ac:dyDescent="0.25">
      <c r="A15" s="6"/>
      <c r="B15" t="s">
        <v>131</v>
      </c>
      <c r="C15" s="8">
        <v>1966</v>
      </c>
      <c r="D15" s="8">
        <v>2011</v>
      </c>
      <c r="E15" s="8">
        <v>2208</v>
      </c>
      <c r="F15" s="8">
        <f t="shared" si="21"/>
        <v>2805</v>
      </c>
      <c r="G15" s="8">
        <v>2079</v>
      </c>
      <c r="H15" s="8">
        <v>2101</v>
      </c>
      <c r="I15" s="8">
        <v>2355</v>
      </c>
      <c r="J15" s="8">
        <v>2851</v>
      </c>
      <c r="K15" s="8"/>
      <c r="L15" s="8"/>
      <c r="M15" s="8">
        <v>5787.4</v>
      </c>
      <c r="N15" s="8">
        <v>6356</v>
      </c>
      <c r="O15" s="8">
        <v>6096</v>
      </c>
      <c r="P15" s="8">
        <v>8995</v>
      </c>
      <c r="Q15" s="8">
        <v>8264</v>
      </c>
      <c r="R15" s="8">
        <v>8990</v>
      </c>
      <c r="S15" s="8">
        <v>9386</v>
      </c>
      <c r="T15" s="8">
        <f t="shared" ref="T15:AA15" si="23">T5*T9</f>
        <v>11711.468970924025</v>
      </c>
      <c r="U15" s="8">
        <f t="shared" si="23"/>
        <v>12602.711759611344</v>
      </c>
      <c r="V15" s="8">
        <f t="shared" si="23"/>
        <v>13561.778124517765</v>
      </c>
      <c r="W15" s="8">
        <f t="shared" si="23"/>
        <v>14593.829439793568</v>
      </c>
      <c r="X15" s="8">
        <f t="shared" si="23"/>
        <v>15704.419860161859</v>
      </c>
      <c r="Y15" s="8">
        <f t="shared" si="23"/>
        <v>16899.526211520177</v>
      </c>
      <c r="Z15" s="8">
        <f t="shared" si="23"/>
        <v>18185.58015621686</v>
      </c>
      <c r="AA15" s="8">
        <f t="shared" si="23"/>
        <v>18614.214280498894</v>
      </c>
      <c r="AB15" s="8">
        <f t="shared" ref="AB15" si="24">AB5*AB9</f>
        <v>18986.498566108872</v>
      </c>
    </row>
    <row r="16" spans="1:30" x14ac:dyDescent="0.25">
      <c r="A16" s="6"/>
      <c r="B16" t="s">
        <v>132</v>
      </c>
      <c r="C16" s="8">
        <v>1038</v>
      </c>
      <c r="D16" s="8">
        <v>1223</v>
      </c>
      <c r="E16" s="8">
        <v>1317</v>
      </c>
      <c r="F16" s="8">
        <f t="shared" si="21"/>
        <v>1468</v>
      </c>
      <c r="G16" s="8">
        <v>1113</v>
      </c>
      <c r="H16" s="8">
        <v>1244</v>
      </c>
      <c r="I16" s="8">
        <v>1382</v>
      </c>
      <c r="J16" s="8">
        <v>1450</v>
      </c>
      <c r="K16" s="8"/>
      <c r="L16" s="8"/>
      <c r="M16" s="8">
        <v>3869.8</v>
      </c>
      <c r="N16" s="8">
        <v>4031</v>
      </c>
      <c r="O16" s="8">
        <v>2836</v>
      </c>
      <c r="P16" s="8">
        <v>4343</v>
      </c>
      <c r="Q16" s="8">
        <v>4912</v>
      </c>
      <c r="R16" s="8">
        <v>5046</v>
      </c>
      <c r="S16" s="8">
        <v>5189</v>
      </c>
      <c r="T16" s="8">
        <f t="shared" ref="T16:AA16" si="25">T6*T10</f>
        <v>3784.7212394628978</v>
      </c>
      <c r="U16" s="8">
        <f t="shared" si="25"/>
        <v>3899.0198208946772</v>
      </c>
      <c r="V16" s="8">
        <f t="shared" si="25"/>
        <v>4016.7702194856965</v>
      </c>
      <c r="W16" s="8">
        <f t="shared" si="25"/>
        <v>4138.0766801141644</v>
      </c>
      <c r="X16" s="8">
        <f t="shared" si="25"/>
        <v>4263.0465958536133</v>
      </c>
      <c r="Y16" s="8">
        <f t="shared" si="25"/>
        <v>4390.9294676360305</v>
      </c>
      <c r="Z16" s="8">
        <f t="shared" si="25"/>
        <v>4434.8387623123908</v>
      </c>
      <c r="AA16" s="8">
        <f t="shared" si="25"/>
        <v>4479.1871499355148</v>
      </c>
      <c r="AB16" s="8">
        <f t="shared" ref="AB16" si="26">AB6*AB10</f>
        <v>4523.9790214348695</v>
      </c>
    </row>
    <row r="17" spans="1:28" x14ac:dyDescent="0.25">
      <c r="B17" t="s">
        <v>133</v>
      </c>
      <c r="C17" s="8">
        <v>1537</v>
      </c>
      <c r="D17" s="8">
        <v>1621</v>
      </c>
      <c r="E17" s="8">
        <v>1633</v>
      </c>
      <c r="F17" s="8">
        <f t="shared" si="21"/>
        <v>1977</v>
      </c>
      <c r="G17" s="8">
        <v>1537</v>
      </c>
      <c r="H17" s="8">
        <v>1678</v>
      </c>
      <c r="I17" s="8">
        <v>1888</v>
      </c>
      <c r="J17" s="8">
        <v>2078</v>
      </c>
      <c r="K17" s="8"/>
      <c r="L17" s="8"/>
      <c r="M17" s="8">
        <v>5257.8</v>
      </c>
      <c r="N17" s="8">
        <v>5665</v>
      </c>
      <c r="O17" s="8">
        <v>3842</v>
      </c>
      <c r="P17" s="8">
        <v>5729</v>
      </c>
      <c r="Q17" s="8">
        <v>6215</v>
      </c>
      <c r="R17" s="8">
        <v>6768</v>
      </c>
      <c r="S17" s="8">
        <v>7181</v>
      </c>
      <c r="T17" s="8">
        <f t="shared" ref="T17:AA17" si="27">T7*T11</f>
        <v>6656.9109076961404</v>
      </c>
      <c r="U17" s="8">
        <f t="shared" si="27"/>
        <v>7129.551582142567</v>
      </c>
      <c r="V17" s="8">
        <f t="shared" si="27"/>
        <v>7635.7497444746896</v>
      </c>
      <c r="W17" s="8">
        <f t="shared" si="27"/>
        <v>8177.8879763323939</v>
      </c>
      <c r="X17" s="8">
        <f t="shared" si="27"/>
        <v>8758.5180226519951</v>
      </c>
      <c r="Y17" s="8">
        <f t="shared" si="27"/>
        <v>9339.2778356980052</v>
      </c>
      <c r="Z17" s="8">
        <f t="shared" si="27"/>
        <v>9526.0633924119647</v>
      </c>
      <c r="AA17" s="8">
        <f t="shared" si="27"/>
        <v>9716.5846602602032</v>
      </c>
      <c r="AB17" s="8">
        <f t="shared" ref="AB17" si="28">AB7*AB11</f>
        <v>9910.916353465409</v>
      </c>
    </row>
    <row r="18" spans="1:28" x14ac:dyDescent="0.25">
      <c r="B18" s="7" t="s">
        <v>20</v>
      </c>
      <c r="C18" s="57">
        <v>11783</v>
      </c>
      <c r="D18" s="57">
        <v>12758</v>
      </c>
      <c r="E18" s="57">
        <v>13265</v>
      </c>
      <c r="F18" s="57">
        <f>R18-SUM(C18:E18)</f>
        <v>16411</v>
      </c>
      <c r="G18" s="57">
        <v>12479</v>
      </c>
      <c r="H18" s="57">
        <f>SUM(H14:H17)</f>
        <v>13468</v>
      </c>
      <c r="I18" s="57">
        <f>SUM(I14:I17)</f>
        <v>14063</v>
      </c>
      <c r="J18" s="57">
        <v>16350</v>
      </c>
      <c r="K18" s="57"/>
      <c r="L18" s="57"/>
      <c r="M18" s="57">
        <v>38972.934000000001</v>
      </c>
      <c r="N18" s="57">
        <f t="shared" ref="N18:T18" si="29">SUM(N14:N17)</f>
        <v>41717</v>
      </c>
      <c r="O18" s="57">
        <f t="shared" si="29"/>
        <v>32137</v>
      </c>
      <c r="P18" s="57">
        <f t="shared" si="29"/>
        <v>48550</v>
      </c>
      <c r="Q18" s="57">
        <f t="shared" si="29"/>
        <v>49936</v>
      </c>
      <c r="R18" s="57">
        <f t="shared" si="29"/>
        <v>54217</v>
      </c>
      <c r="S18" s="57">
        <f t="shared" si="29"/>
        <v>56360</v>
      </c>
      <c r="T18" s="57">
        <f t="shared" si="29"/>
        <v>62343.088527015898</v>
      </c>
      <c r="U18" s="57">
        <f t="shared" ref="U18:AA18" si="30">SUM(U14:U17)</f>
        <v>67096.754545409451</v>
      </c>
      <c r="V18" s="57">
        <f t="shared" si="30"/>
        <v>72222.205388934017</v>
      </c>
      <c r="W18" s="57">
        <f t="shared" si="30"/>
        <v>77748.845841683156</v>
      </c>
      <c r="X18" s="57">
        <f t="shared" si="30"/>
        <v>83631.016485081665</v>
      </c>
      <c r="Y18" s="57">
        <f t="shared" si="30"/>
        <v>88280.017121589131</v>
      </c>
      <c r="Z18" s="57">
        <f t="shared" si="30"/>
        <v>92679.280098012867</v>
      </c>
      <c r="AA18" s="57">
        <f t="shared" si="30"/>
        <v>96369.423767119879</v>
      </c>
      <c r="AB18" s="57">
        <f>SUM(AB14:AB17)</f>
        <v>100158.80350125568</v>
      </c>
    </row>
    <row r="19" spans="1:28" x14ac:dyDescent="0.25">
      <c r="B19" t="s">
        <v>21</v>
      </c>
      <c r="C19" s="8">
        <v>8374</v>
      </c>
      <c r="D19" s="8">
        <v>8910</v>
      </c>
      <c r="E19" s="8">
        <v>9139</v>
      </c>
      <c r="F19" s="8">
        <f>R19-SUM(C19:E19)</f>
        <v>11528</v>
      </c>
      <c r="G19" s="8">
        <v>8739</v>
      </c>
      <c r="H19" s="8">
        <v>9380</v>
      </c>
      <c r="I19" s="8">
        <v>9622</v>
      </c>
      <c r="J19" s="8">
        <v>11371</v>
      </c>
      <c r="K19" s="8"/>
      <c r="L19" s="8"/>
      <c r="M19" s="8">
        <v>27831.177</v>
      </c>
      <c r="N19" s="8">
        <v>29845.78</v>
      </c>
      <c r="O19" s="8">
        <v>24533.814999999999</v>
      </c>
      <c r="P19" s="8">
        <v>34714</v>
      </c>
      <c r="Q19" s="8">
        <v>36149</v>
      </c>
      <c r="R19" s="8">
        <v>37951</v>
      </c>
      <c r="S19" s="8">
        <v>39112</v>
      </c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B20" t="s">
        <v>22</v>
      </c>
      <c r="C20" s="8">
        <f t="shared" ref="C20:F20" si="31">C18-C19</f>
        <v>3409</v>
      </c>
      <c r="D20" s="8">
        <f t="shared" si="31"/>
        <v>3848</v>
      </c>
      <c r="E20" s="8">
        <f t="shared" si="31"/>
        <v>4126</v>
      </c>
      <c r="F20" s="8">
        <f t="shared" si="31"/>
        <v>4883</v>
      </c>
      <c r="G20" s="8">
        <f>G18-G19</f>
        <v>3740</v>
      </c>
      <c r="H20" s="8">
        <f t="shared" ref="H20:J20" si="32">H18-H19</f>
        <v>4088</v>
      </c>
      <c r="I20" s="8">
        <f t="shared" si="32"/>
        <v>4441</v>
      </c>
      <c r="J20" s="8">
        <f t="shared" si="32"/>
        <v>4979</v>
      </c>
      <c r="K20" s="8"/>
      <c r="L20" s="8"/>
      <c r="M20" s="8">
        <f t="shared" ref="M20:Q20" si="33">M18-M19</f>
        <v>11141.757000000001</v>
      </c>
      <c r="N20" s="8">
        <f t="shared" si="33"/>
        <v>11871.220000000001</v>
      </c>
      <c r="O20" s="8">
        <f t="shared" si="33"/>
        <v>7603.1850000000013</v>
      </c>
      <c r="P20" s="8">
        <f t="shared" si="33"/>
        <v>13836</v>
      </c>
      <c r="Q20" s="8">
        <f t="shared" si="33"/>
        <v>13787</v>
      </c>
      <c r="R20" s="8">
        <f>R18-R19</f>
        <v>16266</v>
      </c>
      <c r="S20" s="8">
        <f>S18-S19</f>
        <v>17248</v>
      </c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B21" t="s">
        <v>23</v>
      </c>
      <c r="C21" s="8">
        <v>2238</v>
      </c>
      <c r="D21" s="8">
        <v>2559</v>
      </c>
      <c r="E21" s="8">
        <v>2578</v>
      </c>
      <c r="F21" s="8">
        <f>R21-SUM(C21:E21)</f>
        <v>3094</v>
      </c>
      <c r="G21" s="8">
        <v>2400</v>
      </c>
      <c r="H21" s="8">
        <v>2666</v>
      </c>
      <c r="I21" s="8">
        <v>2748</v>
      </c>
      <c r="J21" s="8">
        <v>3132</v>
      </c>
      <c r="K21" s="8"/>
      <c r="L21" s="8"/>
      <c r="M21" s="8">
        <v>6923.5640000000003</v>
      </c>
      <c r="N21" s="8">
        <v>7454.9880000000003</v>
      </c>
      <c r="O21" s="8">
        <v>7020.9170000000004</v>
      </c>
      <c r="P21" s="8">
        <v>9081</v>
      </c>
      <c r="Q21" s="8">
        <v>8927</v>
      </c>
      <c r="R21" s="8">
        <v>10469</v>
      </c>
      <c r="S21" s="8">
        <v>10946</v>
      </c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5">
      <c r="B22" t="s">
        <v>24</v>
      </c>
      <c r="C22" s="8">
        <f t="shared" ref="C22:F22" si="34">C20-C21</f>
        <v>1171</v>
      </c>
      <c r="D22" s="8">
        <f t="shared" si="34"/>
        <v>1289</v>
      </c>
      <c r="E22" s="8">
        <f t="shared" si="34"/>
        <v>1548</v>
      </c>
      <c r="F22" s="8">
        <f t="shared" si="34"/>
        <v>1789</v>
      </c>
      <c r="G22" s="8">
        <f>G20-G21</f>
        <v>1340</v>
      </c>
      <c r="H22" s="8">
        <f t="shared" ref="H22:J22" si="35">H20-H21</f>
        <v>1422</v>
      </c>
      <c r="I22" s="8">
        <f t="shared" si="35"/>
        <v>1693</v>
      </c>
      <c r="J22" s="8">
        <f t="shared" si="35"/>
        <v>1847</v>
      </c>
      <c r="K22" s="8"/>
      <c r="L22" s="8"/>
      <c r="M22" s="8">
        <f t="shared" ref="M22:Q22" si="36">M20-M21</f>
        <v>4218.1930000000011</v>
      </c>
      <c r="N22" s="8">
        <f t="shared" si="36"/>
        <v>4416.2320000000009</v>
      </c>
      <c r="O22" s="8">
        <f t="shared" si="36"/>
        <v>582.26800000000094</v>
      </c>
      <c r="P22" s="8">
        <f t="shared" si="36"/>
        <v>4755</v>
      </c>
      <c r="Q22" s="8">
        <f t="shared" si="36"/>
        <v>4860</v>
      </c>
      <c r="R22" s="8">
        <f>R20-R21</f>
        <v>5797</v>
      </c>
      <c r="S22" s="8">
        <f>S20-S21</f>
        <v>6302</v>
      </c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B23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/>
      <c r="L23" s="57"/>
      <c r="M23" s="8">
        <v>-36.112000000000002</v>
      </c>
      <c r="N23" s="8">
        <v>0</v>
      </c>
      <c r="O23" s="8">
        <v>-312.233</v>
      </c>
      <c r="P23" s="8">
        <v>-242</v>
      </c>
      <c r="Q23" s="8">
        <v>-218</v>
      </c>
      <c r="R23" s="8">
        <v>0</v>
      </c>
      <c r="S23" s="8">
        <v>0</v>
      </c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5">
      <c r="B24" t="s">
        <v>245</v>
      </c>
      <c r="C24" s="8">
        <v>37</v>
      </c>
      <c r="D24" s="8">
        <v>38</v>
      </c>
      <c r="E24" s="8">
        <v>41</v>
      </c>
      <c r="F24" s="8">
        <f>R24-SUM(C24:E24)</f>
        <v>54</v>
      </c>
      <c r="G24" s="8">
        <v>50</v>
      </c>
      <c r="H24" s="8">
        <v>46</v>
      </c>
      <c r="I24" s="8">
        <v>43</v>
      </c>
      <c r="J24" s="8">
        <v>42</v>
      </c>
      <c r="K24" s="8"/>
      <c r="L24" s="8"/>
      <c r="M24" s="8">
        <v>-8.86</v>
      </c>
      <c r="N24" s="8">
        <v>-10.026</v>
      </c>
      <c r="O24" s="8">
        <v>-180.73400000000001</v>
      </c>
      <c r="P24" s="8">
        <v>-115</v>
      </c>
      <c r="Q24" s="8">
        <v>-6</v>
      </c>
      <c r="R24" s="8">
        <v>170</v>
      </c>
      <c r="S24" s="8">
        <v>181</v>
      </c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5">
      <c r="B25" t="s">
        <v>25</v>
      </c>
      <c r="C25" s="8">
        <f t="shared" ref="C25:F25" si="37">C22+C24</f>
        <v>1208</v>
      </c>
      <c r="D25" s="8">
        <f t="shared" si="37"/>
        <v>1327</v>
      </c>
      <c r="E25" s="8">
        <f t="shared" si="37"/>
        <v>1589</v>
      </c>
      <c r="F25" s="8">
        <f t="shared" si="37"/>
        <v>1843</v>
      </c>
      <c r="G25" s="8">
        <f>G22+G24</f>
        <v>1390</v>
      </c>
      <c r="H25" s="8">
        <f t="shared" ref="H25:J25" si="38">H22+H24</f>
        <v>1468</v>
      </c>
      <c r="I25" s="8">
        <f t="shared" si="38"/>
        <v>1736</v>
      </c>
      <c r="J25" s="8">
        <f t="shared" si="38"/>
        <v>1889</v>
      </c>
      <c r="K25" s="8"/>
      <c r="L25" s="8"/>
      <c r="M25" s="8">
        <f t="shared" ref="M25:Q25" si="39">M22+M23+M24</f>
        <v>4173.2210000000014</v>
      </c>
      <c r="N25" s="8">
        <f t="shared" si="39"/>
        <v>4406.206000000001</v>
      </c>
      <c r="O25" s="8">
        <f t="shared" si="39"/>
        <v>89.301000000000926</v>
      </c>
      <c r="P25" s="8">
        <f t="shared" si="39"/>
        <v>4398</v>
      </c>
      <c r="Q25" s="8">
        <f t="shared" si="39"/>
        <v>4636</v>
      </c>
      <c r="R25" s="8">
        <f>R22+R23+R24</f>
        <v>5967</v>
      </c>
      <c r="S25" s="8">
        <f>S22+S23+S24</f>
        <v>6483</v>
      </c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5">
      <c r="B26" t="s">
        <v>26</v>
      </c>
      <c r="C26" s="8">
        <v>317</v>
      </c>
      <c r="D26" s="8">
        <v>338</v>
      </c>
      <c r="E26" s="8">
        <v>398</v>
      </c>
      <c r="F26" s="8">
        <f>R26-SUM(C26:E26)</f>
        <v>440</v>
      </c>
      <c r="G26" s="8">
        <v>320</v>
      </c>
      <c r="H26" s="8">
        <v>369</v>
      </c>
      <c r="I26" s="8">
        <v>439</v>
      </c>
      <c r="J26" s="8">
        <v>491</v>
      </c>
      <c r="K26" s="8"/>
      <c r="L26" s="8"/>
      <c r="M26" s="8">
        <v>1113.413</v>
      </c>
      <c r="N26" s="8">
        <v>1133.99</v>
      </c>
      <c r="O26" s="8">
        <v>-1.2070000000000001</v>
      </c>
      <c r="P26" s="8">
        <v>1115</v>
      </c>
      <c r="Q26" s="8">
        <v>1138</v>
      </c>
      <c r="R26" s="8">
        <v>1493</v>
      </c>
      <c r="S26" s="8">
        <v>1619</v>
      </c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5">
      <c r="B27" t="s">
        <v>27</v>
      </c>
      <c r="C27" s="8">
        <f t="shared" ref="C27:F27" si="40">C25-C26</f>
        <v>891</v>
      </c>
      <c r="D27" s="8">
        <f t="shared" si="40"/>
        <v>989</v>
      </c>
      <c r="E27" s="8">
        <f t="shared" si="40"/>
        <v>1191</v>
      </c>
      <c r="F27" s="8">
        <f t="shared" si="40"/>
        <v>1403</v>
      </c>
      <c r="G27" s="8">
        <f>G25-G26</f>
        <v>1070</v>
      </c>
      <c r="H27" s="8">
        <f t="shared" ref="H27:J27" si="41">H25-H26</f>
        <v>1099</v>
      </c>
      <c r="I27" s="8">
        <f t="shared" si="41"/>
        <v>1297</v>
      </c>
      <c r="J27" s="8">
        <f t="shared" si="41"/>
        <v>1398</v>
      </c>
      <c r="K27" s="8"/>
      <c r="L27" s="8"/>
      <c r="M27" s="8">
        <f t="shared" ref="M27:Q27" si="42">M25-M26</f>
        <v>3059.8080000000014</v>
      </c>
      <c r="N27" s="8">
        <f t="shared" si="42"/>
        <v>3272.2160000000013</v>
      </c>
      <c r="O27" s="8">
        <f t="shared" si="42"/>
        <v>90.508000000000919</v>
      </c>
      <c r="P27" s="8">
        <f t="shared" si="42"/>
        <v>3283</v>
      </c>
      <c r="Q27" s="8">
        <f t="shared" si="42"/>
        <v>3498</v>
      </c>
      <c r="R27" s="8">
        <f>R25-R26</f>
        <v>4474</v>
      </c>
      <c r="S27" s="8">
        <f>S25-S26</f>
        <v>4864</v>
      </c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5">
      <c r="I28" s="8"/>
      <c r="J28" s="8"/>
      <c r="K28" s="8"/>
      <c r="L28" s="8"/>
      <c r="S28" s="10"/>
      <c r="T28" s="10"/>
      <c r="U28" s="10"/>
      <c r="V28" s="10"/>
      <c r="W28" s="10"/>
    </row>
    <row r="29" spans="1:28" x14ac:dyDescent="0.25">
      <c r="B29" t="s">
        <v>29</v>
      </c>
      <c r="C29" s="10">
        <f t="shared" ref="C29:H29" si="43">+C27/C30</f>
        <v>0.78502202643171803</v>
      </c>
      <c r="D29" s="10">
        <f t="shared" si="43"/>
        <v>0.86149825783972123</v>
      </c>
      <c r="E29" s="10">
        <f t="shared" si="43"/>
        <v>1.041083916083916</v>
      </c>
      <c r="F29" s="10">
        <f t="shared" si="43"/>
        <v>1.2242582897033158</v>
      </c>
      <c r="G29" s="10">
        <f t="shared" si="43"/>
        <v>0.94522968197879864</v>
      </c>
      <c r="H29" s="10">
        <f t="shared" si="43"/>
        <v>0.96066433566433562</v>
      </c>
      <c r="I29" s="10">
        <f>+I27/I30</f>
        <v>1.1508429458740017</v>
      </c>
      <c r="J29" s="10">
        <f t="shared" ref="J29" si="44">+J27/J30</f>
        <v>1.2284710017574691</v>
      </c>
      <c r="K29" s="10"/>
      <c r="L29" s="10"/>
      <c r="M29" s="10">
        <f t="shared" ref="M29:S29" si="45">M27/M30</f>
        <v>2.4652947702660359</v>
      </c>
      <c r="N29" s="10">
        <f t="shared" si="45"/>
        <v>2.7084226217819958</v>
      </c>
      <c r="O29" s="10">
        <f t="shared" si="45"/>
        <v>7.5427921865247577E-2</v>
      </c>
      <c r="P29" s="10">
        <f t="shared" si="45"/>
        <v>2.7358333333333333</v>
      </c>
      <c r="Q29" s="10">
        <f t="shared" si="45"/>
        <v>3</v>
      </c>
      <c r="R29" s="10">
        <f t="shared" si="45"/>
        <v>3.9040139616055844</v>
      </c>
      <c r="S29" s="10">
        <f t="shared" si="45"/>
        <v>4.2591943957968477</v>
      </c>
      <c r="T29" s="10"/>
      <c r="U29" s="10"/>
      <c r="V29" s="10"/>
      <c r="W29" s="10"/>
    </row>
    <row r="30" spans="1:28" x14ac:dyDescent="0.25">
      <c r="B30" t="s">
        <v>28</v>
      </c>
      <c r="C30" s="8">
        <v>1135</v>
      </c>
      <c r="D30" s="8">
        <v>1148</v>
      </c>
      <c r="E30" s="8">
        <v>1144</v>
      </c>
      <c r="F30" s="8">
        <v>1146</v>
      </c>
      <c r="G30" s="8">
        <v>1132</v>
      </c>
      <c r="H30" s="8">
        <v>1144</v>
      </c>
      <c r="I30" s="8">
        <v>1127</v>
      </c>
      <c r="J30" s="8">
        <v>1138</v>
      </c>
      <c r="K30" s="8"/>
      <c r="L30" s="10"/>
      <c r="M30" s="8">
        <v>1241.153</v>
      </c>
      <c r="N30" s="8">
        <v>1208.163</v>
      </c>
      <c r="O30" s="8">
        <v>1199.9269999999999</v>
      </c>
      <c r="P30" s="8">
        <v>1200</v>
      </c>
      <c r="Q30" s="8">
        <v>1166</v>
      </c>
      <c r="R30" s="8">
        <v>1146</v>
      </c>
      <c r="S30" s="10">
        <v>1142</v>
      </c>
      <c r="T30" s="10"/>
      <c r="U30" s="10"/>
      <c r="V30" s="10"/>
      <c r="W30" s="10"/>
    </row>
    <row r="31" spans="1:2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S31" s="10"/>
      <c r="T31" s="10"/>
      <c r="U31" s="10"/>
      <c r="V31" s="10"/>
      <c r="W31" s="10"/>
      <c r="X31" s="8"/>
      <c r="Y31" s="8"/>
      <c r="Z31" s="8"/>
    </row>
    <row r="32" spans="1:28" x14ac:dyDescent="0.25">
      <c r="A32" s="6" t="s">
        <v>10</v>
      </c>
      <c r="B32" s="5" t="s">
        <v>30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8"/>
      <c r="Y32" s="8"/>
      <c r="Z32" s="8"/>
    </row>
    <row r="33" spans="1:28" x14ac:dyDescent="0.25">
      <c r="A33" s="6"/>
      <c r="B33" t="s">
        <v>145</v>
      </c>
      <c r="C33" s="11">
        <f t="shared" ref="C33:J36" si="46">C14/C$18</f>
        <v>0.62513791054909618</v>
      </c>
      <c r="D33" s="11">
        <f t="shared" si="46"/>
        <v>0.61945445994670012</v>
      </c>
      <c r="E33" s="11">
        <f t="shared" si="46"/>
        <v>0.61115718055032042</v>
      </c>
      <c r="F33" s="11">
        <f t="shared" si="46"/>
        <v>0.6116019742855402</v>
      </c>
      <c r="G33" s="11">
        <f t="shared" si="46"/>
        <v>0.62104335283275902</v>
      </c>
      <c r="H33" s="11">
        <f t="shared" si="46"/>
        <v>0.62704187704187708</v>
      </c>
      <c r="I33" s="11">
        <f t="shared" si="46"/>
        <v>0.60001422171656116</v>
      </c>
      <c r="J33" s="11">
        <f t="shared" si="46"/>
        <v>0.60984709480122323</v>
      </c>
      <c r="K33" s="10"/>
      <c r="L33" s="10"/>
      <c r="M33" s="11">
        <f t="shared" ref="M33:AB33" si="47">M14/M$18</f>
        <v>0.61730020121143558</v>
      </c>
      <c r="N33" s="11">
        <f t="shared" si="47"/>
        <v>0.61521681808375484</v>
      </c>
      <c r="O33" s="11">
        <f t="shared" si="47"/>
        <v>0.60251423592743569</v>
      </c>
      <c r="P33" s="11">
        <f t="shared" si="47"/>
        <v>0.60727085478887743</v>
      </c>
      <c r="Q33" s="11">
        <f t="shared" si="47"/>
        <v>0.6116829541813521</v>
      </c>
      <c r="R33" s="11">
        <f t="shared" si="47"/>
        <v>0.61628271575336147</v>
      </c>
      <c r="S33" s="11">
        <f t="shared" si="47"/>
        <v>0.61398154719659337</v>
      </c>
      <c r="T33" s="11">
        <f t="shared" si="47"/>
        <v>0.64465826699485407</v>
      </c>
      <c r="U33" s="11">
        <f t="shared" si="47"/>
        <v>0.64780288819103005</v>
      </c>
      <c r="V33" s="11">
        <f t="shared" si="47"/>
        <v>0.65087886817228779</v>
      </c>
      <c r="W33" s="11">
        <f t="shared" si="47"/>
        <v>0.65388818567113582</v>
      </c>
      <c r="X33" s="11">
        <f t="shared" si="47"/>
        <v>0.65651518197448089</v>
      </c>
      <c r="Y33" s="11">
        <f t="shared" si="47"/>
        <v>0.65303888112450725</v>
      </c>
      <c r="Z33" s="11">
        <f t="shared" si="47"/>
        <v>0.65314272751207469</v>
      </c>
      <c r="AA33" s="11">
        <f t="shared" si="47"/>
        <v>0.65953945963212235</v>
      </c>
      <c r="AB33" s="11">
        <f t="shared" si="47"/>
        <v>0.66631596252455072</v>
      </c>
    </row>
    <row r="34" spans="1:28" x14ac:dyDescent="0.25">
      <c r="A34" s="6"/>
      <c r="B34" t="s">
        <v>146</v>
      </c>
      <c r="C34" s="11">
        <f t="shared" si="46"/>
        <v>0.16685054739879487</v>
      </c>
      <c r="D34" s="11">
        <f t="shared" si="46"/>
        <v>0.15762658723937922</v>
      </c>
      <c r="E34" s="11">
        <f t="shared" si="46"/>
        <v>0.16645307199396908</v>
      </c>
      <c r="F34" s="11">
        <f t="shared" si="46"/>
        <v>0.17092194259947596</v>
      </c>
      <c r="G34" s="11">
        <f t="shared" si="46"/>
        <v>0.16659988781152335</v>
      </c>
      <c r="H34" s="11">
        <f t="shared" si="46"/>
        <v>0.15599940599940601</v>
      </c>
      <c r="I34" s="11">
        <f t="shared" si="46"/>
        <v>0.16746071250799971</v>
      </c>
      <c r="J34" s="11">
        <f t="shared" si="46"/>
        <v>0.1743730886850153</v>
      </c>
      <c r="K34" s="10"/>
      <c r="L34" s="10"/>
      <c r="M34" s="11">
        <f t="shared" ref="M34:AB34" si="48">M15/M$18</f>
        <v>0.14849792935784611</v>
      </c>
      <c r="N34" s="11">
        <f t="shared" si="48"/>
        <v>0.15235994918138887</v>
      </c>
      <c r="O34" s="11">
        <f t="shared" si="48"/>
        <v>0.18968789868376015</v>
      </c>
      <c r="P34" s="11">
        <f t="shared" si="48"/>
        <v>0.18527291452111225</v>
      </c>
      <c r="Q34" s="11">
        <f t="shared" si="48"/>
        <v>0.16549182954181352</v>
      </c>
      <c r="R34" s="11">
        <f t="shared" si="48"/>
        <v>0.16581515022963278</v>
      </c>
      <c r="S34" s="11">
        <f t="shared" si="48"/>
        <v>0.16653655074520937</v>
      </c>
      <c r="T34" s="11">
        <f t="shared" si="48"/>
        <v>0.1878551295361145</v>
      </c>
      <c r="U34" s="11">
        <f t="shared" si="48"/>
        <v>0.18782893218899485</v>
      </c>
      <c r="V34" s="11">
        <f t="shared" si="48"/>
        <v>0.18777851010619676</v>
      </c>
      <c r="W34" s="11">
        <f t="shared" si="48"/>
        <v>0.1877047727436417</v>
      </c>
      <c r="X34" s="11">
        <f t="shared" si="48"/>
        <v>0.18778224300266944</v>
      </c>
      <c r="Y34" s="11">
        <f t="shared" si="48"/>
        <v>0.19143093491072</v>
      </c>
      <c r="Z34" s="11">
        <f t="shared" si="48"/>
        <v>0.19622055908272831</v>
      </c>
      <c r="AA34" s="11">
        <f t="shared" si="48"/>
        <v>0.19315477412712151</v>
      </c>
      <c r="AB34" s="11">
        <f t="shared" si="48"/>
        <v>0.18956395146903726</v>
      </c>
    </row>
    <row r="35" spans="1:28" x14ac:dyDescent="0.25">
      <c r="A35" s="6"/>
      <c r="B35" t="s">
        <v>147</v>
      </c>
      <c r="C35" s="11">
        <f t="shared" si="46"/>
        <v>8.8093015361113469E-2</v>
      </c>
      <c r="D35" s="11">
        <f t="shared" si="46"/>
        <v>9.586142028531118E-2</v>
      </c>
      <c r="E35" s="11">
        <f t="shared" si="46"/>
        <v>9.9283829626837544E-2</v>
      </c>
      <c r="F35" s="11">
        <f t="shared" si="46"/>
        <v>8.9452196697337158E-2</v>
      </c>
      <c r="G35" s="11">
        <f t="shared" si="46"/>
        <v>8.9189838929401397E-2</v>
      </c>
      <c r="H35" s="11">
        <f t="shared" si="46"/>
        <v>9.2367092367092368E-2</v>
      </c>
      <c r="I35" s="11">
        <f t="shared" si="46"/>
        <v>9.8272061437815542E-2</v>
      </c>
      <c r="J35" s="11">
        <f t="shared" si="46"/>
        <v>8.8685015290519878E-2</v>
      </c>
      <c r="K35" s="10"/>
      <c r="L35" s="10"/>
      <c r="M35" s="11">
        <f t="shared" ref="M35:AB35" si="49">M16/M$18</f>
        <v>9.9294551444343404E-2</v>
      </c>
      <c r="N35" s="11">
        <f t="shared" si="49"/>
        <v>9.6627274252702733E-2</v>
      </c>
      <c r="O35" s="11">
        <f t="shared" si="49"/>
        <v>8.8247191710489462E-2</v>
      </c>
      <c r="P35" s="11">
        <f t="shared" si="49"/>
        <v>8.9454170957775483E-2</v>
      </c>
      <c r="Q35" s="11">
        <f t="shared" si="49"/>
        <v>9.8365908362704257E-2</v>
      </c>
      <c r="R35" s="11">
        <f t="shared" si="49"/>
        <v>9.307043916114871E-2</v>
      </c>
      <c r="S35" s="11">
        <f t="shared" si="49"/>
        <v>9.2068843151171045E-2</v>
      </c>
      <c r="T35" s="11">
        <f t="shared" si="49"/>
        <v>6.0707952218678064E-2</v>
      </c>
      <c r="U35" s="11">
        <f t="shared" si="49"/>
        <v>5.8110408578047029E-2</v>
      </c>
      <c r="V35" s="11">
        <f t="shared" si="49"/>
        <v>5.5616831386613282E-2</v>
      </c>
      <c r="W35" s="11">
        <f t="shared" si="49"/>
        <v>5.3223641268455142E-2</v>
      </c>
      <c r="X35" s="11">
        <f t="shared" si="49"/>
        <v>5.0974468265778734E-2</v>
      </c>
      <c r="Y35" s="11">
        <f t="shared" si="49"/>
        <v>4.9738656728944113E-2</v>
      </c>
      <c r="Z35" s="11">
        <f t="shared" si="49"/>
        <v>4.7851458898065802E-2</v>
      </c>
      <c r="AA35" s="11">
        <f t="shared" si="49"/>
        <v>4.6479339346882774E-2</v>
      </c>
      <c r="AB35" s="11">
        <f t="shared" si="49"/>
        <v>4.5168061750839032E-2</v>
      </c>
    </row>
    <row r="36" spans="1:28" x14ac:dyDescent="0.25">
      <c r="A36" s="6"/>
      <c r="B36" t="s">
        <v>148</v>
      </c>
      <c r="C36" s="11">
        <f t="shared" si="46"/>
        <v>0.13044216243740983</v>
      </c>
      <c r="D36" s="11">
        <f t="shared" si="46"/>
        <v>0.12705753252860949</v>
      </c>
      <c r="E36" s="11">
        <f t="shared" si="46"/>
        <v>0.12310591782887298</v>
      </c>
      <c r="F36" s="11">
        <f t="shared" si="46"/>
        <v>0.12046797879471087</v>
      </c>
      <c r="G36" s="11">
        <f t="shared" si="46"/>
        <v>0.12316692042631622</v>
      </c>
      <c r="H36" s="11">
        <f t="shared" si="46"/>
        <v>0.12459162459162459</v>
      </c>
      <c r="I36" s="11">
        <f t="shared" si="46"/>
        <v>0.13425300433762355</v>
      </c>
      <c r="J36" s="11">
        <f t="shared" si="46"/>
        <v>0.1270948012232416</v>
      </c>
      <c r="K36" s="10"/>
      <c r="L36" s="10"/>
      <c r="M36" s="11">
        <f t="shared" ref="M36:AB36" si="50">M17/M$18</f>
        <v>0.13490901146934434</v>
      </c>
      <c r="N36" s="11">
        <f t="shared" si="50"/>
        <v>0.13579595848215356</v>
      </c>
      <c r="O36" s="11">
        <f t="shared" si="50"/>
        <v>0.11955067367831472</v>
      </c>
      <c r="P36" s="11">
        <f t="shared" si="50"/>
        <v>0.11800205973223481</v>
      </c>
      <c r="Q36" s="11">
        <f t="shared" si="50"/>
        <v>0.12445930791413008</v>
      </c>
      <c r="R36" s="11">
        <f t="shared" si="50"/>
        <v>0.12483169485585702</v>
      </c>
      <c r="S36" s="11">
        <f t="shared" si="50"/>
        <v>0.12741305890702626</v>
      </c>
      <c r="T36" s="11">
        <f t="shared" si="50"/>
        <v>0.10677865125035342</v>
      </c>
      <c r="U36" s="11">
        <f t="shared" si="50"/>
        <v>0.10625777104192811</v>
      </c>
      <c r="V36" s="11">
        <f t="shared" si="50"/>
        <v>0.10572579033490231</v>
      </c>
      <c r="W36" s="11">
        <f t="shared" si="50"/>
        <v>0.10518340031676737</v>
      </c>
      <c r="X36" s="11">
        <f t="shared" si="50"/>
        <v>0.10472810675707098</v>
      </c>
      <c r="Y36" s="11">
        <f t="shared" si="50"/>
        <v>0.10579152723582852</v>
      </c>
      <c r="Z36" s="11">
        <f t="shared" si="50"/>
        <v>0.10278525450713134</v>
      </c>
      <c r="AA36" s="11">
        <f t="shared" si="50"/>
        <v>0.10082642689387325</v>
      </c>
      <c r="AB36" s="11">
        <f t="shared" si="50"/>
        <v>9.8952024255572868E-2</v>
      </c>
    </row>
    <row r="37" spans="1:28" x14ac:dyDescent="0.25">
      <c r="A37" s="6"/>
      <c r="B37" t="s">
        <v>149</v>
      </c>
      <c r="C37" s="10"/>
      <c r="D37" s="10"/>
      <c r="E37" s="10"/>
      <c r="F37" s="10"/>
      <c r="G37" s="58">
        <f t="shared" ref="G37:J40" si="51">G4/C4-1</f>
        <v>1.7871017871017969E-2</v>
      </c>
      <c r="H37" s="58">
        <f t="shared" si="51"/>
        <v>2.0558572536850228E-2</v>
      </c>
      <c r="I37" s="58">
        <f t="shared" si="51"/>
        <v>2.1513638109873279E-2</v>
      </c>
      <c r="J37" s="58">
        <f t="shared" si="51"/>
        <v>5.9220985691573969E-2</v>
      </c>
      <c r="K37" s="10"/>
      <c r="L37" s="10"/>
      <c r="M37" s="58"/>
      <c r="N37" s="58">
        <f t="shared" ref="N37:AB37" si="52">N4/M4-1</f>
        <v>2.5608194622279035E-2</v>
      </c>
      <c r="O37" s="55">
        <f t="shared" si="52"/>
        <v>-4.1614648356225192E-4</v>
      </c>
      <c r="P37" s="55">
        <f t="shared" si="52"/>
        <v>1.2489592006661221E-2</v>
      </c>
      <c r="Q37" s="55">
        <f t="shared" si="52"/>
        <v>2.0559210526315708E-2</v>
      </c>
      <c r="R37" s="55">
        <f t="shared" si="52"/>
        <v>1.3698630136986356E-2</v>
      </c>
      <c r="S37" s="55">
        <f t="shared" si="52"/>
        <v>5.9220985691573969E-2</v>
      </c>
      <c r="T37" s="55">
        <f t="shared" si="52"/>
        <v>3.0000000000000027E-2</v>
      </c>
      <c r="U37" s="55">
        <f t="shared" si="52"/>
        <v>3.0000000000000027E-2</v>
      </c>
      <c r="V37" s="55">
        <f t="shared" si="52"/>
        <v>3.0000000000000027E-2</v>
      </c>
      <c r="W37" s="55">
        <f t="shared" si="52"/>
        <v>3.0000000000000027E-2</v>
      </c>
      <c r="X37" s="55">
        <f t="shared" si="52"/>
        <v>2.8550000000000075E-2</v>
      </c>
      <c r="Y37" s="55">
        <f t="shared" si="52"/>
        <v>0</v>
      </c>
      <c r="Z37" s="55">
        <f t="shared" si="52"/>
        <v>0</v>
      </c>
      <c r="AA37" s="55">
        <f t="shared" si="52"/>
        <v>0</v>
      </c>
      <c r="AB37" s="55">
        <f t="shared" si="52"/>
        <v>0</v>
      </c>
    </row>
    <row r="38" spans="1:28" x14ac:dyDescent="0.25">
      <c r="A38" s="6"/>
      <c r="B38" t="s">
        <v>150</v>
      </c>
      <c r="C38" s="10"/>
      <c r="D38" s="10"/>
      <c r="E38" s="10"/>
      <c r="F38" s="10"/>
      <c r="G38" s="11">
        <f t="shared" si="51"/>
        <v>3.2631578947368345E-2</v>
      </c>
      <c r="H38" s="11">
        <f t="shared" si="51"/>
        <v>3.7656903765690419E-2</v>
      </c>
      <c r="I38" s="11">
        <f t="shared" si="51"/>
        <v>4.1322314049586861E-2</v>
      </c>
      <c r="J38" s="11">
        <f t="shared" si="51"/>
        <v>0.18685831622176585</v>
      </c>
      <c r="K38" s="10"/>
      <c r="L38" s="10"/>
      <c r="M38" s="11"/>
      <c r="N38" s="11">
        <f t="shared" ref="N38:AB38" si="53">N5/M5-1</f>
        <v>9.9346405228758261E-2</v>
      </c>
      <c r="O38" s="11">
        <f t="shared" si="53"/>
        <v>1.6646848989298357E-2</v>
      </c>
      <c r="P38" s="11">
        <f t="shared" si="53"/>
        <v>3.9766081871345005E-2</v>
      </c>
      <c r="Q38" s="11">
        <f t="shared" si="53"/>
        <v>5.7367829021372385E-2</v>
      </c>
      <c r="R38" s="11">
        <f t="shared" si="53"/>
        <v>3.6170212765957555E-2</v>
      </c>
      <c r="S38" s="11">
        <f t="shared" si="53"/>
        <v>0.18685831622176585</v>
      </c>
      <c r="T38" s="11">
        <f t="shared" si="53"/>
        <v>5.4999999999999938E-2</v>
      </c>
      <c r="U38" s="11">
        <f t="shared" si="53"/>
        <v>5.4999999999999938E-2</v>
      </c>
      <c r="V38" s="11">
        <f t="shared" si="53"/>
        <v>5.4999999999999938E-2</v>
      </c>
      <c r="W38" s="11">
        <f t="shared" si="53"/>
        <v>5.4999999999999938E-2</v>
      </c>
      <c r="X38" s="11">
        <f t="shared" si="53"/>
        <v>5.4999999999999938E-2</v>
      </c>
      <c r="Y38" s="11">
        <f t="shared" si="53"/>
        <v>5.4999999999999938E-2</v>
      </c>
      <c r="Z38" s="11">
        <f t="shared" si="53"/>
        <v>5.4999999999999938E-2</v>
      </c>
      <c r="AA38" s="11">
        <f t="shared" si="53"/>
        <v>3.5000000000000586E-3</v>
      </c>
      <c r="AB38" s="11">
        <f t="shared" si="53"/>
        <v>0</v>
      </c>
    </row>
    <row r="39" spans="1:28" x14ac:dyDescent="0.25">
      <c r="A39" s="6"/>
      <c r="B39" t="s">
        <v>151</v>
      </c>
      <c r="C39" s="10"/>
      <c r="D39" s="10"/>
      <c r="E39" s="10"/>
      <c r="F39" s="10"/>
      <c r="G39" s="11">
        <f t="shared" si="51"/>
        <v>1.9784172661870603E-2</v>
      </c>
      <c r="H39" s="11">
        <f t="shared" si="51"/>
        <v>2.3255813953488413E-2</v>
      </c>
      <c r="I39" s="11">
        <f t="shared" si="51"/>
        <v>1.9469026548672552E-2</v>
      </c>
      <c r="J39" s="11">
        <f t="shared" si="51"/>
        <v>-0.27915194346289751</v>
      </c>
      <c r="K39" s="10"/>
      <c r="L39" s="10"/>
      <c r="M39" s="11"/>
      <c r="N39" s="11">
        <f t="shared" ref="N39:AB39" si="54">N6/M6-1</f>
        <v>5.9917355371900793E-2</v>
      </c>
      <c r="O39" s="11">
        <f t="shared" si="54"/>
        <v>2.3391812865497075E-2</v>
      </c>
      <c r="P39" s="11">
        <f t="shared" si="54"/>
        <v>4.0000000000000036E-2</v>
      </c>
      <c r="Q39" s="11">
        <f t="shared" si="54"/>
        <v>1.46520146520146E-2</v>
      </c>
      <c r="R39" s="11">
        <f t="shared" si="54"/>
        <v>2.1660649819494671E-2</v>
      </c>
      <c r="S39" s="11">
        <f t="shared" si="54"/>
        <v>-0.27915194346289751</v>
      </c>
      <c r="T39" s="11">
        <f t="shared" si="54"/>
        <v>2.0000000000000018E-2</v>
      </c>
      <c r="U39" s="11">
        <f t="shared" si="54"/>
        <v>2.0000000000000018E-2</v>
      </c>
      <c r="V39" s="11">
        <f t="shared" si="54"/>
        <v>2.0000000000000018E-2</v>
      </c>
      <c r="W39" s="11">
        <f t="shared" si="54"/>
        <v>2.0000000000000018E-2</v>
      </c>
      <c r="X39" s="11">
        <f t="shared" si="54"/>
        <v>2.0000000000000018E-2</v>
      </c>
      <c r="Y39" s="11">
        <f t="shared" si="54"/>
        <v>1.980000000000004E-2</v>
      </c>
      <c r="Z39" s="11">
        <f t="shared" si="54"/>
        <v>0</v>
      </c>
      <c r="AA39" s="11">
        <f t="shared" si="54"/>
        <v>0</v>
      </c>
      <c r="AB39" s="11">
        <f t="shared" si="54"/>
        <v>0</v>
      </c>
    </row>
    <row r="40" spans="1:28" x14ac:dyDescent="0.25">
      <c r="A40" s="6"/>
      <c r="B40" t="s">
        <v>152</v>
      </c>
      <c r="C40" s="10"/>
      <c r="D40" s="10"/>
      <c r="E40" s="10"/>
      <c r="F40" s="10"/>
      <c r="G40" s="11">
        <f t="shared" si="51"/>
        <v>2.420382165605095E-2</v>
      </c>
      <c r="H40" s="11">
        <f t="shared" si="51"/>
        <v>1.896333754740831E-2</v>
      </c>
      <c r="I40" s="11">
        <f t="shared" si="51"/>
        <v>2.0050125313283207E-2</v>
      </c>
      <c r="J40" s="11">
        <f t="shared" si="51"/>
        <v>-9.9626400996263964E-2</v>
      </c>
      <c r="K40" s="10"/>
      <c r="L40" s="10"/>
      <c r="M40" s="11"/>
      <c r="N40" s="11">
        <f t="shared" ref="N40:AB40" si="55">N7/M7-1</f>
        <v>6.9219440353460948E-2</v>
      </c>
      <c r="O40" s="11">
        <f t="shared" si="55"/>
        <v>2.2038567493112948E-2</v>
      </c>
      <c r="P40" s="11">
        <f t="shared" si="55"/>
        <v>2.8301886792452935E-2</v>
      </c>
      <c r="Q40" s="11">
        <f t="shared" si="55"/>
        <v>2.3591087811271283E-2</v>
      </c>
      <c r="R40" s="11">
        <f t="shared" si="55"/>
        <v>2.8169014084507005E-2</v>
      </c>
      <c r="S40" s="11">
        <f t="shared" si="55"/>
        <v>-9.9626400996263964E-2</v>
      </c>
      <c r="T40" s="11">
        <f t="shared" si="55"/>
        <v>5.0000000000000044E-2</v>
      </c>
      <c r="U40" s="11">
        <f t="shared" si="55"/>
        <v>5.0000000000000044E-2</v>
      </c>
      <c r="V40" s="11">
        <f t="shared" si="55"/>
        <v>5.0000000000000044E-2</v>
      </c>
      <c r="W40" s="11">
        <f t="shared" si="55"/>
        <v>5.0000000000000044E-2</v>
      </c>
      <c r="X40" s="11">
        <f t="shared" si="55"/>
        <v>5.0000000000000044E-2</v>
      </c>
      <c r="Y40" s="11">
        <f t="shared" si="55"/>
        <v>4.5400000000000107E-2</v>
      </c>
      <c r="Z40" s="11">
        <f t="shared" si="55"/>
        <v>0</v>
      </c>
      <c r="AA40" s="11">
        <f t="shared" si="55"/>
        <v>0</v>
      </c>
      <c r="AB40" s="11">
        <f t="shared" si="55"/>
        <v>0</v>
      </c>
    </row>
    <row r="41" spans="1:28" x14ac:dyDescent="0.25">
      <c r="B41" t="s">
        <v>31</v>
      </c>
      <c r="C41" s="10"/>
      <c r="D41" s="10"/>
      <c r="E41" s="10"/>
      <c r="F41" s="10"/>
      <c r="G41" s="11">
        <f>G18/C18-1</f>
        <v>5.9068149028260963E-2</v>
      </c>
      <c r="H41" s="11">
        <f>H18/D18-1</f>
        <v>5.5651356011914066E-2</v>
      </c>
      <c r="I41" s="11">
        <f>I18/E18-1</f>
        <v>6.0158311345646531E-2</v>
      </c>
      <c r="J41" s="11">
        <f>J18/F18-1</f>
        <v>-3.7170190725732688E-3</v>
      </c>
      <c r="K41" s="11">
        <f>K18/G18-1</f>
        <v>-1</v>
      </c>
      <c r="L41" s="10"/>
      <c r="M41" s="10"/>
      <c r="N41" s="11">
        <f t="shared" ref="N41:AB41" si="56">N18/M18-1</f>
        <v>7.0409530881098137E-2</v>
      </c>
      <c r="O41" s="11">
        <f t="shared" si="56"/>
        <v>-0.22964259174916701</v>
      </c>
      <c r="P41" s="11">
        <f t="shared" si="56"/>
        <v>0.51071973115100966</v>
      </c>
      <c r="Q41" s="11">
        <f t="shared" si="56"/>
        <v>2.854788877445924E-2</v>
      </c>
      <c r="R41" s="11">
        <f t="shared" si="56"/>
        <v>8.5729734059596385E-2</v>
      </c>
      <c r="S41" s="11">
        <f t="shared" si="56"/>
        <v>3.9526347824483166E-2</v>
      </c>
      <c r="T41" s="11">
        <f t="shared" si="56"/>
        <v>0.10615841957089955</v>
      </c>
      <c r="U41" s="11">
        <f t="shared" si="56"/>
        <v>7.625008851355819E-2</v>
      </c>
      <c r="V41" s="11">
        <f t="shared" si="56"/>
        <v>7.6388953210185129E-2</v>
      </c>
      <c r="W41" s="11">
        <f t="shared" si="56"/>
        <v>7.6522731796776933E-2</v>
      </c>
      <c r="X41" s="11">
        <f t="shared" si="56"/>
        <v>7.5656050964102217E-2</v>
      </c>
      <c r="Y41" s="11">
        <f t="shared" si="56"/>
        <v>5.5589431193111993E-2</v>
      </c>
      <c r="Z41" s="11">
        <f t="shared" si="56"/>
        <v>4.9833055314937091E-2</v>
      </c>
      <c r="AA41" s="11">
        <f t="shared" si="56"/>
        <v>3.9816274632307191E-2</v>
      </c>
      <c r="AB41" s="11">
        <f t="shared" si="56"/>
        <v>3.932139039549476E-2</v>
      </c>
    </row>
    <row r="42" spans="1:28" x14ac:dyDescent="0.25">
      <c r="B42" t="s">
        <v>32</v>
      </c>
      <c r="C42" s="11">
        <f t="shared" ref="C42:K42" si="57">C20/C18</f>
        <v>0.28931511499618096</v>
      </c>
      <c r="D42" s="11">
        <f t="shared" si="57"/>
        <v>0.30161467314626117</v>
      </c>
      <c r="E42" s="11">
        <f t="shared" si="57"/>
        <v>0.31104410101771579</v>
      </c>
      <c r="F42" s="11">
        <f t="shared" si="57"/>
        <v>0.29754433002254588</v>
      </c>
      <c r="G42" s="11">
        <f t="shared" si="57"/>
        <v>0.29970350188316369</v>
      </c>
      <c r="H42" s="11">
        <f t="shared" si="57"/>
        <v>0.30353430353430355</v>
      </c>
      <c r="I42" s="10">
        <f t="shared" si="57"/>
        <v>0.31579321624120033</v>
      </c>
      <c r="J42" s="10">
        <f t="shared" si="57"/>
        <v>0.30452599388379203</v>
      </c>
      <c r="K42" s="10" t="e">
        <f t="shared" si="57"/>
        <v>#DIV/0!</v>
      </c>
      <c r="L42" s="10"/>
      <c r="M42" s="11">
        <f t="shared" ref="M42:R42" si="58">M20/M18</f>
        <v>0.28588448075271933</v>
      </c>
      <c r="N42" s="11">
        <f t="shared" si="58"/>
        <v>0.28456552484598607</v>
      </c>
      <c r="O42" s="11">
        <f t="shared" si="58"/>
        <v>0.23658664467747459</v>
      </c>
      <c r="P42" s="11">
        <f t="shared" si="58"/>
        <v>0.28498455200823891</v>
      </c>
      <c r="Q42" s="11">
        <f t="shared" si="58"/>
        <v>0.27609339955142581</v>
      </c>
      <c r="R42" s="11">
        <f t="shared" si="58"/>
        <v>0.30001659995942231</v>
      </c>
      <c r="S42" s="10"/>
      <c r="T42" s="10"/>
      <c r="U42" s="10"/>
      <c r="V42" s="10"/>
      <c r="W42" s="10"/>
      <c r="X42" s="8"/>
      <c r="Y42" s="8"/>
      <c r="Z42" s="8"/>
    </row>
    <row r="43" spans="1:28" x14ac:dyDescent="0.25">
      <c r="B43" t="s">
        <v>33</v>
      </c>
      <c r="C43" s="11">
        <f t="shared" ref="C43:K43" si="59">C22/C18</f>
        <v>9.9380463379444964E-2</v>
      </c>
      <c r="D43" s="11">
        <f t="shared" si="59"/>
        <v>0.1010346449286722</v>
      </c>
      <c r="E43" s="11">
        <f t="shared" si="59"/>
        <v>0.11669807764794572</v>
      </c>
      <c r="F43" s="11">
        <f t="shared" si="59"/>
        <v>0.10901224788251783</v>
      </c>
      <c r="G43" s="11">
        <f t="shared" si="59"/>
        <v>0.10738039907043834</v>
      </c>
      <c r="H43" s="11">
        <f t="shared" si="59"/>
        <v>0.10558360558360558</v>
      </c>
      <c r="I43" s="11">
        <f t="shared" si="59"/>
        <v>0.12038683069046434</v>
      </c>
      <c r="J43" s="11">
        <f t="shared" si="59"/>
        <v>0.11296636085626911</v>
      </c>
      <c r="K43" s="11" t="e">
        <f t="shared" si="59"/>
        <v>#DIV/0!</v>
      </c>
      <c r="L43" s="10"/>
      <c r="M43" s="11">
        <f t="shared" ref="M43:R43" si="60">M22/M18</f>
        <v>0.10823390920478301</v>
      </c>
      <c r="N43" s="11">
        <f t="shared" si="60"/>
        <v>0.10586168708200495</v>
      </c>
      <c r="O43" s="11">
        <f t="shared" si="60"/>
        <v>1.8118306002427139E-2</v>
      </c>
      <c r="P43" s="11">
        <f t="shared" si="60"/>
        <v>9.794026776519052E-2</v>
      </c>
      <c r="Q43" s="11">
        <f t="shared" si="60"/>
        <v>9.7324575456584433E-2</v>
      </c>
      <c r="R43" s="11">
        <f t="shared" si="60"/>
        <v>0.10692218307910803</v>
      </c>
      <c r="S43" s="10"/>
      <c r="T43" s="10"/>
      <c r="U43" s="10"/>
      <c r="V43" s="10"/>
      <c r="W43" s="10"/>
      <c r="X43" s="8"/>
      <c r="Y43" s="8"/>
      <c r="Z43" s="8"/>
    </row>
    <row r="44" spans="1:28" x14ac:dyDescent="0.25">
      <c r="B44" t="s">
        <v>34</v>
      </c>
      <c r="C44" s="11">
        <f t="shared" ref="C44:K44" si="61">C27/C18</f>
        <v>7.5617414919799716E-2</v>
      </c>
      <c r="D44" s="11">
        <f t="shared" si="61"/>
        <v>7.7519987458849346E-2</v>
      </c>
      <c r="E44" s="11">
        <f t="shared" si="61"/>
        <v>8.9785148888051267E-2</v>
      </c>
      <c r="F44" s="11">
        <f t="shared" si="61"/>
        <v>8.5491438669185307E-2</v>
      </c>
      <c r="G44" s="11">
        <f t="shared" si="61"/>
        <v>8.5744050004006728E-2</v>
      </c>
      <c r="H44" s="11">
        <f t="shared" si="61"/>
        <v>8.1600831600831605E-2</v>
      </c>
      <c r="I44" s="10">
        <f t="shared" si="61"/>
        <v>9.2227831899310247E-2</v>
      </c>
      <c r="J44" s="10">
        <f t="shared" si="61"/>
        <v>8.5504587155963305E-2</v>
      </c>
      <c r="K44" s="10" t="e">
        <f t="shared" si="61"/>
        <v>#DIV/0!</v>
      </c>
      <c r="L44" s="10"/>
      <c r="M44" s="11">
        <f t="shared" ref="M44:R44" si="62">M27/M18</f>
        <v>7.8511102089465504E-2</v>
      </c>
      <c r="N44" s="11">
        <f t="shared" si="62"/>
        <v>7.8438430376105692E-2</v>
      </c>
      <c r="O44" s="11">
        <f t="shared" si="62"/>
        <v>2.8163176401033363E-3</v>
      </c>
      <c r="P44" s="11">
        <f t="shared" si="62"/>
        <v>6.7621009268795051E-2</v>
      </c>
      <c r="Q44" s="11">
        <f t="shared" si="62"/>
        <v>7.0049663569368786E-2</v>
      </c>
      <c r="R44" s="11">
        <f t="shared" si="62"/>
        <v>8.2520242728295556E-2</v>
      </c>
      <c r="S44" s="10"/>
      <c r="T44" s="10"/>
      <c r="U44" s="10"/>
      <c r="V44" s="10"/>
      <c r="W44" s="10"/>
      <c r="X44" s="8"/>
      <c r="Y44" s="8"/>
      <c r="Z44" s="8"/>
    </row>
    <row r="45" spans="1:28" x14ac:dyDescent="0.25">
      <c r="B45" t="s">
        <v>35</v>
      </c>
      <c r="C45" s="11">
        <f t="shared" ref="C45:K45" si="63">C26/C25</f>
        <v>0.26241721854304634</v>
      </c>
      <c r="D45" s="11">
        <f t="shared" si="63"/>
        <v>0.25470987189148453</v>
      </c>
      <c r="E45" s="11">
        <f t="shared" si="63"/>
        <v>0.25047199496538702</v>
      </c>
      <c r="F45" s="11">
        <f t="shared" si="63"/>
        <v>0.23874118285404233</v>
      </c>
      <c r="G45" s="11">
        <f t="shared" si="63"/>
        <v>0.23021582733812951</v>
      </c>
      <c r="H45" s="11">
        <f t="shared" si="63"/>
        <v>0.25136239782016351</v>
      </c>
      <c r="I45" s="10">
        <f t="shared" si="63"/>
        <v>0.25288018433179721</v>
      </c>
      <c r="J45" s="10">
        <f t="shared" si="63"/>
        <v>0.25992588671254629</v>
      </c>
      <c r="K45" s="10" t="e">
        <f t="shared" si="63"/>
        <v>#DIV/0!</v>
      </c>
      <c r="L45" s="10"/>
      <c r="M45" s="11">
        <f t="shared" ref="M45:R45" si="64">M26/M25</f>
        <v>0.26679943381862586</v>
      </c>
      <c r="N45" s="11">
        <f t="shared" si="64"/>
        <v>0.25736200259361447</v>
      </c>
      <c r="O45" s="11">
        <f t="shared" si="64"/>
        <v>-1.3516086046068774E-2</v>
      </c>
      <c r="P45" s="11">
        <f t="shared" si="64"/>
        <v>0.25352432924056389</v>
      </c>
      <c r="Q45" s="11">
        <f t="shared" si="64"/>
        <v>0.24547023295944781</v>
      </c>
      <c r="R45" s="11">
        <f t="shared" si="64"/>
        <v>0.25020948550360317</v>
      </c>
      <c r="S45" s="10"/>
      <c r="T45" s="10"/>
      <c r="U45" s="10"/>
      <c r="V45" s="10"/>
      <c r="W45" s="10"/>
      <c r="X45" s="8"/>
      <c r="Y45" s="8"/>
      <c r="Z45" s="8"/>
    </row>
    <row r="46" spans="1:28" x14ac:dyDescent="0.2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8"/>
      <c r="Y46" s="8"/>
      <c r="Z46" s="8"/>
    </row>
    <row r="47" spans="1:28" x14ac:dyDescent="0.2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8"/>
      <c r="Y47" s="8"/>
      <c r="Z47" s="8"/>
    </row>
    <row r="48" spans="1:28" x14ac:dyDescent="0.25">
      <c r="A48" s="6" t="s">
        <v>10</v>
      </c>
      <c r="B48" s="5" t="s">
        <v>38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8"/>
      <c r="Y48" s="8"/>
      <c r="Z48" s="8"/>
    </row>
    <row r="49" spans="2:26" x14ac:dyDescent="0.25">
      <c r="B49" t="s">
        <v>39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>
        <v>3030.2289999999998</v>
      </c>
      <c r="N49" s="10">
        <v>3216.752</v>
      </c>
      <c r="O49" s="10">
        <v>10469.57</v>
      </c>
      <c r="P49" s="10">
        <v>6226.7650000000003</v>
      </c>
      <c r="Q49" s="10">
        <v>5477</v>
      </c>
      <c r="R49" s="10">
        <v>5600</v>
      </c>
      <c r="S49" s="10"/>
      <c r="T49" s="10"/>
      <c r="U49" s="10"/>
      <c r="V49" s="10"/>
      <c r="W49" s="10"/>
      <c r="X49" s="8"/>
      <c r="Y49" s="8"/>
      <c r="Z49" s="8"/>
    </row>
    <row r="50" spans="2:26" x14ac:dyDescent="0.25">
      <c r="B50" t="s">
        <v>40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>
        <v>346.298</v>
      </c>
      <c r="N50" s="10">
        <v>386.26100000000002</v>
      </c>
      <c r="O50" s="10">
        <v>461.13900000000001</v>
      </c>
      <c r="P50" s="10">
        <v>517.62300000000005</v>
      </c>
      <c r="Q50" s="10">
        <v>563</v>
      </c>
      <c r="R50" s="10">
        <v>529</v>
      </c>
      <c r="S50" s="10"/>
      <c r="T50" s="10"/>
      <c r="U50" s="10"/>
      <c r="V50" s="10"/>
      <c r="W50" s="10"/>
      <c r="X50" s="8"/>
      <c r="Y50" s="8"/>
      <c r="Z50" s="8"/>
    </row>
    <row r="51" spans="2:26" x14ac:dyDescent="0.25">
      <c r="B51" t="s">
        <v>41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>
        <v>4579.0330000000004</v>
      </c>
      <c r="N51" s="10">
        <v>4872.5919999999996</v>
      </c>
      <c r="O51" s="10">
        <v>4337.3980000000001</v>
      </c>
      <c r="P51" s="10">
        <v>5961.5730000000003</v>
      </c>
      <c r="Q51" s="10">
        <v>5819</v>
      </c>
      <c r="R51" s="10">
        <v>5965</v>
      </c>
      <c r="S51" s="10"/>
      <c r="T51" s="10"/>
      <c r="U51" s="10"/>
      <c r="V51" s="10"/>
      <c r="W51" s="10"/>
      <c r="X51" s="8"/>
      <c r="Y51" s="8"/>
      <c r="Z51" s="8"/>
    </row>
    <row r="52" spans="2:26" x14ac:dyDescent="0.25">
      <c r="B52" t="s">
        <v>42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>
        <v>513.66200000000003</v>
      </c>
      <c r="N52" s="10">
        <v>368.048</v>
      </c>
      <c r="O52" s="10">
        <v>434.97699999999998</v>
      </c>
      <c r="P52" s="10">
        <v>438.09899999999999</v>
      </c>
      <c r="Q52" s="10">
        <v>478</v>
      </c>
      <c r="R52" s="10">
        <v>511</v>
      </c>
      <c r="S52" s="10"/>
      <c r="T52" s="10"/>
      <c r="U52" s="10"/>
      <c r="V52" s="10"/>
      <c r="W52" s="10"/>
    </row>
    <row r="53" spans="2:26" x14ac:dyDescent="0.25">
      <c r="B53" t="s">
        <v>43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>
        <v>0</v>
      </c>
      <c r="N53" s="10">
        <v>46.969000000000001</v>
      </c>
      <c r="O53" s="10">
        <v>36.262</v>
      </c>
      <c r="P53" s="10">
        <v>114.53700000000001</v>
      </c>
      <c r="Q53" s="10">
        <v>119</v>
      </c>
      <c r="R53" s="10">
        <v>59</v>
      </c>
      <c r="S53" s="10"/>
      <c r="T53" s="10"/>
      <c r="U53" s="10"/>
      <c r="V53" s="10"/>
      <c r="W53" s="10"/>
    </row>
    <row r="54" spans="2:26" x14ac:dyDescent="0.25">
      <c r="B54" s="7" t="s">
        <v>44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9">
        <f t="shared" ref="M54:Q54" si="65">SUM(M49:M53)</f>
        <v>8469.2219999999998</v>
      </c>
      <c r="N54" s="9">
        <f t="shared" si="65"/>
        <v>8890.6219999999994</v>
      </c>
      <c r="O54" s="9">
        <f t="shared" si="65"/>
        <v>15739.346000000001</v>
      </c>
      <c r="P54" s="9">
        <f t="shared" si="65"/>
        <v>13258.597000000002</v>
      </c>
      <c r="Q54" s="9">
        <f t="shared" si="65"/>
        <v>12456</v>
      </c>
      <c r="R54" s="9">
        <f>SUM(R49:R53)</f>
        <v>12664</v>
      </c>
      <c r="S54" s="10"/>
      <c r="T54" s="10"/>
      <c r="U54" s="10"/>
      <c r="V54" s="10"/>
      <c r="W54" s="10"/>
    </row>
    <row r="55" spans="2:26" x14ac:dyDescent="0.25">
      <c r="B55" t="s">
        <v>46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>
        <v>5255.2079999999996</v>
      </c>
      <c r="N55" s="10">
        <v>5325.0479999999998</v>
      </c>
      <c r="O55" s="10">
        <v>5036.0959999999995</v>
      </c>
      <c r="P55" s="10">
        <v>5270.8270000000002</v>
      </c>
      <c r="Q55" s="10">
        <v>5783</v>
      </c>
      <c r="R55" s="10">
        <v>6571</v>
      </c>
      <c r="S55" s="10"/>
      <c r="T55" s="10"/>
      <c r="U55" s="10"/>
      <c r="V55" s="10"/>
      <c r="W55" s="10"/>
    </row>
    <row r="56" spans="2:26" x14ac:dyDescent="0.25">
      <c r="B56" t="s">
        <v>47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>
        <v>6.4669999999999996</v>
      </c>
      <c r="N56" s="10">
        <v>12.132</v>
      </c>
      <c r="O56" s="10">
        <v>127.191</v>
      </c>
      <c r="P56" s="10">
        <v>184.971</v>
      </c>
      <c r="Q56" s="10">
        <v>158</v>
      </c>
      <c r="R56" s="10">
        <v>172</v>
      </c>
      <c r="S56" s="10"/>
      <c r="T56" s="10"/>
      <c r="U56" s="10"/>
      <c r="V56" s="10"/>
      <c r="W56" s="10"/>
    </row>
    <row r="57" spans="2:26" x14ac:dyDescent="0.25">
      <c r="B57" t="s">
        <v>48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>
        <v>0</v>
      </c>
      <c r="N57" s="10">
        <v>9060.3320000000003</v>
      </c>
      <c r="O57" s="10">
        <v>8989.9979999999996</v>
      </c>
      <c r="P57" s="10">
        <v>8853.9339999999993</v>
      </c>
      <c r="Q57" s="10">
        <v>9086</v>
      </c>
      <c r="R57" s="10">
        <v>9396</v>
      </c>
      <c r="S57" s="10"/>
      <c r="T57" s="10"/>
      <c r="U57" s="10"/>
      <c r="V57" s="10"/>
      <c r="W57" s="10"/>
    </row>
    <row r="58" spans="2:26" x14ac:dyDescent="0.25">
      <c r="B58" t="s">
        <v>49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>
        <v>97.552000000000007</v>
      </c>
      <c r="N58" s="10">
        <v>95.546000000000006</v>
      </c>
      <c r="O58" s="10">
        <v>98.998000000000005</v>
      </c>
      <c r="P58" s="10">
        <v>96.662000000000006</v>
      </c>
      <c r="Q58" s="10">
        <v>97</v>
      </c>
      <c r="R58" s="10">
        <v>95</v>
      </c>
      <c r="S58" s="10"/>
      <c r="T58" s="10"/>
      <c r="U58" s="10"/>
      <c r="V58" s="10"/>
      <c r="W58" s="10"/>
    </row>
    <row r="59" spans="2:26" x14ac:dyDescent="0.25">
      <c r="B59" t="s">
        <v>50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>
        <v>497.58</v>
      </c>
      <c r="N59" s="10">
        <v>761.32299999999998</v>
      </c>
      <c r="O59" s="10">
        <v>821.93499999999995</v>
      </c>
      <c r="P59" s="10">
        <v>796.46699999999998</v>
      </c>
      <c r="Q59" s="10">
        <v>769</v>
      </c>
      <c r="R59" s="10">
        <v>849</v>
      </c>
      <c r="S59" s="10"/>
      <c r="T59" s="10"/>
      <c r="U59" s="10"/>
      <c r="V59" s="10"/>
      <c r="W59" s="10"/>
    </row>
    <row r="60" spans="2:26" x14ac:dyDescent="0.25">
      <c r="B60" s="7" t="s">
        <v>51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9">
        <f t="shared" ref="M60:Q60" si="66">SUM(M55:M59)</f>
        <v>5856.8069999999989</v>
      </c>
      <c r="N60" s="9">
        <f t="shared" si="66"/>
        <v>15254.380999999999</v>
      </c>
      <c r="O60" s="9">
        <f t="shared" si="66"/>
        <v>15074.217999999999</v>
      </c>
      <c r="P60" s="9">
        <f t="shared" si="66"/>
        <v>15202.861000000001</v>
      </c>
      <c r="Q60" s="9">
        <f t="shared" si="66"/>
        <v>15893</v>
      </c>
      <c r="R60" s="9">
        <f>SUM(R55:R59)</f>
        <v>17083</v>
      </c>
      <c r="S60" s="10"/>
      <c r="T60" s="10"/>
      <c r="U60" s="10"/>
      <c r="V60" s="10"/>
      <c r="W60" s="10"/>
    </row>
    <row r="61" spans="2:26" x14ac:dyDescent="0.2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2:26" x14ac:dyDescent="0.25">
      <c r="B62" s="7" t="s">
        <v>45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9">
        <f t="shared" ref="M62:Q62" si="67">M54+M60</f>
        <v>14326.028999999999</v>
      </c>
      <c r="N62" s="9">
        <f t="shared" si="67"/>
        <v>24145.002999999997</v>
      </c>
      <c r="O62" s="9">
        <f t="shared" si="67"/>
        <v>30813.563999999998</v>
      </c>
      <c r="P62" s="9">
        <f t="shared" si="67"/>
        <v>28461.458000000002</v>
      </c>
      <c r="Q62" s="9">
        <f t="shared" si="67"/>
        <v>28349</v>
      </c>
      <c r="R62" s="9">
        <f>R54+R60</f>
        <v>29747</v>
      </c>
      <c r="S62" s="10"/>
      <c r="T62" s="10"/>
      <c r="U62" s="10"/>
      <c r="V62" s="10"/>
      <c r="W62" s="10"/>
    </row>
    <row r="63" spans="2:26" x14ac:dyDescent="0.2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2:26" x14ac:dyDescent="0.25">
      <c r="B64" t="s">
        <v>52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>
        <v>2644.143</v>
      </c>
      <c r="N64" s="10">
        <v>2672.5569999999998</v>
      </c>
      <c r="O64" s="10">
        <v>4823.3969999999999</v>
      </c>
      <c r="P64" s="10">
        <v>4465.4269999999997</v>
      </c>
      <c r="Q64" s="10">
        <v>3794</v>
      </c>
      <c r="R64" s="10">
        <v>3862</v>
      </c>
      <c r="S64" s="10"/>
      <c r="T64" s="10"/>
      <c r="U64" s="10"/>
      <c r="V64" s="10"/>
      <c r="W64" s="10"/>
    </row>
    <row r="65" spans="2:23" x14ac:dyDescent="0.25">
      <c r="B65" t="s">
        <v>53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>
        <v>2733.076</v>
      </c>
      <c r="N65" s="10">
        <v>3041.7739999999999</v>
      </c>
      <c r="O65" s="10">
        <v>3471.4589999999998</v>
      </c>
      <c r="P65" s="10">
        <v>4244.9970000000003</v>
      </c>
      <c r="Q65" s="10">
        <v>4346</v>
      </c>
      <c r="R65" s="10">
        <v>4870</v>
      </c>
      <c r="S65" s="10"/>
      <c r="T65" s="10"/>
      <c r="U65" s="10"/>
      <c r="V65" s="10"/>
      <c r="W65" s="10"/>
    </row>
    <row r="66" spans="2:23" x14ac:dyDescent="0.25">
      <c r="B66" t="s">
        <v>54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>
        <v>0</v>
      </c>
      <c r="N66" s="10">
        <v>1411.2159999999999</v>
      </c>
      <c r="O66" s="10">
        <v>1677.605</v>
      </c>
      <c r="P66" s="10">
        <v>1576.5609999999999</v>
      </c>
      <c r="Q66" s="10">
        <v>1610</v>
      </c>
      <c r="R66" s="10">
        <v>1620</v>
      </c>
      <c r="S66" s="10"/>
      <c r="T66" s="10"/>
      <c r="U66" s="10"/>
      <c r="V66" s="10"/>
      <c r="W66" s="10"/>
    </row>
    <row r="67" spans="2:23" x14ac:dyDescent="0.25">
      <c r="B67" t="s">
        <v>55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>
        <v>0</v>
      </c>
      <c r="N67" s="10">
        <v>0</v>
      </c>
      <c r="O67" s="10">
        <v>749.68399999999997</v>
      </c>
      <c r="P67" s="10">
        <v>0</v>
      </c>
      <c r="Q67" s="10">
        <v>500</v>
      </c>
      <c r="R67" s="10">
        <v>0</v>
      </c>
      <c r="S67" s="10"/>
      <c r="T67" s="10"/>
      <c r="U67" s="10"/>
      <c r="V67" s="10"/>
      <c r="W67" s="10"/>
    </row>
    <row r="68" spans="2:23" x14ac:dyDescent="0.25">
      <c r="B68" t="s">
        <v>56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>
        <v>154.155</v>
      </c>
      <c r="N68" s="10">
        <v>24.7</v>
      </c>
      <c r="O68" s="10">
        <v>81.522999999999996</v>
      </c>
      <c r="P68" s="10">
        <v>181.155</v>
      </c>
      <c r="Q68" s="10">
        <v>55</v>
      </c>
      <c r="R68" s="10">
        <v>99</v>
      </c>
      <c r="S68" s="10"/>
      <c r="T68" s="10"/>
      <c r="U68" s="10"/>
      <c r="V68" s="10"/>
      <c r="W68" s="10"/>
    </row>
    <row r="69" spans="2:23" x14ac:dyDescent="0.25">
      <c r="B69" s="7" t="s">
        <v>57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9">
        <f t="shared" ref="M69:Q69" si="68">SUM(M64:M68)</f>
        <v>5531.3739999999998</v>
      </c>
      <c r="N69" s="9">
        <f t="shared" si="68"/>
        <v>7150.2470000000003</v>
      </c>
      <c r="O69" s="9">
        <f t="shared" si="68"/>
        <v>10803.667999999998</v>
      </c>
      <c r="P69" s="9">
        <f t="shared" si="68"/>
        <v>10468.14</v>
      </c>
      <c r="Q69" s="9">
        <f t="shared" si="68"/>
        <v>10305</v>
      </c>
      <c r="R69" s="9">
        <f>SUM(R64:R68)</f>
        <v>10451</v>
      </c>
      <c r="S69" s="10"/>
      <c r="T69" s="10"/>
      <c r="U69" s="10"/>
      <c r="V69" s="10"/>
      <c r="W69" s="10"/>
    </row>
    <row r="70" spans="2:23" x14ac:dyDescent="0.25">
      <c r="B70" t="s">
        <v>58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>
        <v>1354.242</v>
      </c>
      <c r="N70" s="10">
        <v>851.11599999999999</v>
      </c>
      <c r="O70" s="10">
        <v>1063.902</v>
      </c>
      <c r="P70" s="10">
        <v>1015.72</v>
      </c>
      <c r="Q70" s="10">
        <v>919</v>
      </c>
      <c r="R70" s="10">
        <v>924</v>
      </c>
      <c r="S70" s="10"/>
      <c r="T70" s="10"/>
      <c r="U70" s="10"/>
      <c r="V70" s="10"/>
      <c r="W70" s="10"/>
    </row>
    <row r="71" spans="2:23" x14ac:dyDescent="0.25">
      <c r="B71" t="s">
        <v>47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>
        <v>158.191</v>
      </c>
      <c r="N71" s="10">
        <v>142.16999999999999</v>
      </c>
      <c r="O71" s="10">
        <v>37.164000000000001</v>
      </c>
      <c r="P71" s="10">
        <v>44.174999999999997</v>
      </c>
      <c r="Q71" s="10">
        <v>127</v>
      </c>
      <c r="R71" s="10">
        <v>148</v>
      </c>
      <c r="S71" s="10"/>
      <c r="T71" s="10"/>
      <c r="U71" s="10"/>
      <c r="V71" s="10"/>
      <c r="W71" s="10"/>
    </row>
    <row r="72" spans="2:23" x14ac:dyDescent="0.25">
      <c r="B72" t="s">
        <v>59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>
        <v>0</v>
      </c>
      <c r="N72" s="10">
        <v>7816.6329999999998</v>
      </c>
      <c r="O72" s="10">
        <v>7743.2160000000003</v>
      </c>
      <c r="P72" s="10">
        <v>7575.59</v>
      </c>
      <c r="Q72" s="10">
        <v>7775</v>
      </c>
      <c r="R72" s="10">
        <v>8060</v>
      </c>
      <c r="S72" s="10"/>
      <c r="T72" s="10"/>
      <c r="U72" s="10"/>
      <c r="V72" s="10"/>
      <c r="W72" s="10"/>
    </row>
    <row r="73" spans="2:23" x14ac:dyDescent="0.25">
      <c r="B73" t="s">
        <v>60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>
        <v>2233.616</v>
      </c>
      <c r="N73" s="10">
        <v>2236.625</v>
      </c>
      <c r="O73" s="10">
        <v>5332.9210000000003</v>
      </c>
      <c r="P73" s="10">
        <v>3354.8409999999999</v>
      </c>
      <c r="Q73" s="10">
        <v>2859</v>
      </c>
      <c r="R73" s="10">
        <v>2862</v>
      </c>
      <c r="S73" s="10"/>
      <c r="T73" s="10"/>
      <c r="U73" s="10"/>
      <c r="V73" s="10"/>
      <c r="W73" s="10"/>
    </row>
    <row r="74" spans="2:23" x14ac:dyDescent="0.25">
      <c r="B74" s="7" t="s">
        <v>61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9">
        <f t="shared" ref="M74:Q74" si="69">SUM(M70:M73)</f>
        <v>3746.049</v>
      </c>
      <c r="N74" s="9">
        <f t="shared" si="69"/>
        <v>11046.544</v>
      </c>
      <c r="O74" s="9">
        <f t="shared" si="69"/>
        <v>14177.203000000001</v>
      </c>
      <c r="P74" s="9">
        <f t="shared" si="69"/>
        <v>11990.326000000001</v>
      </c>
      <c r="Q74" s="9">
        <f t="shared" si="69"/>
        <v>11680</v>
      </c>
      <c r="R74" s="9">
        <f>SUM(R70:R73)</f>
        <v>11994</v>
      </c>
      <c r="S74" s="10"/>
      <c r="T74" s="10"/>
      <c r="U74" s="10"/>
      <c r="V74" s="10"/>
      <c r="W74" s="10"/>
    </row>
    <row r="75" spans="2:23" x14ac:dyDescent="0.2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2:23" x14ac:dyDescent="0.25">
      <c r="B76" s="7" t="s">
        <v>62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9">
        <f t="shared" ref="M76:Q76" si="70">M69+M74</f>
        <v>9277.4229999999989</v>
      </c>
      <c r="N76" s="9">
        <f t="shared" si="70"/>
        <v>18196.791000000001</v>
      </c>
      <c r="O76" s="9">
        <f t="shared" si="70"/>
        <v>24980.870999999999</v>
      </c>
      <c r="P76" s="9">
        <f t="shared" si="70"/>
        <v>22458.466</v>
      </c>
      <c r="Q76" s="9">
        <f t="shared" si="70"/>
        <v>21985</v>
      </c>
      <c r="R76" s="9">
        <f>R69+R74</f>
        <v>22445</v>
      </c>
      <c r="S76" s="10"/>
      <c r="T76" s="10"/>
      <c r="U76" s="10"/>
      <c r="V76" s="10"/>
      <c r="W76" s="10"/>
    </row>
    <row r="77" spans="2:23" x14ac:dyDescent="0.2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2:23" x14ac:dyDescent="0.25">
      <c r="B78" t="s">
        <v>63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/>
      <c r="T78" s="10"/>
      <c r="U78" s="10"/>
      <c r="V78" s="10"/>
      <c r="W78" s="10"/>
    </row>
    <row r="79" spans="2:23" x14ac:dyDescent="0.25">
      <c r="B79" t="s">
        <v>64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>
        <v>1217.183</v>
      </c>
      <c r="N79" s="10">
        <v>1199.0999999999999</v>
      </c>
      <c r="O79" s="10">
        <v>1204.6980000000001</v>
      </c>
      <c r="P79" s="10">
        <v>1181.1890000000001</v>
      </c>
      <c r="Q79" s="10">
        <v>1155</v>
      </c>
      <c r="R79" s="10">
        <v>1134</v>
      </c>
      <c r="S79" s="10"/>
      <c r="T79" s="10"/>
      <c r="U79" s="10"/>
      <c r="V79" s="10"/>
      <c r="W79" s="10"/>
    </row>
    <row r="80" spans="2:23" x14ac:dyDescent="0.25">
      <c r="B80" t="s">
        <v>65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>
        <v>0</v>
      </c>
      <c r="N80" s="10">
        <v>0</v>
      </c>
      <c r="O80" s="10">
        <v>260.51499999999999</v>
      </c>
      <c r="P80" s="10">
        <v>0</v>
      </c>
      <c r="Q80" s="10">
        <v>0</v>
      </c>
      <c r="R80" s="10">
        <v>0</v>
      </c>
      <c r="S80" s="10"/>
      <c r="T80" s="10"/>
      <c r="U80" s="10"/>
      <c r="V80" s="10"/>
      <c r="W80" s="10"/>
    </row>
    <row r="81" spans="1:23" x14ac:dyDescent="0.25">
      <c r="B81" t="s">
        <v>66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>
        <v>-630.32100000000003</v>
      </c>
      <c r="N81" s="10">
        <v>-673.17100000000005</v>
      </c>
      <c r="O81" s="10">
        <v>-606.07100000000003</v>
      </c>
      <c r="P81" s="10">
        <v>-687.15</v>
      </c>
      <c r="Q81" s="10">
        <v>-606</v>
      </c>
      <c r="R81" s="10">
        <v>-532</v>
      </c>
      <c r="S81" s="10"/>
      <c r="T81" s="10"/>
      <c r="U81" s="10"/>
      <c r="V81" s="10"/>
      <c r="W81" s="10"/>
    </row>
    <row r="82" spans="1:23" x14ac:dyDescent="0.25">
      <c r="B82" t="s">
        <v>67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>
        <v>4461.7439999999997</v>
      </c>
      <c r="N82" s="10">
        <v>5422.2830000000004</v>
      </c>
      <c r="O82" s="10">
        <v>4973.5420000000004</v>
      </c>
      <c r="P82" s="10">
        <v>5508.9530000000004</v>
      </c>
      <c r="Q82" s="10">
        <v>5815</v>
      </c>
      <c r="R82" s="10">
        <v>6700</v>
      </c>
      <c r="S82" s="10"/>
      <c r="T82" s="10"/>
      <c r="U82" s="10"/>
      <c r="V82" s="10"/>
      <c r="W82" s="10"/>
    </row>
    <row r="83" spans="1:23" x14ac:dyDescent="0.25">
      <c r="B83" s="7" t="s">
        <v>68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9">
        <f t="shared" ref="M83:Q83" si="71">SUM(M78:M82)</f>
        <v>5048.6059999999998</v>
      </c>
      <c r="N83" s="9">
        <f t="shared" si="71"/>
        <v>5948.2120000000004</v>
      </c>
      <c r="O83" s="9">
        <f t="shared" si="71"/>
        <v>5832.6840000000002</v>
      </c>
      <c r="P83" s="9">
        <f t="shared" si="71"/>
        <v>6002.9920000000002</v>
      </c>
      <c r="Q83" s="9">
        <f t="shared" si="71"/>
        <v>6364</v>
      </c>
      <c r="R83" s="9">
        <f>SUM(R78:R82)</f>
        <v>7302</v>
      </c>
      <c r="S83" s="10"/>
      <c r="T83" s="10"/>
      <c r="U83" s="10"/>
      <c r="V83" s="10"/>
      <c r="W83" s="10"/>
    </row>
    <row r="84" spans="1:23" x14ac:dyDescent="0.2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5">
      <c r="B85" s="7" t="s">
        <v>69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9">
        <f t="shared" ref="M85:Q85" si="72">M76+M83</f>
        <v>14326.028999999999</v>
      </c>
      <c r="N85" s="9">
        <f t="shared" si="72"/>
        <v>24145.003000000001</v>
      </c>
      <c r="O85" s="9">
        <f t="shared" si="72"/>
        <v>30813.555</v>
      </c>
      <c r="P85" s="9">
        <f t="shared" si="72"/>
        <v>28461.457999999999</v>
      </c>
      <c r="Q85" s="9">
        <f t="shared" si="72"/>
        <v>28349</v>
      </c>
      <c r="R85" s="9">
        <f>R76+R83</f>
        <v>29747</v>
      </c>
      <c r="S85" s="10"/>
      <c r="T85" s="10"/>
      <c r="U85" s="10"/>
      <c r="V85" s="10"/>
      <c r="W85" s="10"/>
    </row>
    <row r="86" spans="1:23" x14ac:dyDescent="0.2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25">
      <c r="A88" s="6" t="s">
        <v>10</v>
      </c>
      <c r="B88" s="5" t="s">
        <v>70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5">
      <c r="B89" t="s">
        <v>27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>
        <f t="shared" ref="M89:R89" si="73">M27</f>
        <v>3059.8080000000014</v>
      </c>
      <c r="N89" s="10">
        <f t="shared" si="73"/>
        <v>3272.2160000000013</v>
      </c>
      <c r="O89" s="10">
        <f t="shared" si="73"/>
        <v>90.508000000000919</v>
      </c>
      <c r="P89" s="10">
        <f t="shared" si="73"/>
        <v>3283</v>
      </c>
      <c r="Q89" s="10">
        <f t="shared" si="73"/>
        <v>3498</v>
      </c>
      <c r="R89" s="10">
        <f t="shared" si="73"/>
        <v>4474</v>
      </c>
      <c r="S89" s="10"/>
      <c r="T89" s="10"/>
      <c r="U89" s="10"/>
      <c r="V89" s="10"/>
      <c r="W89" s="10"/>
    </row>
    <row r="90" spans="1:23" x14ac:dyDescent="0.25">
      <c r="B90" t="s">
        <v>73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>
        <v>819.65499999999997</v>
      </c>
      <c r="N90" s="10">
        <v>867.303</v>
      </c>
      <c r="O90" s="10">
        <v>870.75800000000004</v>
      </c>
      <c r="P90" s="10">
        <v>868</v>
      </c>
      <c r="Q90" s="10">
        <v>887</v>
      </c>
      <c r="R90" s="10">
        <v>964</v>
      </c>
      <c r="S90" s="10"/>
      <c r="T90" s="10"/>
      <c r="U90" s="10"/>
      <c r="V90" s="10"/>
      <c r="W90" s="10"/>
    </row>
    <row r="91" spans="1:23" x14ac:dyDescent="0.25">
      <c r="B91" t="s">
        <v>74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>
        <v>0</v>
      </c>
      <c r="N91" s="10">
        <v>0</v>
      </c>
      <c r="O91" s="10">
        <v>0</v>
      </c>
      <c r="P91" s="10">
        <v>0</v>
      </c>
      <c r="Q91" s="10">
        <v>218</v>
      </c>
      <c r="R91" s="10">
        <v>0</v>
      </c>
      <c r="S91" s="10"/>
      <c r="T91" s="10"/>
      <c r="U91" s="10"/>
      <c r="V91" s="10"/>
      <c r="W91" s="10"/>
    </row>
    <row r="92" spans="1:23" x14ac:dyDescent="0.25">
      <c r="B92" t="s">
        <v>75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>
        <v>0</v>
      </c>
      <c r="N92" s="10">
        <v>0</v>
      </c>
      <c r="O92" s="10">
        <v>312.233</v>
      </c>
      <c r="P92" s="10">
        <v>242</v>
      </c>
      <c r="Q92" s="10">
        <v>0</v>
      </c>
      <c r="R92" s="10">
        <v>0</v>
      </c>
      <c r="S92" s="10"/>
      <c r="T92" s="10"/>
      <c r="U92" s="10"/>
      <c r="V92" s="10"/>
      <c r="W92" s="10"/>
    </row>
    <row r="93" spans="1:23" x14ac:dyDescent="0.25">
      <c r="B93" t="s">
        <v>76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>
        <v>17.652999999999999</v>
      </c>
      <c r="N93" s="10">
        <v>16.053999999999998</v>
      </c>
      <c r="O93" s="10">
        <v>83.793999999999997</v>
      </c>
      <c r="P93" s="10">
        <v>9</v>
      </c>
      <c r="Q93" s="10">
        <v>23</v>
      </c>
      <c r="R93" s="10">
        <v>61</v>
      </c>
      <c r="S93" s="10"/>
      <c r="T93" s="10"/>
      <c r="U93" s="10"/>
      <c r="V93" s="10"/>
      <c r="W93" s="10"/>
    </row>
    <row r="94" spans="1:23" x14ac:dyDescent="0.25">
      <c r="B94" t="s">
        <v>77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>
        <v>-88.593999999999994</v>
      </c>
      <c r="N94" s="10">
        <v>-6.2329999999999997</v>
      </c>
      <c r="O94" s="10">
        <v>-230.69</v>
      </c>
      <c r="P94" s="10">
        <v>-44</v>
      </c>
      <c r="Q94" s="10">
        <v>64</v>
      </c>
      <c r="R94" s="10">
        <v>-7</v>
      </c>
      <c r="S94" s="10"/>
      <c r="T94" s="10"/>
      <c r="U94" s="10"/>
      <c r="V94" s="10"/>
      <c r="W94" s="10"/>
    </row>
    <row r="95" spans="1:23" x14ac:dyDescent="0.25">
      <c r="B95" t="s">
        <v>78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>
        <v>103.557</v>
      </c>
      <c r="N95" s="10">
        <v>124.95699999999999</v>
      </c>
      <c r="O95" s="10">
        <v>58.518999999999998</v>
      </c>
      <c r="P95" s="10">
        <v>189</v>
      </c>
      <c r="Q95" s="10">
        <v>122</v>
      </c>
      <c r="R95" s="10">
        <v>160</v>
      </c>
      <c r="S95" s="10"/>
      <c r="T95" s="10"/>
      <c r="U95" s="10"/>
      <c r="V95" s="10"/>
      <c r="W95" s="10"/>
    </row>
    <row r="96" spans="1:23" x14ac:dyDescent="0.25">
      <c r="B96" t="s">
        <v>102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>
        <v>36.122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/>
      <c r="T96" s="10"/>
      <c r="U96" s="10"/>
      <c r="V96" s="10"/>
      <c r="W96" s="10"/>
    </row>
    <row r="97" spans="2:23" x14ac:dyDescent="0.25">
      <c r="B97" t="s">
        <v>71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2:23" x14ac:dyDescent="0.25">
      <c r="B98" t="s">
        <v>79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>
        <v>-23.532</v>
      </c>
      <c r="N98" s="10">
        <v>-42.997999999999998</v>
      </c>
      <c r="O98" s="10">
        <v>-71.090999999999994</v>
      </c>
      <c r="P98" s="10">
        <v>-61</v>
      </c>
      <c r="Q98" s="10">
        <v>-51</v>
      </c>
      <c r="R98" s="10">
        <v>37</v>
      </c>
      <c r="S98" s="10"/>
      <c r="T98" s="10"/>
      <c r="U98" s="10"/>
      <c r="V98" s="10"/>
      <c r="W98" s="10"/>
    </row>
    <row r="99" spans="2:23" x14ac:dyDescent="0.25">
      <c r="B99" t="s">
        <v>80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>
        <v>-465.42899999999997</v>
      </c>
      <c r="N99" s="10">
        <v>-296.541</v>
      </c>
      <c r="O99" s="10">
        <v>588.75599999999997</v>
      </c>
      <c r="P99" s="10">
        <v>-1658</v>
      </c>
      <c r="Q99" s="10">
        <v>58</v>
      </c>
      <c r="R99" s="10">
        <v>-145</v>
      </c>
      <c r="S99" s="10"/>
      <c r="T99" s="10"/>
      <c r="U99" s="10"/>
      <c r="V99" s="10"/>
      <c r="W99" s="10"/>
    </row>
    <row r="100" spans="2:23" x14ac:dyDescent="0.25">
      <c r="B100" t="s">
        <v>81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>
        <v>15.452</v>
      </c>
      <c r="N100" s="10">
        <v>-34.177</v>
      </c>
      <c r="O100" s="10">
        <v>10.707000000000001</v>
      </c>
      <c r="P100" s="10">
        <v>-78</v>
      </c>
      <c r="Q100" s="10">
        <v>-5</v>
      </c>
      <c r="R100" s="10">
        <v>60</v>
      </c>
      <c r="S100" s="10"/>
      <c r="T100" s="10"/>
      <c r="U100" s="10"/>
      <c r="V100" s="10"/>
      <c r="W100" s="10"/>
    </row>
    <row r="101" spans="2:23" x14ac:dyDescent="0.25">
      <c r="B101" t="s">
        <v>82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>
        <v>220.89</v>
      </c>
      <c r="N101" s="10">
        <v>-17.084</v>
      </c>
      <c r="O101" s="10">
        <v>-57.45</v>
      </c>
      <c r="P101" s="10">
        <v>33</v>
      </c>
      <c r="Q101" s="10">
        <v>-73</v>
      </c>
      <c r="R101" s="10">
        <v>-40</v>
      </c>
      <c r="S101" s="10"/>
      <c r="T101" s="10"/>
      <c r="U101" s="10"/>
      <c r="V101" s="10"/>
      <c r="W101" s="10"/>
    </row>
    <row r="102" spans="2:23" x14ac:dyDescent="0.25">
      <c r="B102" t="s">
        <v>83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>
        <v>198.21199999999999</v>
      </c>
      <c r="N102" s="10">
        <v>29.338000000000001</v>
      </c>
      <c r="O102" s="10">
        <v>2111.1889999999999</v>
      </c>
      <c r="P102" s="10">
        <v>-338</v>
      </c>
      <c r="Q102" s="10">
        <v>-600</v>
      </c>
      <c r="R102" s="10">
        <v>64</v>
      </c>
      <c r="S102" s="10"/>
      <c r="T102" s="10"/>
      <c r="U102" s="10"/>
      <c r="V102" s="10"/>
      <c r="W102" s="10"/>
    </row>
    <row r="103" spans="2:23" x14ac:dyDescent="0.25">
      <c r="B103" t="s">
        <v>84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>
        <v>169.41800000000001</v>
      </c>
      <c r="N103" s="10">
        <v>345.745</v>
      </c>
      <c r="O103" s="10">
        <v>584.50199999999995</v>
      </c>
      <c r="P103" s="10">
        <v>659</v>
      </c>
      <c r="Q103" s="10">
        <v>-23</v>
      </c>
      <c r="R103" s="10">
        <v>443</v>
      </c>
      <c r="S103" s="10"/>
      <c r="T103" s="10"/>
      <c r="U103" s="10"/>
      <c r="V103" s="10"/>
      <c r="W103" s="10"/>
    </row>
    <row r="104" spans="2:23" x14ac:dyDescent="0.25">
      <c r="B104" t="s">
        <v>85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>
        <v>40.965000000000003</v>
      </c>
      <c r="N104" s="10">
        <v>-128.34200000000001</v>
      </c>
      <c r="O104" s="10">
        <v>52.790999999999997</v>
      </c>
      <c r="P104" s="10">
        <v>100</v>
      </c>
      <c r="Q104" s="10">
        <v>-126</v>
      </c>
      <c r="R104" s="10">
        <v>46</v>
      </c>
      <c r="S104" s="10"/>
      <c r="T104" s="10"/>
      <c r="U104" s="10"/>
      <c r="V104" s="10"/>
      <c r="W104" s="10"/>
    </row>
    <row r="105" spans="2:23" x14ac:dyDescent="0.25">
      <c r="B105" t="s">
        <v>86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>
        <v>0</v>
      </c>
      <c r="N105" s="10">
        <v>29.617000000000001</v>
      </c>
      <c r="O105" s="10">
        <v>200.24299999999999</v>
      </c>
      <c r="P105" s="10">
        <v>-129</v>
      </c>
      <c r="Q105" s="10">
        <v>-1</v>
      </c>
      <c r="R105" s="10">
        <v>-18</v>
      </c>
      <c r="S105" s="10"/>
      <c r="T105" s="10"/>
      <c r="U105" s="10"/>
      <c r="V105" s="10"/>
      <c r="W105" s="10"/>
    </row>
    <row r="106" spans="2:23" x14ac:dyDescent="0.25">
      <c r="B106" t="s">
        <v>87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>
        <v>-15.708</v>
      </c>
      <c r="N106" s="10">
        <v>-93.292000000000002</v>
      </c>
      <c r="O106" s="10">
        <v>-42.841999999999999</v>
      </c>
      <c r="P106" s="10">
        <v>-18</v>
      </c>
      <c r="Q106" s="10">
        <v>93</v>
      </c>
      <c r="R106" s="10">
        <v>-42</v>
      </c>
      <c r="S106" s="10"/>
      <c r="T106" s="10"/>
      <c r="U106" s="10"/>
      <c r="V106" s="10"/>
      <c r="W106" s="10"/>
    </row>
    <row r="107" spans="2:23" x14ac:dyDescent="0.25">
      <c r="B107" t="s">
        <v>72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>
        <f t="shared" ref="M107:O107" si="74">SUM(M98:M106)</f>
        <v>140.26800000000003</v>
      </c>
      <c r="N107" s="10">
        <f t="shared" si="74"/>
        <v>-207.73399999999998</v>
      </c>
      <c r="O107" s="10">
        <f t="shared" si="74"/>
        <v>3376.8049999999998</v>
      </c>
      <c r="P107" s="10">
        <f>SUM(P98:P106)</f>
        <v>-1490</v>
      </c>
      <c r="Q107" s="10">
        <f t="shared" ref="Q107:R107" si="75">SUM(Q98:Q106)</f>
        <v>-728</v>
      </c>
      <c r="R107" s="10">
        <f t="shared" si="75"/>
        <v>405</v>
      </c>
      <c r="S107" s="10"/>
      <c r="T107" s="10"/>
      <c r="U107" s="10"/>
      <c r="V107" s="10"/>
      <c r="W107" s="10"/>
    </row>
    <row r="108" spans="2:23" x14ac:dyDescent="0.25">
      <c r="B108" s="7" t="s">
        <v>88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9">
        <f t="shared" ref="M108:O108" si="76">SUM(M89:M96)+M107</f>
        <v>4088.469000000001</v>
      </c>
      <c r="N108" s="9">
        <f t="shared" si="76"/>
        <v>4066.5630000000015</v>
      </c>
      <c r="O108" s="9">
        <f t="shared" si="76"/>
        <v>4561.9270000000006</v>
      </c>
      <c r="P108" s="9">
        <f>SUM(P89:P96)+P107</f>
        <v>3057</v>
      </c>
      <c r="Q108" s="9">
        <f t="shared" ref="Q108:R108" si="77">SUM(Q89:Q96)+Q107</f>
        <v>4084</v>
      </c>
      <c r="R108" s="9">
        <f t="shared" si="77"/>
        <v>6057</v>
      </c>
      <c r="S108" s="10"/>
      <c r="T108" s="10"/>
      <c r="U108" s="10"/>
      <c r="V108" s="10"/>
      <c r="W108" s="10"/>
    </row>
    <row r="109" spans="2:23" x14ac:dyDescent="0.25">
      <c r="B109" t="s">
        <v>89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>
        <v>-1125.1389999999999</v>
      </c>
      <c r="N109" s="10">
        <v>-1223.116</v>
      </c>
      <c r="O109" s="10">
        <v>-568.02099999999996</v>
      </c>
      <c r="P109" s="10">
        <v>-1045</v>
      </c>
      <c r="Q109" s="10">
        <v>-1457</v>
      </c>
      <c r="R109" s="10">
        <v>-1722</v>
      </c>
      <c r="S109" s="10"/>
      <c r="T109" s="10"/>
      <c r="U109" s="10"/>
      <c r="V109" s="10"/>
      <c r="W109" s="10"/>
    </row>
    <row r="110" spans="2:23" x14ac:dyDescent="0.25">
      <c r="B110" t="s">
        <v>90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>
        <v>-161.625</v>
      </c>
      <c r="N110" s="10">
        <f>-230.156-28.838</f>
        <v>-258.99400000000003</v>
      </c>
      <c r="O110" s="10">
        <v>-29.1</v>
      </c>
      <c r="P110" s="10">
        <v>-22</v>
      </c>
      <c r="Q110" s="10">
        <v>-31</v>
      </c>
      <c r="R110" s="10">
        <v>-28</v>
      </c>
      <c r="S110" s="10"/>
      <c r="T110" s="10"/>
      <c r="U110" s="10"/>
      <c r="V110" s="10"/>
      <c r="W110" s="10"/>
    </row>
    <row r="111" spans="2:23" x14ac:dyDescent="0.25">
      <c r="B111" t="s">
        <v>91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>
        <f>636.56+26.652</f>
        <v>663.21199999999999</v>
      </c>
      <c r="N111" s="10">
        <f>12.72+7.419</f>
        <v>20.138999999999999</v>
      </c>
      <c r="O111" s="10">
        <v>18.524000000000001</v>
      </c>
      <c r="P111" s="10">
        <v>21</v>
      </c>
      <c r="Q111" s="10">
        <v>18</v>
      </c>
      <c r="R111" s="10">
        <v>33</v>
      </c>
      <c r="S111" s="10"/>
      <c r="T111" s="10"/>
      <c r="U111" s="10"/>
      <c r="V111" s="10"/>
      <c r="W111" s="10"/>
    </row>
    <row r="112" spans="2:23" x14ac:dyDescent="0.25">
      <c r="B112" s="7" t="s">
        <v>92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9">
        <f t="shared" ref="M112:Q112" si="78">SUM(M109:M111)</f>
        <v>-623.55199999999991</v>
      </c>
      <c r="N112" s="9">
        <f t="shared" si="78"/>
        <v>-1461.9710000000002</v>
      </c>
      <c r="O112" s="9">
        <f t="shared" si="78"/>
        <v>-578.59699999999998</v>
      </c>
      <c r="P112" s="9">
        <f t="shared" si="78"/>
        <v>-1046</v>
      </c>
      <c r="Q112" s="9">
        <f t="shared" si="78"/>
        <v>-1470</v>
      </c>
      <c r="R112" s="9">
        <f>SUM(R109:R111)</f>
        <v>-1717</v>
      </c>
      <c r="S112" s="10"/>
      <c r="T112" s="10"/>
      <c r="U112" s="10"/>
      <c r="V112" s="10"/>
      <c r="W112" s="10"/>
    </row>
    <row r="113" spans="2:23" x14ac:dyDescent="0.25">
      <c r="B113" t="s">
        <v>108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>
        <v>0</v>
      </c>
      <c r="N113" s="10">
        <v>0</v>
      </c>
      <c r="O113" s="10">
        <v>-1000</v>
      </c>
      <c r="P113" s="10">
        <v>0</v>
      </c>
      <c r="Q113" s="10">
        <v>0</v>
      </c>
      <c r="R113" s="10">
        <v>0</v>
      </c>
      <c r="S113" s="10"/>
      <c r="T113" s="10"/>
      <c r="U113" s="10"/>
      <c r="V113" s="10"/>
      <c r="W113" s="10"/>
    </row>
    <row r="114" spans="2:23" x14ac:dyDescent="0.25">
      <c r="B114" t="s">
        <v>109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>
        <v>0</v>
      </c>
      <c r="N114" s="10">
        <v>0</v>
      </c>
      <c r="O114" s="10">
        <v>5986.8729999999996</v>
      </c>
      <c r="P114" s="10">
        <v>0</v>
      </c>
      <c r="Q114" s="10">
        <v>0</v>
      </c>
      <c r="R114" s="10">
        <v>0</v>
      </c>
      <c r="S114" s="10"/>
      <c r="T114" s="10"/>
      <c r="U114" s="10"/>
      <c r="V114" s="10"/>
      <c r="W114" s="10"/>
    </row>
    <row r="115" spans="2:23" x14ac:dyDescent="0.25">
      <c r="B115" t="s">
        <v>110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>
        <v>0</v>
      </c>
      <c r="N115" s="10">
        <v>0</v>
      </c>
      <c r="O115" s="10">
        <v>-42.377000000000002</v>
      </c>
      <c r="P115" s="10">
        <v>0</v>
      </c>
      <c r="Q115" s="10">
        <v>0</v>
      </c>
      <c r="R115" s="10">
        <v>0</v>
      </c>
      <c r="S115" s="10"/>
      <c r="T115" s="10"/>
      <c r="U115" s="10"/>
      <c r="V115" s="10"/>
      <c r="W115" s="10"/>
    </row>
    <row r="116" spans="2:23" x14ac:dyDescent="0.25">
      <c r="B116" t="s">
        <v>93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>
        <v>-2406.9969999999998</v>
      </c>
      <c r="N116" s="10">
        <v>-1551.992</v>
      </c>
      <c r="O116" s="10">
        <v>-201.5</v>
      </c>
      <c r="P116" s="10">
        <v>-2176</v>
      </c>
      <c r="Q116" s="10">
        <v>-2255</v>
      </c>
      <c r="R116" s="10">
        <v>-2484</v>
      </c>
      <c r="S116" s="10"/>
      <c r="T116" s="10"/>
      <c r="U116" s="10"/>
      <c r="V116" s="10"/>
      <c r="W116" s="10"/>
    </row>
    <row r="117" spans="2:23" x14ac:dyDescent="0.25">
      <c r="B117" t="s">
        <v>94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>
        <v>255.24100000000001</v>
      </c>
      <c r="N117" s="10">
        <v>232.10599999999999</v>
      </c>
      <c r="O117" s="10">
        <v>211.18899999999999</v>
      </c>
      <c r="P117" s="10">
        <v>229</v>
      </c>
      <c r="Q117" s="10">
        <v>321</v>
      </c>
      <c r="R117" s="10">
        <v>285</v>
      </c>
      <c r="S117" s="10"/>
      <c r="T117" s="10"/>
      <c r="U117" s="10"/>
      <c r="V117" s="10"/>
      <c r="W117" s="10"/>
    </row>
    <row r="118" spans="2:23" x14ac:dyDescent="0.25">
      <c r="B118" t="s">
        <v>95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>
        <v>-922.596</v>
      </c>
      <c r="N118" s="10">
        <v>-1071.5619999999999</v>
      </c>
      <c r="O118" s="10">
        <v>-278.25599999999997</v>
      </c>
      <c r="P118" s="10">
        <v>-1252</v>
      </c>
      <c r="Q118" s="10">
        <v>-1339</v>
      </c>
      <c r="R118" s="10">
        <v>-1484</v>
      </c>
      <c r="S118" s="10"/>
      <c r="T118" s="10"/>
      <c r="U118" s="10"/>
      <c r="V118" s="10"/>
      <c r="W118" s="10"/>
    </row>
    <row r="119" spans="2:23" x14ac:dyDescent="0.25">
      <c r="B119" t="s">
        <v>96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>
        <v>0</v>
      </c>
      <c r="N119" s="10">
        <v>0</v>
      </c>
      <c r="O119" s="10">
        <v>-1418.3579999999999</v>
      </c>
      <c r="P119" s="10">
        <v>-2976</v>
      </c>
      <c r="Q119" s="10">
        <v>0</v>
      </c>
      <c r="R119" s="10">
        <v>-500</v>
      </c>
      <c r="S119" s="10"/>
      <c r="T119" s="10"/>
      <c r="U119" s="10"/>
      <c r="V119" s="10"/>
      <c r="W119" s="10"/>
    </row>
    <row r="120" spans="2:23" x14ac:dyDescent="0.25">
      <c r="B120" t="s">
        <v>87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>
        <f>-16.014-7.115</f>
        <v>-23.128999999999998</v>
      </c>
      <c r="N120" s="10">
        <v>-23.422999999999998</v>
      </c>
      <c r="O120" s="10">
        <v>-29.309000000000001</v>
      </c>
      <c r="P120" s="10">
        <v>-25</v>
      </c>
      <c r="Q120" s="10">
        <v>-33</v>
      </c>
      <c r="R120" s="10">
        <v>-32</v>
      </c>
      <c r="S120" s="10"/>
      <c r="T120" s="10"/>
      <c r="U120" s="10"/>
      <c r="V120" s="10"/>
      <c r="W120" s="10"/>
    </row>
    <row r="121" spans="2:23" x14ac:dyDescent="0.25">
      <c r="B121" s="7" t="s">
        <v>97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9">
        <f t="shared" ref="M121:Q121" si="79">SUM(M113:M120)</f>
        <v>-3097.4809999999998</v>
      </c>
      <c r="N121" s="9">
        <f t="shared" si="79"/>
        <v>-2414.8709999999996</v>
      </c>
      <c r="O121" s="9">
        <f>SUM(O113:O120)</f>
        <v>3228.2619999999988</v>
      </c>
      <c r="P121" s="9">
        <f t="shared" si="79"/>
        <v>-6200</v>
      </c>
      <c r="Q121" s="9">
        <f t="shared" si="79"/>
        <v>-3306</v>
      </c>
      <c r="R121" s="9">
        <f>SUM(R113:R120)</f>
        <v>-4215</v>
      </c>
      <c r="S121" s="10"/>
      <c r="T121" s="10"/>
      <c r="U121" s="10"/>
      <c r="V121" s="10"/>
      <c r="W121" s="10"/>
    </row>
    <row r="122" spans="2:23" x14ac:dyDescent="0.2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2:23" x14ac:dyDescent="0.25">
      <c r="B123" t="s">
        <v>98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>
        <v>-95.674000000000007</v>
      </c>
      <c r="N123" s="10">
        <v>-3.1749999999999998</v>
      </c>
      <c r="O123" s="10">
        <v>41.264000000000003</v>
      </c>
      <c r="P123" s="10">
        <v>-54</v>
      </c>
      <c r="Q123" s="10">
        <v>-58</v>
      </c>
      <c r="R123" s="10">
        <v>-2</v>
      </c>
      <c r="S123" s="10"/>
      <c r="T123" s="10"/>
      <c r="U123" s="10"/>
      <c r="V123" s="10"/>
      <c r="W123" s="10"/>
    </row>
    <row r="124" spans="2:23" x14ac:dyDescent="0.25">
      <c r="B124" t="s">
        <v>99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9">
        <f t="shared" ref="M124:R124" si="80">M108+M112+M121+M123</f>
        <v>271.76200000000154</v>
      </c>
      <c r="N124" s="9">
        <f t="shared" si="80"/>
        <v>186.54600000000181</v>
      </c>
      <c r="O124" s="9">
        <f t="shared" si="80"/>
        <v>7252.8559999999998</v>
      </c>
      <c r="P124" s="9">
        <f t="shared" si="80"/>
        <v>-4243</v>
      </c>
      <c r="Q124" s="9">
        <f t="shared" si="80"/>
        <v>-750</v>
      </c>
      <c r="R124" s="9">
        <f t="shared" si="80"/>
        <v>123</v>
      </c>
      <c r="S124" s="10"/>
      <c r="T124" s="10"/>
      <c r="U124" s="10"/>
      <c r="V124" s="10"/>
      <c r="W124" s="10"/>
    </row>
    <row r="125" spans="2:23" x14ac:dyDescent="0.2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2:23" x14ac:dyDescent="0.25">
      <c r="B126" t="s">
        <v>100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>
        <f>M127-M124</f>
        <v>2758.8359999999971</v>
      </c>
      <c r="N126" s="10">
        <f>N127-N124</f>
        <v>3030.5979999999986</v>
      </c>
      <c r="O126" s="10">
        <f>O127-O124</f>
        <v>3217.1440000000002</v>
      </c>
      <c r="P126" s="10">
        <f>P127-P124</f>
        <v>10470</v>
      </c>
      <c r="Q126" s="10">
        <f>Q127-Q124</f>
        <v>6227</v>
      </c>
      <c r="R126" s="10">
        <v>5477</v>
      </c>
      <c r="S126" s="10"/>
      <c r="T126" s="10"/>
      <c r="U126" s="10"/>
      <c r="V126" s="10"/>
      <c r="W126" s="10"/>
    </row>
    <row r="127" spans="2:23" x14ac:dyDescent="0.25">
      <c r="B127" t="s">
        <v>101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>
        <f>N126</f>
        <v>3030.5979999999986</v>
      </c>
      <c r="N127" s="10">
        <f>O126</f>
        <v>3217.1440000000002</v>
      </c>
      <c r="O127" s="10">
        <f>P126</f>
        <v>10470</v>
      </c>
      <c r="P127" s="10">
        <f>Q126</f>
        <v>6227</v>
      </c>
      <c r="Q127" s="10">
        <f>R126</f>
        <v>5477</v>
      </c>
      <c r="R127" s="10">
        <f>R126+R124</f>
        <v>5600</v>
      </c>
      <c r="S127" s="10"/>
      <c r="T127" s="10"/>
      <c r="U127" s="10"/>
      <c r="V127" s="10"/>
      <c r="W127" s="10"/>
    </row>
    <row r="128" spans="2:23" x14ac:dyDescent="0.2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3:23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3:23" x14ac:dyDescent="0.2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3:23" x14ac:dyDescent="0.2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3:23" x14ac:dyDescent="0.2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3:23" x14ac:dyDescent="0.2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3:23" x14ac:dyDescent="0.2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3:23" x14ac:dyDescent="0.2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3:23" x14ac:dyDescent="0.2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3:23" x14ac:dyDescent="0.2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3:23" x14ac:dyDescent="0.2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3:23" x14ac:dyDescent="0.2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3:23" x14ac:dyDescent="0.2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3:23" x14ac:dyDescent="0.2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3:23" x14ac:dyDescent="0.2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3:23" x14ac:dyDescent="0.2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3:23" x14ac:dyDescent="0.2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3:23" x14ac:dyDescent="0.2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3:23" x14ac:dyDescent="0.2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3:23" x14ac:dyDescent="0.2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3:23" x14ac:dyDescent="0.2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3:23" x14ac:dyDescent="0.2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3:23" x14ac:dyDescent="0.2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3:23" x14ac:dyDescent="0.2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3:23" x14ac:dyDescent="0.2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3:23" x14ac:dyDescent="0.2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3:23" x14ac:dyDescent="0.2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3:23" x14ac:dyDescent="0.2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3:23" x14ac:dyDescent="0.2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3:23" x14ac:dyDescent="0.2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3:23" x14ac:dyDescent="0.2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3:23" x14ac:dyDescent="0.2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3:23" x14ac:dyDescent="0.2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3:23" x14ac:dyDescent="0.2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3:23" x14ac:dyDescent="0.2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3:23" x14ac:dyDescent="0.2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3:23" x14ac:dyDescent="0.2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3:23" x14ac:dyDescent="0.2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3:23" x14ac:dyDescent="0.2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3:23" x14ac:dyDescent="0.2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3:23" x14ac:dyDescent="0.2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3:23" x14ac:dyDescent="0.2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3:23" x14ac:dyDescent="0.2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3:23" x14ac:dyDescent="0.2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3:23" x14ac:dyDescent="0.2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3:23" x14ac:dyDescent="0.2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3:23" x14ac:dyDescent="0.2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3:23" x14ac:dyDescent="0.2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3:23" x14ac:dyDescent="0.2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3:23" x14ac:dyDescent="0.2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3:23" x14ac:dyDescent="0.2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3:23" x14ac:dyDescent="0.2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3:23" x14ac:dyDescent="0.2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3:23" x14ac:dyDescent="0.2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3:23" x14ac:dyDescent="0.2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3:23" x14ac:dyDescent="0.2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3:23" x14ac:dyDescent="0.2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3:23" x14ac:dyDescent="0.2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3:23" x14ac:dyDescent="0.2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3:23" x14ac:dyDescent="0.2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3:23" x14ac:dyDescent="0.2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3:23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3:23" x14ac:dyDescent="0.2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3:23" x14ac:dyDescent="0.2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3:23" x14ac:dyDescent="0.2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3:23" x14ac:dyDescent="0.2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3:23" x14ac:dyDescent="0.2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3:23" x14ac:dyDescent="0.2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3:23" x14ac:dyDescent="0.2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3:23" x14ac:dyDescent="0.2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3:23" x14ac:dyDescent="0.2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3:23" x14ac:dyDescent="0.2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3:23" x14ac:dyDescent="0.2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3:23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3:23" x14ac:dyDescent="0.2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3:23" x14ac:dyDescent="0.2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3:23" x14ac:dyDescent="0.2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3:23" x14ac:dyDescent="0.2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3:23" x14ac:dyDescent="0.2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3:23" x14ac:dyDescent="0.2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3:23" x14ac:dyDescent="0.2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3:23" x14ac:dyDescent="0.2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3:23" x14ac:dyDescent="0.2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3:23" x14ac:dyDescent="0.2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3:23" x14ac:dyDescent="0.2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3:23" x14ac:dyDescent="0.2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3:23" x14ac:dyDescent="0.2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3:23" x14ac:dyDescent="0.2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3:23" x14ac:dyDescent="0.2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3:23" x14ac:dyDescent="0.2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3:23" x14ac:dyDescent="0.2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3:23" x14ac:dyDescent="0.2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3:23" x14ac:dyDescent="0.2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3:23" x14ac:dyDescent="0.2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3:23" x14ac:dyDescent="0.2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3:23" x14ac:dyDescent="0.2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3:23" x14ac:dyDescent="0.2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3:23" x14ac:dyDescent="0.2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3:23" x14ac:dyDescent="0.2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3:23" x14ac:dyDescent="0.2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3:23" x14ac:dyDescent="0.2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3:23" x14ac:dyDescent="0.2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3:23" x14ac:dyDescent="0.2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3:23" x14ac:dyDescent="0.2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3:23" x14ac:dyDescent="0.2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3:23" x14ac:dyDescent="0.2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3:23" x14ac:dyDescent="0.2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3:23" x14ac:dyDescent="0.2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3:23" x14ac:dyDescent="0.2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3:23" x14ac:dyDescent="0.2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3:23" x14ac:dyDescent="0.2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3:23" x14ac:dyDescent="0.2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3:23" x14ac:dyDescent="0.2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3:23" x14ac:dyDescent="0.2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3:23" x14ac:dyDescent="0.2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3:23" x14ac:dyDescent="0.2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3:23" x14ac:dyDescent="0.2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3:23" x14ac:dyDescent="0.2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3:23" x14ac:dyDescent="0.2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3:23" x14ac:dyDescent="0.2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3:23" x14ac:dyDescent="0.2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3:23" x14ac:dyDescent="0.2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3:23" x14ac:dyDescent="0.2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3:23" x14ac:dyDescent="0.2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3:23" x14ac:dyDescent="0.2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3:23" x14ac:dyDescent="0.2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3:23" x14ac:dyDescent="0.2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3:23" x14ac:dyDescent="0.2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3:23" x14ac:dyDescent="0.2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3:23" x14ac:dyDescent="0.2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3:23" x14ac:dyDescent="0.2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3:23" x14ac:dyDescent="0.2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3:23" x14ac:dyDescent="0.2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3:23" x14ac:dyDescent="0.2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3:23" x14ac:dyDescent="0.2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3:23" x14ac:dyDescent="0.2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3:23" x14ac:dyDescent="0.2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3:23" x14ac:dyDescent="0.2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3:23" x14ac:dyDescent="0.2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3:23" x14ac:dyDescent="0.2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3:23" x14ac:dyDescent="0.2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3:23" x14ac:dyDescent="0.2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3:23" x14ac:dyDescent="0.2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3:23" x14ac:dyDescent="0.2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3:23" x14ac:dyDescent="0.2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3:23" x14ac:dyDescent="0.2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3:23" x14ac:dyDescent="0.2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3:23" x14ac:dyDescent="0.2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3:23" x14ac:dyDescent="0.2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3:23" x14ac:dyDescent="0.2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3:23" x14ac:dyDescent="0.2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3:23" x14ac:dyDescent="0.2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3:23" x14ac:dyDescent="0.2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3:23" x14ac:dyDescent="0.2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3:23" x14ac:dyDescent="0.2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3:23" x14ac:dyDescent="0.2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3:23" x14ac:dyDescent="0.2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3:23" x14ac:dyDescent="0.2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3:23" x14ac:dyDescent="0.2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3:23" x14ac:dyDescent="0.2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3:23" x14ac:dyDescent="0.2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3:23" x14ac:dyDescent="0.2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3:23" x14ac:dyDescent="0.2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3:23" x14ac:dyDescent="0.2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3:23" x14ac:dyDescent="0.2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3:23" x14ac:dyDescent="0.2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3:23" x14ac:dyDescent="0.2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3:23" x14ac:dyDescent="0.2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3:23" x14ac:dyDescent="0.2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3:23" x14ac:dyDescent="0.2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3:23" x14ac:dyDescent="0.25"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3:23" x14ac:dyDescent="0.25"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3:23" x14ac:dyDescent="0.25"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3:23" x14ac:dyDescent="0.25"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3:23" x14ac:dyDescent="0.25"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3:23" x14ac:dyDescent="0.25"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3:23" x14ac:dyDescent="0.25"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7:22" x14ac:dyDescent="0.25"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7:22" x14ac:dyDescent="0.25"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7:22" x14ac:dyDescent="0.25"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7:22" x14ac:dyDescent="0.25"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7:22" x14ac:dyDescent="0.25"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7:22" x14ac:dyDescent="0.25"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7:22" x14ac:dyDescent="0.25"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7:22" x14ac:dyDescent="0.25"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7:22" x14ac:dyDescent="0.25"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7:22" x14ac:dyDescent="0.25"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7:22" x14ac:dyDescent="0.25"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7:22" x14ac:dyDescent="0.25"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7:22" x14ac:dyDescent="0.25"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7:22" x14ac:dyDescent="0.25"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7:22" x14ac:dyDescent="0.25"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7:22" x14ac:dyDescent="0.25"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7:22" x14ac:dyDescent="0.25"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7:22" x14ac:dyDescent="0.25"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7:22" x14ac:dyDescent="0.25"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7:22" x14ac:dyDescent="0.25"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7:22" x14ac:dyDescent="0.25"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7:22" x14ac:dyDescent="0.25"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7:22" x14ac:dyDescent="0.25"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7:22" x14ac:dyDescent="0.25"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7:22" x14ac:dyDescent="0.25"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7:22" x14ac:dyDescent="0.25"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7:22" x14ac:dyDescent="0.25"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7:22" x14ac:dyDescent="0.25"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7:22" x14ac:dyDescent="0.25"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7:22" x14ac:dyDescent="0.25"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7:22" x14ac:dyDescent="0.25"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7:22" x14ac:dyDescent="0.25"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7:22" x14ac:dyDescent="0.25"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7:22" x14ac:dyDescent="0.25"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7:22" x14ac:dyDescent="0.25"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7:22" x14ac:dyDescent="0.25"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7:22" x14ac:dyDescent="0.25"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7:22" x14ac:dyDescent="0.25"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7:22" x14ac:dyDescent="0.25"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7:22" x14ac:dyDescent="0.25"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7:22" x14ac:dyDescent="0.25"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7:22" x14ac:dyDescent="0.25"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7:22" x14ac:dyDescent="0.25"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7:22" x14ac:dyDescent="0.25"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7:22" x14ac:dyDescent="0.25"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7:22" x14ac:dyDescent="0.25"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7:22" x14ac:dyDescent="0.25"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7:22" x14ac:dyDescent="0.25"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7:22" x14ac:dyDescent="0.25"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7:22" x14ac:dyDescent="0.25"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7:22" x14ac:dyDescent="0.25"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7:22" x14ac:dyDescent="0.25"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7:22" x14ac:dyDescent="0.25"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7:22" x14ac:dyDescent="0.25"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7:22" x14ac:dyDescent="0.25"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7:22" x14ac:dyDescent="0.25"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7:22" x14ac:dyDescent="0.25"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7:22" x14ac:dyDescent="0.25"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7:22" x14ac:dyDescent="0.25"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7:22" x14ac:dyDescent="0.25"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7:22" x14ac:dyDescent="0.25"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7:22" x14ac:dyDescent="0.25"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7:22" x14ac:dyDescent="0.25"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7:22" x14ac:dyDescent="0.25"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7:22" x14ac:dyDescent="0.25"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7:22" x14ac:dyDescent="0.25"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7:22" x14ac:dyDescent="0.25"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7:22" x14ac:dyDescent="0.25"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7:22" x14ac:dyDescent="0.25"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7:22" x14ac:dyDescent="0.25"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7:22" x14ac:dyDescent="0.25"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</sheetData>
  <hyperlinks>
    <hyperlink ref="A1" location="Main!A1" display="Main" xr:uid="{E509D1BA-74CF-4045-92A3-FB2564A5955D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377-8BA4-49C4-8B0D-C42F50F40ABA}">
  <dimension ref="A1:K53"/>
  <sheetViews>
    <sheetView tabSelected="1" zoomScale="200" zoomScaleNormal="20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J53" sqref="J53"/>
    </sheetView>
  </sheetViews>
  <sheetFormatPr defaultRowHeight="15" x14ac:dyDescent="0.25"/>
  <cols>
    <col min="1" max="1" width="4.7109375" bestFit="1" customWidth="1"/>
    <col min="2" max="2" width="20" customWidth="1"/>
    <col min="3" max="6" width="9.28515625" bestFit="1" customWidth="1"/>
    <col min="7" max="8" width="9.85546875" bestFit="1" customWidth="1"/>
    <col min="10" max="11" width="9.28515625" bestFit="1" customWidth="1"/>
  </cols>
  <sheetData>
    <row r="1" spans="1:11" x14ac:dyDescent="0.25">
      <c r="A1" s="4" t="s">
        <v>8</v>
      </c>
    </row>
    <row r="2" spans="1:11" x14ac:dyDescent="0.25">
      <c r="B2" s="7" t="s">
        <v>153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103</v>
      </c>
      <c r="K2" s="3" t="s">
        <v>154</v>
      </c>
    </row>
    <row r="3" spans="1:11" x14ac:dyDescent="0.25">
      <c r="A3" s="6" t="s">
        <v>10</v>
      </c>
      <c r="B3" s="1" t="s">
        <v>155</v>
      </c>
    </row>
    <row r="4" spans="1:11" x14ac:dyDescent="0.25">
      <c r="B4" t="s">
        <v>156</v>
      </c>
      <c r="C4" s="11">
        <f>Model!M27/Model!M83</f>
        <v>0.60606987354529185</v>
      </c>
      <c r="D4" s="11">
        <f>Model!N27/Model!N83</f>
        <v>0.550117581552238</v>
      </c>
      <c r="E4" s="11">
        <f>Model!O27/Model!O83</f>
        <v>1.5517384449423442E-2</v>
      </c>
      <c r="F4" s="11">
        <f>Model!P27/Model!P83</f>
        <v>0.54689394888415643</v>
      </c>
      <c r="G4" s="11">
        <f>Model!Q27/Model!Q83</f>
        <v>0.549654305468259</v>
      </c>
      <c r="H4" s="11">
        <f>Model!R27/Model!R83</f>
        <v>0.6127088468912627</v>
      </c>
      <c r="K4" s="24">
        <f>AVERAGE(F4:H4,C4:D4)</f>
        <v>0.57308891126824169</v>
      </c>
    </row>
    <row r="5" spans="1:11" x14ac:dyDescent="0.25">
      <c r="B5" t="s">
        <v>157</v>
      </c>
      <c r="C5" s="11">
        <f>Model!M22/Model!M62</f>
        <v>0.29444258419412678</v>
      </c>
      <c r="D5" s="11">
        <f>Model!N22/Model!N62</f>
        <v>0.18290459520754673</v>
      </c>
      <c r="E5" s="11">
        <f>Model!O22/Model!O62</f>
        <v>1.889648337985184E-2</v>
      </c>
      <c r="F5" s="11">
        <f>Model!P22/Model!P62</f>
        <v>0.16706803987343163</v>
      </c>
      <c r="G5" s="11">
        <f>Model!Q22/Model!Q62</f>
        <v>0.17143461850506192</v>
      </c>
      <c r="H5" s="11">
        <f>Model!R22/Model!R62</f>
        <v>0.19487679429858473</v>
      </c>
      <c r="K5" s="24">
        <f t="shared" ref="K5:K12" si="0">AVERAGE(F5:H5,C5:D5)</f>
        <v>0.20214532641575036</v>
      </c>
    </row>
    <row r="6" spans="1:11" x14ac:dyDescent="0.25">
      <c r="B6" t="s">
        <v>158</v>
      </c>
      <c r="C6" s="11">
        <f>Model!M22/(Model!M60+Model!M50+Model!M51+Model!M52+Model!M53-Model!M64)</f>
        <v>0.48755897280717458</v>
      </c>
      <c r="D6" s="11">
        <f>Model!N22/(Model!N60+Model!N50+Model!N51+Model!N52+Model!N53-Model!N64)</f>
        <v>0.24190983919866321</v>
      </c>
      <c r="E6" s="11">
        <f>Model!O22/(Model!O60+Model!O50+Model!O51+Model!O52+Model!O53-Model!O64)</f>
        <v>3.7515824938950552E-2</v>
      </c>
      <c r="F6" s="11">
        <f>Model!P22/(Model!P60+Model!P50+Model!P51+Model!P52+Model!P53-Model!P64)</f>
        <v>0.26759687203737059</v>
      </c>
      <c r="G6" s="11">
        <f>Model!Q22/(Model!Q60+Model!Q50+Model!Q51+Model!Q52+Model!Q53-Model!Q64)</f>
        <v>0.25474368382430024</v>
      </c>
      <c r="H6" s="11">
        <f>Model!R22/(Model!R60+Model!R50+Model!R51+Model!R52+Model!R53-Model!R64)</f>
        <v>0.28577766822775452</v>
      </c>
      <c r="K6" s="24">
        <f t="shared" si="0"/>
        <v>0.30751740721905263</v>
      </c>
    </row>
    <row r="7" spans="1:11" x14ac:dyDescent="0.25">
      <c r="B7" t="s">
        <v>159</v>
      </c>
      <c r="C7" s="11">
        <f>(Model!M22*(1-Model!M45))/(Model!M83+Model!M73+Model!M72+Model!M70+Model!M66+Model!M67-Model!M49)</f>
        <v>0.55166818655698691</v>
      </c>
      <c r="D7" s="11">
        <f>(Model!N22*(1-Model!N45))/(Model!N83+Model!N73+Model!N72+Model!N70+Model!N66+Model!N67-Model!N49)</f>
        <v>0.21796044331360612</v>
      </c>
      <c r="E7" s="11">
        <f>(Model!O22*(1-Model!O45))/(Model!O83+Model!O73+Model!O72+Model!O70+Model!O66+Model!O67-Model!O49)</f>
        <v>4.9464888592549487E-2</v>
      </c>
      <c r="F7" s="11">
        <f>(Model!P22*(1-Model!P45))/(Model!P83+Model!P73+Model!P72+Model!P70+Model!P66+Model!P67-Model!P49)</f>
        <v>0.26690037562102642</v>
      </c>
      <c r="G7" s="11">
        <f>(Model!Q22*(1-Model!Q45))/(Model!Q83+Model!Q73+Model!Q72+Model!Q70+Model!Q66+Model!Q67-Model!Q49)</f>
        <v>0.25202849950632877</v>
      </c>
      <c r="H7" s="11">
        <f>(Model!R22*(1-Model!R45))/(Model!R83+Model!R73+Model!R72+Model!R70+Model!R66+Model!R67-Model!R49)</f>
        <v>0.28655957361126133</v>
      </c>
      <c r="K7" s="24">
        <f t="shared" si="0"/>
        <v>0.31502341572184195</v>
      </c>
    </row>
    <row r="9" spans="1:11" x14ac:dyDescent="0.25">
      <c r="B9" t="s">
        <v>160</v>
      </c>
      <c r="C9" s="11">
        <f>(Model!M27+Model!M118+Model!M116)/Model!M27</f>
        <v>-8.8170564950480021E-2</v>
      </c>
      <c r="D9" s="11">
        <f>(Model!N27+Model!N118+Model!N116)/Model!N27</f>
        <v>0.19823324621602031</v>
      </c>
      <c r="E9" s="11">
        <f>(Model!O27+Model!O118+Model!O116)/Model!O27</f>
        <v>-4.3007027003137299</v>
      </c>
      <c r="F9" s="11">
        <f>(Model!P27+Model!P118+Model!P116)/Model!P27</f>
        <v>-4.41669204995431E-2</v>
      </c>
      <c r="G9" s="11">
        <f>(Model!Q27+Model!Q118+Model!Q116)/Model!Q27</f>
        <v>-2.7444253859348199E-2</v>
      </c>
      <c r="H9" s="11">
        <f>(Model!R27+Model!R118+Model!R116)/Model!R27</f>
        <v>0.11309789897183728</v>
      </c>
      <c r="K9" s="24">
        <f t="shared" si="0"/>
        <v>3.0309881175697252E-2</v>
      </c>
    </row>
    <row r="10" spans="1:11" x14ac:dyDescent="0.25">
      <c r="B10" t="s">
        <v>192</v>
      </c>
      <c r="C10" s="24">
        <f t="shared" ref="C10:G10" si="1">C9*C6</f>
        <v>-4.298835007908431E-2</v>
      </c>
      <c r="D10" s="24">
        <f t="shared" si="1"/>
        <v>4.795457271594649E-2</v>
      </c>
      <c r="E10" s="24">
        <f t="shared" si="1"/>
        <v>-0.16134440961944183</v>
      </c>
      <c r="F10" s="24">
        <f t="shared" si="1"/>
        <v>-1.1818929773200955E-2</v>
      </c>
      <c r="G10" s="24">
        <f t="shared" si="1"/>
        <v>-6.9912503279396286E-3</v>
      </c>
      <c r="H10" s="24">
        <f>H9*H6</f>
        <v>3.2320853849629815E-2</v>
      </c>
      <c r="K10" s="24">
        <f t="shared" si="0"/>
        <v>3.695379277070282E-3</v>
      </c>
    </row>
    <row r="11" spans="1:11" x14ac:dyDescent="0.25">
      <c r="B11" t="s">
        <v>161</v>
      </c>
      <c r="C11" s="11">
        <f>(-Model!M109-Model!M107)/(Model!M22*(1-Model!M45))</f>
        <v>0.31844183021581496</v>
      </c>
      <c r="D11" s="11">
        <f>(-Model!N109-Model!N107)/(Model!N22*(1-Model!N45))</f>
        <v>0.43627975561935822</v>
      </c>
      <c r="E11" s="11">
        <f>(-Model!O109-Model!O107)/(Model!O22*(1-Model!O45))</f>
        <v>-4.759537725577724</v>
      </c>
      <c r="F11" s="11">
        <f>(-Model!P109-Model!P107)/(Model!P22*(1-Model!P45))</f>
        <v>0.71418674348594369</v>
      </c>
      <c r="G11" s="11">
        <f>(-Model!Q109-Model!Q107)/(Model!Q22*(1-Model!Q45))</f>
        <v>0.5958525388993593</v>
      </c>
      <c r="H11" s="11">
        <f>(-Model!R109-Model!R107)/(Model!R22*(1-Model!R45))</f>
        <v>0.3029999331425493</v>
      </c>
      <c r="K11" s="24">
        <f t="shared" si="0"/>
        <v>0.47355216027260505</v>
      </c>
    </row>
    <row r="12" spans="1:11" x14ac:dyDescent="0.25">
      <c r="B12" t="s">
        <v>193</v>
      </c>
      <c r="C12" s="24">
        <f t="shared" ref="C12:G12" si="2">C11*C7</f>
        <v>0.17567422699904656</v>
      </c>
      <c r="D12" s="24">
        <f t="shared" si="2"/>
        <v>9.509172894354706E-2</v>
      </c>
      <c r="E12" s="24">
        <f t="shared" si="2"/>
        <v>-0.2354300033477385</v>
      </c>
      <c r="F12" s="24">
        <f t="shared" si="2"/>
        <v>0.19061671009995601</v>
      </c>
      <c r="G12" s="24">
        <f t="shared" si="2"/>
        <v>0.15017182130584192</v>
      </c>
      <c r="H12" s="24">
        <f>H11*H7</f>
        <v>8.6827531645569625E-2</v>
      </c>
      <c r="K12" s="24">
        <f t="shared" si="0"/>
        <v>0.13967640379879223</v>
      </c>
    </row>
    <row r="13" spans="1:11" x14ac:dyDescent="0.25">
      <c r="K13" s="24"/>
    </row>
    <row r="14" spans="1:11" x14ac:dyDescent="0.25">
      <c r="A14" s="6" t="s">
        <v>10</v>
      </c>
      <c r="B14" s="1" t="s">
        <v>162</v>
      </c>
    </row>
    <row r="15" spans="1:11" x14ac:dyDescent="0.25">
      <c r="B15" t="s">
        <v>163</v>
      </c>
      <c r="C15" s="11">
        <f>C31/Model!M83</f>
        <v>0.11045207330498763</v>
      </c>
      <c r="D15" s="11">
        <f>D31/Model!N83</f>
        <v>1.5296761446969274</v>
      </c>
      <c r="E15" s="11">
        <f>E31/Model!O83</f>
        <v>1.0454463159670575</v>
      </c>
      <c r="F15" s="11">
        <f>F31/Model!P83</f>
        <v>1.2153850946328095</v>
      </c>
      <c r="G15" s="11">
        <f>G31/Model!Q83</f>
        <v>1.2862979258328096</v>
      </c>
      <c r="H15" s="11">
        <f>H31/Model!R83</f>
        <v>1.0772391125718981</v>
      </c>
    </row>
    <row r="16" spans="1:11" x14ac:dyDescent="0.25">
      <c r="B16" t="s">
        <v>164</v>
      </c>
      <c r="C16" s="11">
        <f>C31/(Model!M22+Model!M90)</f>
        <v>0.11068793659514942</v>
      </c>
      <c r="D16" s="11">
        <f>D31/(Model!N22+Model!N90)</f>
        <v>1.7221118058269698</v>
      </c>
      <c r="E16" s="11">
        <f>E31/(Model!O22+Model!O90)</f>
        <v>4.196592490430314</v>
      </c>
      <c r="F16" s="11">
        <f>F31/(Model!P22+Model!P90)</f>
        <v>1.2975185843855592</v>
      </c>
      <c r="G16" s="11">
        <f>G31/(Model!Q22+Model!Q90)</f>
        <v>1.4243953366974074</v>
      </c>
      <c r="H16" s="11">
        <f>H31/(Model!R22+Model!R90)</f>
        <v>1.1634373613370803</v>
      </c>
    </row>
    <row r="17" spans="1:11" x14ac:dyDescent="0.25">
      <c r="B17" t="s">
        <v>165</v>
      </c>
    </row>
    <row r="19" spans="1:11" x14ac:dyDescent="0.25">
      <c r="A19" s="6" t="s">
        <v>10</v>
      </c>
      <c r="B19" s="1" t="s">
        <v>166</v>
      </c>
    </row>
    <row r="20" spans="1:11" x14ac:dyDescent="0.25">
      <c r="B20" t="s">
        <v>167</v>
      </c>
      <c r="C20" s="26">
        <f>Model!M50/Model!M18*360</f>
        <v>3.1988169020069157</v>
      </c>
      <c r="D20" s="26">
        <f>Model!N50/Model!N18*360</f>
        <v>3.3332684517103339</v>
      </c>
      <c r="E20" s="26">
        <f>Model!O50/Model!O18*360</f>
        <v>5.16569810498802</v>
      </c>
      <c r="F20" s="26">
        <f>Model!P50/Model!P18*360</f>
        <v>3.838193202883625</v>
      </c>
      <c r="G20" s="26">
        <f>Model!Q50/Model!Q18*360</f>
        <v>4.0587952579301509</v>
      </c>
      <c r="H20" s="26">
        <f>Model!R50/Model!R18*360</f>
        <v>3.5125514137632106</v>
      </c>
      <c r="K20" s="26">
        <f>AVERAGE(C20:H20)</f>
        <v>3.8512205555470431</v>
      </c>
    </row>
    <row r="21" spans="1:11" x14ac:dyDescent="0.25">
      <c r="B21" t="s">
        <v>168</v>
      </c>
      <c r="C21" s="27">
        <f>Model!M64/Model!M18*360</f>
        <v>24.424424396685144</v>
      </c>
      <c r="D21" s="27">
        <f>Model!N64/Model!N18*360</f>
        <v>23.063032336936978</v>
      </c>
      <c r="E21" s="27">
        <f>Model!O64/Model!O18*360</f>
        <v>54.031892211469646</v>
      </c>
      <c r="F21" s="27">
        <f>Model!P64/Model!P18*360</f>
        <v>33.111302162718843</v>
      </c>
      <c r="G21" s="27">
        <f>Model!Q64/Model!Q18*360</f>
        <v>27.351810317206024</v>
      </c>
      <c r="H21" s="27">
        <f>Model!R64/Model!R18*360</f>
        <v>25.643617315602118</v>
      </c>
      <c r="K21" s="26">
        <f>AVERAGE(C21:H21)</f>
        <v>31.271013123436457</v>
      </c>
    </row>
    <row r="22" spans="1:11" x14ac:dyDescent="0.25">
      <c r="B22" t="s">
        <v>169</v>
      </c>
      <c r="C22" s="11">
        <f>Model!M51/Model!M62</f>
        <v>0.31963030369406631</v>
      </c>
      <c r="D22" s="11">
        <f>Model!N51/Model!N62</f>
        <v>0.20180540047975973</v>
      </c>
      <c r="E22" s="11">
        <f>Model!O51/Model!O62</f>
        <v>0.14076261999423373</v>
      </c>
      <c r="F22" s="11">
        <f>Model!P51/Model!P62</f>
        <v>0.2094612651256306</v>
      </c>
      <c r="G22" s="11">
        <f>Model!Q51/Model!Q62</f>
        <v>0.20526297223887968</v>
      </c>
      <c r="H22" s="11">
        <f>Model!R51/Model!R62</f>
        <v>0.20052442263085354</v>
      </c>
      <c r="K22" s="24">
        <f>AVERAGE(C22:H22)</f>
        <v>0.21290783069390393</v>
      </c>
    </row>
    <row r="23" spans="1:11" x14ac:dyDescent="0.25">
      <c r="B23" t="s">
        <v>170</v>
      </c>
      <c r="C23" s="26">
        <f>Model!M19/Model!M51</f>
        <v>6.0779594731027267</v>
      </c>
      <c r="D23" s="26">
        <f>Model!N19/Model!N51</f>
        <v>6.1252368349330295</v>
      </c>
      <c r="E23" s="26">
        <f>Model!O19/Model!O51</f>
        <v>5.656343964745683</v>
      </c>
      <c r="F23" s="26">
        <f>Model!P19/Model!P51</f>
        <v>5.8229598127876647</v>
      </c>
      <c r="G23" s="26">
        <f>Model!Q19/Model!Q51</f>
        <v>6.2122357793435299</v>
      </c>
      <c r="H23" s="26">
        <f>Model!R19/Model!R51</f>
        <v>6.362279966471081</v>
      </c>
      <c r="K23" s="26">
        <f>AVERAGE(C23:H23)</f>
        <v>6.0428359718972864</v>
      </c>
    </row>
    <row r="24" spans="1:11" x14ac:dyDescent="0.25">
      <c r="B24" t="s">
        <v>171</v>
      </c>
      <c r="C24" s="26">
        <f t="shared" ref="C24:G24" si="3">360/C23</f>
        <v>59.230404808247961</v>
      </c>
      <c r="D24" s="26">
        <f t="shared" si="3"/>
        <v>58.77323762354343</v>
      </c>
      <c r="E24" s="26">
        <f t="shared" si="3"/>
        <v>63.645351528084817</v>
      </c>
      <c r="F24" s="26">
        <f t="shared" si="3"/>
        <v>61.824228841389647</v>
      </c>
      <c r="G24" s="26">
        <f t="shared" si="3"/>
        <v>57.950150764889763</v>
      </c>
      <c r="H24" s="26">
        <f>360/H23</f>
        <v>56.583489236120265</v>
      </c>
      <c r="K24" s="26">
        <f t="shared" ref="K24:K25" si="4">AVERAGE(C24:H24)</f>
        <v>59.667810467045975</v>
      </c>
    </row>
    <row r="25" spans="1:11" x14ac:dyDescent="0.25">
      <c r="B25" t="s">
        <v>172</v>
      </c>
      <c r="C25" s="26">
        <f t="shared" ref="C25:G25" si="5">C20+C24-C21</f>
        <v>38.004797313569739</v>
      </c>
      <c r="D25" s="26">
        <f t="shared" si="5"/>
        <v>39.043473738316784</v>
      </c>
      <c r="E25" s="26">
        <f t="shared" si="5"/>
        <v>14.779157421603195</v>
      </c>
      <c r="F25" s="26">
        <f t="shared" si="5"/>
        <v>32.551119881554428</v>
      </c>
      <c r="G25" s="26">
        <f t="shared" si="5"/>
        <v>34.657135705613889</v>
      </c>
      <c r="H25" s="26">
        <f>H20+H24-H21</f>
        <v>34.452423334281363</v>
      </c>
      <c r="K25" s="26">
        <f t="shared" si="4"/>
        <v>32.248017899156565</v>
      </c>
    </row>
    <row r="27" spans="1:11" x14ac:dyDescent="0.25">
      <c r="A27" s="6" t="s">
        <v>10</v>
      </c>
      <c r="B27" s="1" t="s">
        <v>173</v>
      </c>
    </row>
    <row r="28" spans="1:11" x14ac:dyDescent="0.25">
      <c r="B28" t="s">
        <v>2</v>
      </c>
      <c r="C28" s="25">
        <v>44.6</v>
      </c>
      <c r="D28" s="25">
        <v>61.06</v>
      </c>
      <c r="E28" s="25">
        <v>66.81</v>
      </c>
      <c r="F28" s="25">
        <v>75.5</v>
      </c>
      <c r="G28" s="25">
        <v>79</v>
      </c>
      <c r="H28" s="25">
        <v>97.6</v>
      </c>
    </row>
    <row r="29" spans="1:11" x14ac:dyDescent="0.25">
      <c r="B29" t="s">
        <v>28</v>
      </c>
      <c r="C29" s="25">
        <f>Model!M30</f>
        <v>1241.153</v>
      </c>
      <c r="D29" s="25">
        <f>Model!N30</f>
        <v>1208.163</v>
      </c>
      <c r="E29" s="25">
        <f>Model!O30</f>
        <v>1199.9269999999999</v>
      </c>
      <c r="F29" s="25">
        <f>Model!P30</f>
        <v>1200</v>
      </c>
      <c r="G29" s="25">
        <f>Model!Q30</f>
        <v>1166</v>
      </c>
      <c r="H29" s="25">
        <f>Model!R30</f>
        <v>1146</v>
      </c>
    </row>
    <row r="30" spans="1:11" x14ac:dyDescent="0.25">
      <c r="B30" t="s">
        <v>3</v>
      </c>
      <c r="C30" s="25">
        <f t="shared" ref="C30:G30" si="6">C29*C28</f>
        <v>55355.423800000004</v>
      </c>
      <c r="D30" s="25">
        <f t="shared" si="6"/>
        <v>73770.432780000003</v>
      </c>
      <c r="E30" s="25">
        <f t="shared" si="6"/>
        <v>80167.122869999992</v>
      </c>
      <c r="F30" s="25">
        <f t="shared" si="6"/>
        <v>90600</v>
      </c>
      <c r="G30" s="25">
        <f t="shared" si="6"/>
        <v>92114</v>
      </c>
      <c r="H30" s="25">
        <f>H29*H28</f>
        <v>111849.59999999999</v>
      </c>
    </row>
    <row r="31" spans="1:11" x14ac:dyDescent="0.25">
      <c r="B31" t="s">
        <v>174</v>
      </c>
      <c r="C31" s="25">
        <f>Model!M73+Model!M72+Model!M70+Model!M66+Model!M67-Model!M49</f>
        <v>557.62900000000036</v>
      </c>
      <c r="D31" s="25">
        <f>Model!N73+Model!N72+Model!N70+Model!N66+Model!N67-Model!N49</f>
        <v>9098.8379999999997</v>
      </c>
      <c r="E31" s="25">
        <f>Model!O73+Model!O72+Model!O70+Model!O66+Model!O67-Model!O49</f>
        <v>6097.7580000000016</v>
      </c>
      <c r="F31" s="25">
        <f>Model!P73+Model!P72+Model!P70+Model!P66+Model!P67-Model!P49</f>
        <v>7295.9469999999992</v>
      </c>
      <c r="G31" s="25">
        <f>Model!Q73+Model!Q72+Model!Q70+Model!Q66+Model!Q67-Model!Q49</f>
        <v>8186</v>
      </c>
      <c r="H31" s="25">
        <f>Model!R73+Model!R72+Model!R70+Model!R66+Model!R67-Model!R49</f>
        <v>7866</v>
      </c>
    </row>
    <row r="32" spans="1:11" x14ac:dyDescent="0.25">
      <c r="B32" t="s">
        <v>6</v>
      </c>
      <c r="C32" s="25">
        <f t="shared" ref="C32:F32" si="7">C30+C31</f>
        <v>55913.052800000005</v>
      </c>
      <c r="D32" s="25">
        <f t="shared" si="7"/>
        <v>82869.270780000006</v>
      </c>
      <c r="E32" s="25">
        <f t="shared" si="7"/>
        <v>86264.880869999994</v>
      </c>
      <c r="F32" s="25">
        <f t="shared" si="7"/>
        <v>97895.947</v>
      </c>
      <c r="G32" s="25">
        <f>G30+G31</f>
        <v>100300</v>
      </c>
      <c r="H32" s="25">
        <f>H30+H31</f>
        <v>119715.59999999999</v>
      </c>
    </row>
    <row r="33" spans="1:11" x14ac:dyDescent="0.25">
      <c r="B33" s="1" t="s">
        <v>175</v>
      </c>
    </row>
    <row r="34" spans="1:11" x14ac:dyDescent="0.25">
      <c r="B34" t="s">
        <v>176</v>
      </c>
      <c r="C34" s="25">
        <f>C30/Model!M27</f>
        <v>18.091142908313195</v>
      </c>
      <c r="D34" s="25">
        <f>D30/Model!N27</f>
        <v>22.544487521606147</v>
      </c>
      <c r="E34" s="25">
        <f>E30/Model!O27</f>
        <v>885.74626408714346</v>
      </c>
      <c r="F34" s="25">
        <f>F30/Model!P27</f>
        <v>27.596710325921414</v>
      </c>
      <c r="G34" s="25">
        <f>G30/Model!Q27</f>
        <v>26.333333333333332</v>
      </c>
      <c r="H34" s="25">
        <f>H30/Model!R27</f>
        <v>24.999910594546265</v>
      </c>
      <c r="K34" s="25">
        <f>AVERAGE(F34:H34,C34:D34)</f>
        <v>23.913116936744071</v>
      </c>
    </row>
    <row r="35" spans="1:11" x14ac:dyDescent="0.25">
      <c r="B35" t="s">
        <v>194</v>
      </c>
      <c r="D35" s="26">
        <f>D34/((Model!N27/Model!M27-1)*100)</f>
        <v>3.2476085304937077</v>
      </c>
      <c r="E35" s="26">
        <f>E34/((Model!O27/Model!N27-1)*100)</f>
        <v>-9.1094251807085289</v>
      </c>
      <c r="F35" s="26">
        <f>F34/((Model!P27/Model!O27-1)*100)</f>
        <v>7.8237410091505991E-3</v>
      </c>
      <c r="G35" s="26">
        <f>G34/((Model!Q27/Model!P27-1)*100)</f>
        <v>4.0210387596899251</v>
      </c>
      <c r="H35" s="26">
        <f>H34/((Model!R27/Model!Q27-1)*100)</f>
        <v>0.8960008940545372</v>
      </c>
      <c r="K35" s="25">
        <f>AVERAGE(F35:H35,D35)</f>
        <v>2.0431179813118301</v>
      </c>
    </row>
    <row r="36" spans="1:11" x14ac:dyDescent="0.25">
      <c r="B36" t="s">
        <v>177</v>
      </c>
      <c r="C36" s="26">
        <f>C30/Model!M83</f>
        <v>10.96449669473118</v>
      </c>
      <c r="D36" s="26">
        <f>D30/Model!N83</f>
        <v>12.402118952720581</v>
      </c>
      <c r="E36" s="26">
        <f>E30/Model!O83</f>
        <v>13.744465304480748</v>
      </c>
      <c r="F36" s="26">
        <f>F30/Model!P83</f>
        <v>15.092473886355338</v>
      </c>
      <c r="G36" s="26">
        <f>G30/Model!Q83</f>
        <v>14.474230043997485</v>
      </c>
      <c r="H36" s="26">
        <f>H30/Model!R83</f>
        <v>15.317666392769103</v>
      </c>
      <c r="K36" s="25">
        <f>AVERAGE(F36:H36,C36:D36)</f>
        <v>13.650197194114739</v>
      </c>
    </row>
    <row r="37" spans="1:11" x14ac:dyDescent="0.25">
      <c r="B37" s="1" t="s">
        <v>178</v>
      </c>
    </row>
    <row r="38" spans="1:11" x14ac:dyDescent="0.25">
      <c r="B38" t="s">
        <v>179</v>
      </c>
      <c r="C38" s="26">
        <f>Ratios!C32/Model!M18</f>
        <v>1.4346636771047312</v>
      </c>
      <c r="D38" s="26">
        <f>Ratios!D32/Model!N18</f>
        <v>1.9864628515952731</v>
      </c>
      <c r="E38" s="26">
        <f>Ratios!E32/Model!O18</f>
        <v>2.6842854301895009</v>
      </c>
      <c r="F38" s="26">
        <f>Ratios!F32/Model!P18</f>
        <v>2.0163943769309989</v>
      </c>
      <c r="G38" s="26">
        <f>Ratios!G32/Model!Q18</f>
        <v>2.0085709708426784</v>
      </c>
      <c r="H38" s="26">
        <f>Ratios!H32/Model!R18</f>
        <v>2.2080823357987347</v>
      </c>
      <c r="K38" s="25">
        <f>AVERAGE(F38:H38,C38:D38)</f>
        <v>1.9308348424544832</v>
      </c>
    </row>
    <row r="39" spans="1:11" x14ac:dyDescent="0.25">
      <c r="B39" t="s">
        <v>180</v>
      </c>
      <c r="C39" s="26">
        <f>C32/(Model!M22+Model!M90)</f>
        <v>11.098598607977056</v>
      </c>
      <c r="D39" s="26">
        <f>D32/(Model!N22+Model!N90)</f>
        <v>15.684436798469205</v>
      </c>
      <c r="E39" s="26">
        <f>E32/(Model!O22+Model!O90)</f>
        <v>59.369124069355905</v>
      </c>
      <c r="F39" s="26">
        <f>F32/(Model!P22+Model!P90)</f>
        <v>17.409914102792104</v>
      </c>
      <c r="G39" s="26">
        <f>G32/(Model!Q22+Model!Q90)</f>
        <v>17.45258395684705</v>
      </c>
      <c r="H39" s="26">
        <f>H32/(Model!R22+Model!R90)</f>
        <v>17.706788936547845</v>
      </c>
      <c r="K39" s="25">
        <f t="shared" ref="K39:K40" si="8">AVERAGE(F39:H39,C39:D39)</f>
        <v>15.870464480526653</v>
      </c>
    </row>
    <row r="40" spans="1:11" x14ac:dyDescent="0.25">
      <c r="B40" t="s">
        <v>181</v>
      </c>
      <c r="C40" s="26">
        <f>C32/Model!M22</f>
        <v>13.255214448461697</v>
      </c>
      <c r="D40" s="26">
        <f>D32/Model!N22</f>
        <v>18.764700491278536</v>
      </c>
      <c r="E40" s="26">
        <f>E32/Model!O22</f>
        <v>148.15322303475349</v>
      </c>
      <c r="F40" s="26">
        <f>F32/Model!P22</f>
        <v>20.588001472134597</v>
      </c>
      <c r="G40" s="26">
        <f>G32/Model!Q22</f>
        <v>20.637860082304528</v>
      </c>
      <c r="H40" s="26">
        <f>H32/Model!R22</f>
        <v>20.651302397791959</v>
      </c>
      <c r="K40" s="25">
        <f t="shared" si="8"/>
        <v>18.779415778394259</v>
      </c>
    </row>
    <row r="42" spans="1:11" x14ac:dyDescent="0.25">
      <c r="A42" s="6" t="s">
        <v>10</v>
      </c>
      <c r="B42" s="1" t="s">
        <v>182</v>
      </c>
    </row>
    <row r="43" spans="1:11" x14ac:dyDescent="0.25">
      <c r="B43" t="s">
        <v>183</v>
      </c>
      <c r="J43" s="28">
        <v>4.2770000000000002E-2</v>
      </c>
    </row>
    <row r="44" spans="1:11" x14ac:dyDescent="0.25">
      <c r="B44" t="s">
        <v>184</v>
      </c>
      <c r="J44" s="24">
        <v>0</v>
      </c>
    </row>
    <row r="45" spans="1:11" x14ac:dyDescent="0.25">
      <c r="B45" t="s">
        <v>185</v>
      </c>
      <c r="J45" s="28">
        <v>9.1999999999999998E-3</v>
      </c>
    </row>
    <row r="46" spans="1:11" x14ac:dyDescent="0.25">
      <c r="B46" s="7" t="s">
        <v>186</v>
      </c>
      <c r="J46" s="29">
        <f>SUM(J43:J45)</f>
        <v>5.1970000000000002E-2</v>
      </c>
    </row>
    <row r="47" spans="1:11" x14ac:dyDescent="0.25">
      <c r="B47" t="s">
        <v>183</v>
      </c>
      <c r="J47" s="28">
        <v>4.2770000000000002E-2</v>
      </c>
    </row>
    <row r="48" spans="1:11" x14ac:dyDescent="0.25">
      <c r="B48" t="s">
        <v>187</v>
      </c>
      <c r="J48" s="28">
        <v>0.88</v>
      </c>
    </row>
    <row r="49" spans="2:10" x14ac:dyDescent="0.25">
      <c r="B49" t="s">
        <v>188</v>
      </c>
      <c r="J49" s="28">
        <v>4.6100000000000002E-2</v>
      </c>
    </row>
    <row r="50" spans="2:10" x14ac:dyDescent="0.25">
      <c r="B50" s="7" t="s">
        <v>189</v>
      </c>
      <c r="J50" s="28">
        <f>J47+J49*J48</f>
        <v>8.3337999999999995E-2</v>
      </c>
    </row>
    <row r="51" spans="2:10" x14ac:dyDescent="0.25">
      <c r="B51" t="s">
        <v>190</v>
      </c>
      <c r="J51" s="11">
        <f>Main!I5/(Main!I7+Main!I5)</f>
        <v>0.98017253903574619</v>
      </c>
    </row>
    <row r="52" spans="2:10" x14ac:dyDescent="0.25">
      <c r="B52" t="s">
        <v>191</v>
      </c>
      <c r="J52" s="24">
        <f>1-J51</f>
        <v>1.9827460964253807E-2</v>
      </c>
    </row>
    <row r="53" spans="2:10" x14ac:dyDescent="0.25">
      <c r="B53" s="7" t="s">
        <v>182</v>
      </c>
      <c r="J53" s="28">
        <f>(J51*J50)+(J52*J49*(1-27%))</f>
        <v>8.2352872601991048E-2</v>
      </c>
    </row>
  </sheetData>
  <hyperlinks>
    <hyperlink ref="A1" location="Main!A1" display="Main" xr:uid="{C377B96E-0E67-4DA4-B18E-912187541FB1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9EC-DA42-4194-8DF3-F5F4BCFC7060}">
  <dimension ref="A1:V81"/>
  <sheetViews>
    <sheetView showGridLines="0" workbookViewId="0">
      <selection activeCell="A14" sqref="A14"/>
    </sheetView>
  </sheetViews>
  <sheetFormatPr defaultRowHeight="15" x14ac:dyDescent="0.25"/>
  <cols>
    <col min="1" max="1" width="4.7109375" bestFit="1" customWidth="1"/>
    <col min="21" max="22" width="8.85546875" bestFit="1" customWidth="1"/>
  </cols>
  <sheetData>
    <row r="1" spans="1:22" x14ac:dyDescent="0.25">
      <c r="A1" s="4" t="s">
        <v>8</v>
      </c>
    </row>
    <row r="3" spans="1:22" x14ac:dyDescent="0.25">
      <c r="A3" s="30" t="s">
        <v>10</v>
      </c>
      <c r="B3" s="31" t="s">
        <v>203</v>
      </c>
      <c r="C3" s="31"/>
      <c r="D3" s="31"/>
      <c r="E3" s="31"/>
      <c r="F3" s="31"/>
      <c r="G3" s="31"/>
      <c r="H3" s="31"/>
      <c r="I3" s="31"/>
      <c r="J3" s="31"/>
      <c r="K3" s="31" t="s">
        <v>204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x14ac:dyDescent="0.25">
      <c r="B4" t="s">
        <v>20</v>
      </c>
      <c r="D4" s="32">
        <v>2</v>
      </c>
      <c r="F4" t="s">
        <v>73</v>
      </c>
      <c r="H4" s="32">
        <v>2</v>
      </c>
      <c r="K4" s="7" t="s">
        <v>205</v>
      </c>
      <c r="O4" s="7" t="s">
        <v>206</v>
      </c>
      <c r="S4" s="7" t="s">
        <v>207</v>
      </c>
    </row>
    <row r="5" spans="1:22" x14ac:dyDescent="0.25">
      <c r="B5" t="s">
        <v>208</v>
      </c>
      <c r="D5" s="32">
        <v>2</v>
      </c>
      <c r="F5" t="s">
        <v>209</v>
      </c>
      <c r="H5" s="32">
        <v>2</v>
      </c>
      <c r="K5" t="s">
        <v>182</v>
      </c>
      <c r="M5" s="33">
        <f>Q5+1%</f>
        <v>9.2352872601991043E-2</v>
      </c>
      <c r="O5" t="s">
        <v>182</v>
      </c>
      <c r="Q5" s="33">
        <f>Ratios!J53</f>
        <v>8.2352872601991048E-2</v>
      </c>
      <c r="S5" t="s">
        <v>182</v>
      </c>
      <c r="U5" s="33">
        <f>Q5-1%</f>
        <v>7.2352872601991053E-2</v>
      </c>
    </row>
    <row r="6" spans="1:22" x14ac:dyDescent="0.25">
      <c r="B6" t="s">
        <v>210</v>
      </c>
      <c r="D6" s="32">
        <v>2</v>
      </c>
      <c r="F6" t="s">
        <v>211</v>
      </c>
      <c r="H6" s="32">
        <v>2</v>
      </c>
      <c r="K6" t="s">
        <v>212</v>
      </c>
      <c r="M6" s="33">
        <f>Q6-0.5%</f>
        <v>0.02</v>
      </c>
      <c r="O6" t="s">
        <v>212</v>
      </c>
      <c r="Q6" s="33">
        <v>2.5000000000000001E-2</v>
      </c>
      <c r="S6" t="s">
        <v>212</v>
      </c>
      <c r="U6" s="34">
        <f>Q6+0.5%</f>
        <v>3.0000000000000002E-2</v>
      </c>
    </row>
    <row r="7" spans="1:22" x14ac:dyDescent="0.25">
      <c r="B7" t="s">
        <v>182</v>
      </c>
      <c r="D7" s="32">
        <v>2</v>
      </c>
      <c r="F7" t="s">
        <v>212</v>
      </c>
      <c r="H7" s="32">
        <v>2</v>
      </c>
    </row>
    <row r="9" spans="1:22" x14ac:dyDescent="0.25">
      <c r="B9" t="s">
        <v>182</v>
      </c>
      <c r="D9" s="35">
        <f>CHOOSE(D7,M5,Q5,U5)</f>
        <v>8.2352872601991048E-2</v>
      </c>
      <c r="F9" t="s">
        <v>213</v>
      </c>
      <c r="H9" s="32">
        <f>Main!I3</f>
        <v>124.5</v>
      </c>
    </row>
    <row r="10" spans="1:22" x14ac:dyDescent="0.25">
      <c r="B10" t="s">
        <v>212</v>
      </c>
      <c r="D10" s="35">
        <f>CHOOSE(H7,M6,Q6,U6)</f>
        <v>2.5000000000000001E-2</v>
      </c>
      <c r="F10" t="s">
        <v>214</v>
      </c>
      <c r="H10" s="36">
        <f ca="1">V67</f>
        <v>93.492078121867308</v>
      </c>
      <c r="K10" t="s">
        <v>214</v>
      </c>
      <c r="M10" s="32">
        <v>42.6</v>
      </c>
      <c r="O10" t="s">
        <v>214</v>
      </c>
      <c r="Q10" s="32">
        <v>91.8</v>
      </c>
      <c r="S10" t="s">
        <v>214</v>
      </c>
      <c r="U10" s="32">
        <v>194.18</v>
      </c>
    </row>
    <row r="11" spans="1:22" x14ac:dyDescent="0.25">
      <c r="F11" t="s">
        <v>215</v>
      </c>
      <c r="H11" s="37">
        <f ca="1">H10/H9-1</f>
        <v>-0.24905961347897743</v>
      </c>
      <c r="K11" t="s">
        <v>215</v>
      </c>
      <c r="M11" s="37">
        <f>M10/H9-1</f>
        <v>-0.65783132530120481</v>
      </c>
      <c r="O11" t="s">
        <v>215</v>
      </c>
      <c r="Q11" s="37">
        <f>Q10/H9-1</f>
        <v>-0.26265060240963856</v>
      </c>
      <c r="S11" t="s">
        <v>215</v>
      </c>
      <c r="U11" s="37">
        <f>U10/H9-1</f>
        <v>0.55967871485943776</v>
      </c>
    </row>
    <row r="15" spans="1:22" ht="8.1" customHeight="1" x14ac:dyDescent="0.25">
      <c r="G15" s="38" t="s">
        <v>216</v>
      </c>
      <c r="H15" s="38" t="s">
        <v>216</v>
      </c>
      <c r="I15" s="38" t="s">
        <v>216</v>
      </c>
      <c r="J15" s="38" t="s">
        <v>216</v>
      </c>
      <c r="K15" s="38" t="s">
        <v>216</v>
      </c>
      <c r="L15" s="38" t="s">
        <v>216</v>
      </c>
      <c r="M15" s="38" t="s">
        <v>217</v>
      </c>
      <c r="N15" s="38" t="s">
        <v>217</v>
      </c>
      <c r="O15" s="38" t="s">
        <v>217</v>
      </c>
      <c r="P15" s="38" t="s">
        <v>217</v>
      </c>
      <c r="Q15" s="38" t="s">
        <v>217</v>
      </c>
      <c r="R15" s="38" t="s">
        <v>217</v>
      </c>
      <c r="S15" s="38" t="s">
        <v>217</v>
      </c>
      <c r="T15" s="38" t="s">
        <v>217</v>
      </c>
      <c r="U15" s="38" t="s">
        <v>217</v>
      </c>
      <c r="V15" s="38" t="s">
        <v>217</v>
      </c>
    </row>
    <row r="16" spans="1:22" x14ac:dyDescent="0.25">
      <c r="A16" s="30" t="s">
        <v>10</v>
      </c>
      <c r="B16" s="31" t="s">
        <v>218</v>
      </c>
      <c r="C16" s="31"/>
      <c r="D16" s="31"/>
      <c r="E16" s="31"/>
      <c r="F16" s="31"/>
      <c r="G16" s="31" t="s">
        <v>14</v>
      </c>
      <c r="H16" s="31" t="s">
        <v>15</v>
      </c>
      <c r="I16" s="31" t="s">
        <v>16</v>
      </c>
      <c r="J16" s="31" t="s">
        <v>17</v>
      </c>
      <c r="K16" s="31" t="s">
        <v>18</v>
      </c>
      <c r="L16" s="31" t="s">
        <v>19</v>
      </c>
      <c r="M16" s="31" t="s">
        <v>103</v>
      </c>
      <c r="N16" s="31" t="s">
        <v>195</v>
      </c>
      <c r="O16" s="31" t="s">
        <v>196</v>
      </c>
      <c r="P16" s="31" t="s">
        <v>198</v>
      </c>
      <c r="Q16" s="31" t="s">
        <v>197</v>
      </c>
      <c r="R16" s="31" t="s">
        <v>199</v>
      </c>
      <c r="S16" s="31" t="s">
        <v>200</v>
      </c>
      <c r="T16" s="31" t="s">
        <v>201</v>
      </c>
      <c r="U16" s="31" t="s">
        <v>202</v>
      </c>
      <c r="V16" s="31" t="s">
        <v>202</v>
      </c>
    </row>
    <row r="17" spans="1:22" x14ac:dyDescent="0.25">
      <c r="A17" s="30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x14ac:dyDescent="0.25">
      <c r="B18" t="s">
        <v>219</v>
      </c>
      <c r="G18" s="2">
        <f>Model!M18</f>
        <v>38972.934000000001</v>
      </c>
      <c r="H18" s="2">
        <f>Model!N18</f>
        <v>41717</v>
      </c>
      <c r="I18" s="2">
        <f>Model!O18</f>
        <v>32137</v>
      </c>
      <c r="J18" s="2">
        <f>Model!P18</f>
        <v>48550</v>
      </c>
      <c r="K18" s="2">
        <f>Model!Q18</f>
        <v>49936</v>
      </c>
      <c r="L18" s="2">
        <f>Model!R18</f>
        <v>54217</v>
      </c>
      <c r="M18" s="2">
        <f ca="1">L18*(1+M19)</f>
        <v>56360.000000000007</v>
      </c>
      <c r="N18" s="2">
        <f ca="1">M18*(1+N19)</f>
        <v>62343.088527015905</v>
      </c>
      <c r="O18" s="2">
        <f t="shared" ref="O18:R18" ca="1" si="0">N18*(1+O19)</f>
        <v>67096.754545409465</v>
      </c>
      <c r="P18" s="2">
        <f t="shared" ca="1" si="0"/>
        <v>72222.205388934031</v>
      </c>
      <c r="Q18" s="2">
        <f t="shared" ca="1" si="0"/>
        <v>77748.845841683171</v>
      </c>
      <c r="R18" s="2">
        <f t="shared" ca="1" si="0"/>
        <v>83631.01648508168</v>
      </c>
      <c r="S18" s="2">
        <f t="shared" ref="S18" ca="1" si="1">R18*(1+S19)</f>
        <v>88280.017121589146</v>
      </c>
      <c r="T18" s="2">
        <f t="shared" ref="T18" ca="1" si="2">S18*(1+T19)</f>
        <v>92679.280098012896</v>
      </c>
      <c r="U18" s="2">
        <f t="shared" ref="U18:V18" ca="1" si="3">T18*(1+U19)</f>
        <v>96369.423767119893</v>
      </c>
      <c r="V18" s="2">
        <f t="shared" ca="1" si="3"/>
        <v>100158.80350125568</v>
      </c>
    </row>
    <row r="19" spans="1:22" x14ac:dyDescent="0.25">
      <c r="B19" t="s">
        <v>220</v>
      </c>
      <c r="H19" s="11">
        <f>H18/G18-1</f>
        <v>7.0409530881098137E-2</v>
      </c>
      <c r="I19" s="11">
        <f t="shared" ref="I19:L19" si="4">I18/H18-1</f>
        <v>-0.22964259174916701</v>
      </c>
      <c r="J19" s="11">
        <f t="shared" si="4"/>
        <v>0.51071973115100966</v>
      </c>
      <c r="K19" s="11">
        <f t="shared" si="4"/>
        <v>2.854788877445924E-2</v>
      </c>
      <c r="L19" s="11">
        <f t="shared" si="4"/>
        <v>8.5729734059596385E-2</v>
      </c>
      <c r="M19" s="11" cm="1">
        <f t="array" aca="1" ref="M19" ca="1">OFFSET(M19,$D$4,,)</f>
        <v>3.9526347824483166E-2</v>
      </c>
      <c r="N19" s="11" cm="1">
        <f t="array" aca="1" ref="N19" ca="1">OFFSET(N19,$D$4,,)</f>
        <v>0.10615841957089955</v>
      </c>
      <c r="O19" s="11" cm="1">
        <f t="array" aca="1" ref="O19" ca="1">OFFSET(O19,$D$4,,)</f>
        <v>7.625008851355819E-2</v>
      </c>
      <c r="P19" s="11" cm="1">
        <f t="array" aca="1" ref="P19" ca="1">OFFSET(P19,$D$4,,)</f>
        <v>7.6388953210185129E-2</v>
      </c>
      <c r="Q19" s="11" cm="1">
        <f t="array" aca="1" ref="Q19" ca="1">OFFSET(Q19,$D$4,,)</f>
        <v>7.6522731796776933E-2</v>
      </c>
      <c r="R19" s="11" cm="1">
        <f t="array" aca="1" ref="R19" ca="1">OFFSET(R19,$D$4,,)</f>
        <v>7.5656050964102217E-2</v>
      </c>
      <c r="S19" s="11" cm="1">
        <f t="array" aca="1" ref="S19" ca="1">OFFSET(S19,$D$4,,)</f>
        <v>5.5589431193111993E-2</v>
      </c>
      <c r="T19" s="11" cm="1">
        <f t="array" aca="1" ref="T19" ca="1">OFFSET(T19,$D$4,,)</f>
        <v>4.9833055314937091E-2</v>
      </c>
      <c r="U19" s="11" cm="1">
        <f t="array" aca="1" ref="U19" ca="1">OFFSET(U19,$D$4,,)</f>
        <v>3.9816274632307191E-2</v>
      </c>
      <c r="V19" s="11" cm="1">
        <f t="array" aca="1" ref="V19" ca="1">OFFSET(V19,$D$4,,)</f>
        <v>3.932139039549476E-2</v>
      </c>
    </row>
    <row r="20" spans="1:22" x14ac:dyDescent="0.25">
      <c r="B20" s="40" t="s">
        <v>221</v>
      </c>
      <c r="H20" s="11"/>
      <c r="I20" s="11"/>
      <c r="J20" s="11"/>
      <c r="K20" s="11"/>
      <c r="L20" s="11"/>
      <c r="M20" s="41">
        <f>M21-1%</f>
        <v>2.9526347824483164E-2</v>
      </c>
      <c r="N20" s="41">
        <f t="shared" ref="N20:V20" si="5">N21-1%</f>
        <v>9.6158419570899559E-2</v>
      </c>
      <c r="O20" s="41">
        <f t="shared" si="5"/>
        <v>6.6250088513558195E-2</v>
      </c>
      <c r="P20" s="41">
        <f t="shared" si="5"/>
        <v>6.6388953210185134E-2</v>
      </c>
      <c r="Q20" s="41">
        <f t="shared" si="5"/>
        <v>6.6522731796776938E-2</v>
      </c>
      <c r="R20" s="41">
        <f t="shared" si="5"/>
        <v>6.5656050964102222E-2</v>
      </c>
      <c r="S20" s="41">
        <f t="shared" si="5"/>
        <v>4.5589431193111991E-2</v>
      </c>
      <c r="T20" s="41">
        <f t="shared" si="5"/>
        <v>3.9833055314937089E-2</v>
      </c>
      <c r="U20" s="41">
        <f t="shared" si="5"/>
        <v>2.9816274632307189E-2</v>
      </c>
      <c r="V20" s="41">
        <f t="shared" si="5"/>
        <v>2.9321390395494758E-2</v>
      </c>
    </row>
    <row r="21" spans="1:22" x14ac:dyDescent="0.25">
      <c r="B21" s="40" t="s">
        <v>206</v>
      </c>
      <c r="H21" s="11"/>
      <c r="I21" s="11"/>
      <c r="J21" s="11"/>
      <c r="K21" s="11"/>
      <c r="L21" s="11"/>
      <c r="M21" s="41">
        <f>Model!S41</f>
        <v>3.9526347824483166E-2</v>
      </c>
      <c r="N21" s="41">
        <f>Model!T41</f>
        <v>0.10615841957089955</v>
      </c>
      <c r="O21" s="41">
        <f>Model!U41</f>
        <v>7.625008851355819E-2</v>
      </c>
      <c r="P21" s="41">
        <f>Model!V41</f>
        <v>7.6388953210185129E-2</v>
      </c>
      <c r="Q21" s="41">
        <f>Model!W41</f>
        <v>7.6522731796776933E-2</v>
      </c>
      <c r="R21" s="41">
        <f>Model!X41</f>
        <v>7.5656050964102217E-2</v>
      </c>
      <c r="S21" s="41">
        <f>Model!Y41</f>
        <v>5.5589431193111993E-2</v>
      </c>
      <c r="T21" s="41">
        <f>Model!Z41</f>
        <v>4.9833055314937091E-2</v>
      </c>
      <c r="U21" s="41">
        <f>Model!AA41</f>
        <v>3.9816274632307191E-2</v>
      </c>
      <c r="V21" s="41">
        <f>Model!AB41</f>
        <v>3.932139039549476E-2</v>
      </c>
    </row>
    <row r="22" spans="1:22" x14ac:dyDescent="0.25">
      <c r="B22" s="40" t="s">
        <v>222</v>
      </c>
      <c r="H22" s="11"/>
      <c r="I22" s="11"/>
      <c r="J22" s="11"/>
      <c r="K22" s="11"/>
      <c r="L22" s="11"/>
      <c r="M22" s="41">
        <f>M21+2%</f>
        <v>5.952634782448317E-2</v>
      </c>
      <c r="N22" s="41">
        <f t="shared" ref="N22:V22" si="6">N21+2%</f>
        <v>0.12615841957089954</v>
      </c>
      <c r="O22" s="41">
        <f t="shared" si="6"/>
        <v>9.6250088513558194E-2</v>
      </c>
      <c r="P22" s="41">
        <f t="shared" si="6"/>
        <v>9.6388953210185133E-2</v>
      </c>
      <c r="Q22" s="41">
        <f t="shared" si="6"/>
        <v>9.6522731796776937E-2</v>
      </c>
      <c r="R22" s="41">
        <f t="shared" si="6"/>
        <v>9.5656050964102221E-2</v>
      </c>
      <c r="S22" s="41">
        <f t="shared" si="6"/>
        <v>7.5589431193111997E-2</v>
      </c>
      <c r="T22" s="41">
        <f t="shared" si="6"/>
        <v>6.9833055314937095E-2</v>
      </c>
      <c r="U22" s="41">
        <f t="shared" si="6"/>
        <v>5.9816274632307195E-2</v>
      </c>
      <c r="V22" s="41">
        <f t="shared" si="6"/>
        <v>5.9321390395494764E-2</v>
      </c>
    </row>
    <row r="24" spans="1:22" x14ac:dyDescent="0.25">
      <c r="B24" t="s">
        <v>208</v>
      </c>
      <c r="G24" s="2">
        <f>Model!M22</f>
        <v>4218.1930000000011</v>
      </c>
      <c r="H24" s="2">
        <f>Model!N22</f>
        <v>4416.2320000000009</v>
      </c>
      <c r="I24" s="2">
        <f>Model!O22</f>
        <v>582.26800000000094</v>
      </c>
      <c r="J24" s="2">
        <f>Model!P22</f>
        <v>4755</v>
      </c>
      <c r="K24" s="2">
        <f>Model!Q22</f>
        <v>4860</v>
      </c>
      <c r="L24" s="2">
        <f>Model!R22</f>
        <v>5797</v>
      </c>
      <c r="M24" s="2">
        <f ca="1">M25*M18</f>
        <v>6199.6000000000013</v>
      </c>
      <c r="N24" s="2">
        <f ca="1">N25*N18</f>
        <v>7013.5974592892899</v>
      </c>
      <c r="O24" s="2">
        <f t="shared" ref="O24:V24" ca="1" si="7">O25*O18</f>
        <v>7716.1267727220884</v>
      </c>
      <c r="P24" s="2">
        <f t="shared" ca="1" si="7"/>
        <v>8486.1091331997486</v>
      </c>
      <c r="Q24" s="2">
        <f t="shared" ca="1" si="7"/>
        <v>9329.8615010019803</v>
      </c>
      <c r="R24" s="2">
        <f t="shared" ca="1" si="7"/>
        <v>10244.799519422506</v>
      </c>
      <c r="S24" s="2">
        <f t="shared" ca="1" si="7"/>
        <v>11035.002140198643</v>
      </c>
      <c r="T24" s="2">
        <f t="shared" ca="1" si="7"/>
        <v>11816.608212496645</v>
      </c>
      <c r="U24" s="2">
        <f t="shared" ca="1" si="7"/>
        <v>12528.025089725586</v>
      </c>
      <c r="V24" s="2">
        <f t="shared" ca="1" si="7"/>
        <v>13020.644455163239</v>
      </c>
    </row>
    <row r="25" spans="1:22" x14ac:dyDescent="0.25">
      <c r="B25" t="s">
        <v>223</v>
      </c>
      <c r="G25" s="11">
        <f>G24/G18</f>
        <v>0.10823390920478301</v>
      </c>
      <c r="H25" s="11">
        <f t="shared" ref="H25:L25" si="8">H24/H18</f>
        <v>0.10586168708200495</v>
      </c>
      <c r="I25" s="11">
        <f t="shared" si="8"/>
        <v>1.8118306002427139E-2</v>
      </c>
      <c r="J25" s="11">
        <f t="shared" si="8"/>
        <v>9.794026776519052E-2</v>
      </c>
      <c r="K25" s="11">
        <f t="shared" si="8"/>
        <v>9.7324575456584433E-2</v>
      </c>
      <c r="L25" s="11">
        <f t="shared" si="8"/>
        <v>0.10692218307910803</v>
      </c>
      <c r="M25" s="11" cm="1">
        <f t="array" aca="1" ref="M25" ca="1">OFFSET(M25,$D$5,,)</f>
        <v>0.11</v>
      </c>
      <c r="N25" s="11" cm="1">
        <f t="array" aca="1" ref="N25" ca="1">OFFSET(N25,$D$5,,)</f>
        <v>0.1125</v>
      </c>
      <c r="O25" s="11" cm="1">
        <f t="array" aca="1" ref="O25" ca="1">OFFSET(O25,$D$5,,)</f>
        <v>0.115</v>
      </c>
      <c r="P25" s="11" cm="1">
        <f t="array" aca="1" ref="P25" ca="1">OFFSET(P25,$D$5,,)</f>
        <v>0.11749999999999999</v>
      </c>
      <c r="Q25" s="11" cm="1">
        <f t="array" aca="1" ref="Q25" ca="1">OFFSET(Q25,$D$5,,)</f>
        <v>0.12</v>
      </c>
      <c r="R25" s="11" cm="1">
        <f t="array" aca="1" ref="R25" ca="1">OFFSET(R25,$D$5,,)</f>
        <v>0.1225</v>
      </c>
      <c r="S25" s="11" cm="1">
        <f t="array" aca="1" ref="S25" ca="1">OFFSET(S25,$D$5,,)</f>
        <v>0.125</v>
      </c>
      <c r="T25" s="11" cm="1">
        <f t="array" aca="1" ref="T25" ca="1">OFFSET(T25,$D$5,,)</f>
        <v>0.1275</v>
      </c>
      <c r="U25" s="11" cm="1">
        <f t="array" aca="1" ref="U25" ca="1">OFFSET(U25,$D$5,,)</f>
        <v>0.13</v>
      </c>
      <c r="V25" s="11" cm="1">
        <f t="array" aca="1" ref="V25" ca="1">OFFSET(V25,$D$5,,)</f>
        <v>0.13</v>
      </c>
    </row>
    <row r="26" spans="1:22" x14ac:dyDescent="0.25">
      <c r="B26" s="40" t="s">
        <v>221</v>
      </c>
      <c r="M26" s="41">
        <f>M27-1%</f>
        <v>0.1</v>
      </c>
      <c r="N26" s="41">
        <f t="shared" ref="N26:V26" si="9">N27-1%</f>
        <v>0.10250000000000001</v>
      </c>
      <c r="O26" s="41">
        <f t="shared" si="9"/>
        <v>0.10500000000000001</v>
      </c>
      <c r="P26" s="41">
        <f t="shared" si="9"/>
        <v>0.1075</v>
      </c>
      <c r="Q26" s="41">
        <f t="shared" si="9"/>
        <v>0.11</v>
      </c>
      <c r="R26" s="41">
        <f t="shared" si="9"/>
        <v>0.1125</v>
      </c>
      <c r="S26" s="41">
        <f t="shared" si="9"/>
        <v>0.115</v>
      </c>
      <c r="T26" s="41">
        <f t="shared" si="9"/>
        <v>0.11750000000000001</v>
      </c>
      <c r="U26" s="41">
        <f t="shared" si="9"/>
        <v>0.12000000000000001</v>
      </c>
      <c r="V26" s="41">
        <f t="shared" si="9"/>
        <v>0.12000000000000001</v>
      </c>
    </row>
    <row r="27" spans="1:22" x14ac:dyDescent="0.25">
      <c r="B27" s="40" t="s">
        <v>206</v>
      </c>
      <c r="M27" s="41">
        <v>0.11</v>
      </c>
      <c r="N27" s="41">
        <v>0.1125</v>
      </c>
      <c r="O27" s="41">
        <v>0.115</v>
      </c>
      <c r="P27" s="41">
        <v>0.11749999999999999</v>
      </c>
      <c r="Q27" s="41">
        <v>0.12</v>
      </c>
      <c r="R27" s="41">
        <v>0.1225</v>
      </c>
      <c r="S27" s="41">
        <v>0.125</v>
      </c>
      <c r="T27" s="41">
        <v>0.1275</v>
      </c>
      <c r="U27" s="41">
        <v>0.13</v>
      </c>
      <c r="V27" s="41">
        <v>0.13</v>
      </c>
    </row>
    <row r="28" spans="1:22" x14ac:dyDescent="0.25">
      <c r="B28" s="40" t="s">
        <v>222</v>
      </c>
      <c r="M28" s="41">
        <f>M27+1%</f>
        <v>0.12</v>
      </c>
      <c r="N28" s="41">
        <f t="shared" ref="N28:U28" si="10">N27+1%</f>
        <v>0.1225</v>
      </c>
      <c r="O28" s="41">
        <f t="shared" si="10"/>
        <v>0.125</v>
      </c>
      <c r="P28" s="41">
        <f t="shared" si="10"/>
        <v>0.1275</v>
      </c>
      <c r="Q28" s="41">
        <f t="shared" si="10"/>
        <v>0.13</v>
      </c>
      <c r="R28" s="41">
        <f t="shared" si="10"/>
        <v>0.13250000000000001</v>
      </c>
      <c r="S28" s="41">
        <f t="shared" si="10"/>
        <v>0.13500000000000001</v>
      </c>
      <c r="T28" s="41">
        <f t="shared" si="10"/>
        <v>0.13750000000000001</v>
      </c>
      <c r="U28" s="41">
        <f t="shared" si="10"/>
        <v>0.14000000000000001</v>
      </c>
      <c r="V28" s="41">
        <f t="shared" ref="V28" si="11">V27+1%</f>
        <v>0.14000000000000001</v>
      </c>
    </row>
    <row r="30" spans="1:22" x14ac:dyDescent="0.25">
      <c r="B30" t="s">
        <v>210</v>
      </c>
      <c r="G30" s="2">
        <f>Model!M26</f>
        <v>1113.413</v>
      </c>
      <c r="H30" s="2">
        <f>Model!N26</f>
        <v>1133.99</v>
      </c>
      <c r="I30" s="2">
        <f>Model!O26</f>
        <v>-1.2070000000000001</v>
      </c>
      <c r="J30" s="2">
        <f>Model!P26</f>
        <v>1115</v>
      </c>
      <c r="K30" s="2">
        <f>Model!Q26</f>
        <v>1138</v>
      </c>
      <c r="L30" s="2">
        <f>Model!R26</f>
        <v>1493</v>
      </c>
      <c r="M30" s="2">
        <f ca="1">M31*M24</f>
        <v>1611.8960000000004</v>
      </c>
      <c r="N30" s="2">
        <f ca="1">N31*N24</f>
        <v>1823.5353394152155</v>
      </c>
      <c r="O30" s="2">
        <f t="shared" ref="O30:U30" ca="1" si="12">O31*O24</f>
        <v>2006.1929609077431</v>
      </c>
      <c r="P30" s="2">
        <f t="shared" ca="1" si="12"/>
        <v>2206.3883746319348</v>
      </c>
      <c r="Q30" s="2">
        <f t="shared" ca="1" si="12"/>
        <v>2425.7639902605151</v>
      </c>
      <c r="R30" s="2">
        <f t="shared" ca="1" si="12"/>
        <v>2663.6478750498518</v>
      </c>
      <c r="S30" s="2">
        <f t="shared" ca="1" si="12"/>
        <v>2869.1005564516472</v>
      </c>
      <c r="T30" s="2">
        <f t="shared" ca="1" si="12"/>
        <v>3072.3181352491279</v>
      </c>
      <c r="U30" s="2">
        <f t="shared" ca="1" si="12"/>
        <v>2505.6050179451177</v>
      </c>
      <c r="V30" s="2">
        <f t="shared" ref="V30" ca="1" si="13">V31*V24</f>
        <v>2604.128891032648</v>
      </c>
    </row>
    <row r="31" spans="1:22" x14ac:dyDescent="0.25">
      <c r="B31" t="s">
        <v>224</v>
      </c>
      <c r="G31" s="11">
        <f t="shared" ref="G31:L31" si="14">G30/G24</f>
        <v>0.26395496839523458</v>
      </c>
      <c r="H31" s="11">
        <f t="shared" si="14"/>
        <v>0.25677772363408441</v>
      </c>
      <c r="I31" s="11">
        <f t="shared" si="14"/>
        <v>-2.0729286170629302E-3</v>
      </c>
      <c r="J31" s="11">
        <f t="shared" si="14"/>
        <v>0.23449001051524712</v>
      </c>
      <c r="K31" s="11">
        <f t="shared" si="14"/>
        <v>0.23415637860082306</v>
      </c>
      <c r="L31" s="11">
        <f t="shared" si="14"/>
        <v>0.25754700707262379</v>
      </c>
      <c r="M31" s="11" cm="1">
        <f t="array" aca="1" ref="M31" ca="1">OFFSET(M31,$D$6,,)</f>
        <v>0.26</v>
      </c>
      <c r="N31" s="11" cm="1">
        <f t="array" aca="1" ref="N31" ca="1">OFFSET(N31,$D$6,,)</f>
        <v>0.26</v>
      </c>
      <c r="O31" s="11" cm="1">
        <f t="array" aca="1" ref="O31" ca="1">OFFSET(O31,$D$6,,)</f>
        <v>0.26</v>
      </c>
      <c r="P31" s="11" cm="1">
        <f t="array" aca="1" ref="P31" ca="1">OFFSET(P31,$D$6,,)</f>
        <v>0.26</v>
      </c>
      <c r="Q31" s="11" cm="1">
        <f t="array" aca="1" ref="Q31" ca="1">OFFSET(Q31,$D$6,,)</f>
        <v>0.26</v>
      </c>
      <c r="R31" s="11" cm="1">
        <f t="array" aca="1" ref="R31" ca="1">OFFSET(R31,$D$6,,)</f>
        <v>0.26</v>
      </c>
      <c r="S31" s="11" cm="1">
        <f t="array" aca="1" ref="S31" ca="1">OFFSET(S31,$D$6,,)</f>
        <v>0.26</v>
      </c>
      <c r="T31" s="11" cm="1">
        <f t="array" aca="1" ref="T31" ca="1">OFFSET(T31,$D$6,,)</f>
        <v>0.26</v>
      </c>
      <c r="U31" s="11" cm="1">
        <f t="array" aca="1" ref="U31" ca="1">OFFSET(U31,$D$6,,)</f>
        <v>0.2</v>
      </c>
      <c r="V31" s="11" cm="1">
        <f t="array" aca="1" ref="V31" ca="1">OFFSET(V31,$D$6,,)</f>
        <v>0.2</v>
      </c>
    </row>
    <row r="32" spans="1:22" x14ac:dyDescent="0.25">
      <c r="B32" s="40" t="s">
        <v>221</v>
      </c>
      <c r="M32" s="41">
        <f>M33+2%</f>
        <v>0.28000000000000003</v>
      </c>
      <c r="N32" s="41">
        <f>N33+2%</f>
        <v>0.28000000000000003</v>
      </c>
      <c r="O32" s="41">
        <v>0.15</v>
      </c>
      <c r="P32" s="41">
        <v>0.17</v>
      </c>
      <c r="Q32" s="41">
        <v>0.19</v>
      </c>
      <c r="R32" s="41">
        <v>0.2</v>
      </c>
      <c r="S32" s="41">
        <v>0.2</v>
      </c>
      <c r="T32" s="41">
        <v>0.2</v>
      </c>
      <c r="U32" s="41">
        <v>0.2</v>
      </c>
      <c r="V32" s="41">
        <v>0.2</v>
      </c>
    </row>
    <row r="33" spans="2:22" x14ac:dyDescent="0.25">
      <c r="B33" s="40" t="s">
        <v>206</v>
      </c>
      <c r="M33" s="41">
        <v>0.26</v>
      </c>
      <c r="N33" s="41">
        <v>0.26</v>
      </c>
      <c r="O33" s="41">
        <v>0.26</v>
      </c>
      <c r="P33" s="41">
        <v>0.26</v>
      </c>
      <c r="Q33" s="41">
        <v>0.26</v>
      </c>
      <c r="R33" s="41">
        <v>0.26</v>
      </c>
      <c r="S33" s="41">
        <v>0.26</v>
      </c>
      <c r="T33" s="41">
        <v>0.26</v>
      </c>
      <c r="U33" s="41">
        <v>0.2</v>
      </c>
      <c r="V33" s="41">
        <v>0.2</v>
      </c>
    </row>
    <row r="34" spans="2:22" x14ac:dyDescent="0.25">
      <c r="B34" s="40" t="s">
        <v>222</v>
      </c>
      <c r="M34" s="41">
        <f>M33-2%</f>
        <v>0.24000000000000002</v>
      </c>
      <c r="N34" s="41">
        <f t="shared" ref="N34:T34" si="15">N33-2%</f>
        <v>0.24000000000000002</v>
      </c>
      <c r="O34" s="41">
        <f t="shared" si="15"/>
        <v>0.24000000000000002</v>
      </c>
      <c r="P34" s="41">
        <f t="shared" si="15"/>
        <v>0.24000000000000002</v>
      </c>
      <c r="Q34" s="41">
        <f t="shared" si="15"/>
        <v>0.24000000000000002</v>
      </c>
      <c r="R34" s="41">
        <f t="shared" si="15"/>
        <v>0.24000000000000002</v>
      </c>
      <c r="S34" s="41">
        <f t="shared" si="15"/>
        <v>0.24000000000000002</v>
      </c>
      <c r="T34" s="41">
        <f t="shared" si="15"/>
        <v>0.24000000000000002</v>
      </c>
      <c r="U34" s="41">
        <v>0.2</v>
      </c>
      <c r="V34" s="41">
        <v>0.2</v>
      </c>
    </row>
    <row r="36" spans="2:22" x14ac:dyDescent="0.25">
      <c r="B36" s="42" t="s">
        <v>225</v>
      </c>
      <c r="C36" s="43"/>
      <c r="D36" s="43"/>
      <c r="E36" s="43"/>
      <c r="F36" s="43"/>
      <c r="G36" s="44">
        <f t="shared" ref="G36:P36" si="16">G24-G30</f>
        <v>3104.7800000000011</v>
      </c>
      <c r="H36" s="44">
        <f t="shared" si="16"/>
        <v>3282.2420000000011</v>
      </c>
      <c r="I36" s="44">
        <f t="shared" si="16"/>
        <v>583.47500000000093</v>
      </c>
      <c r="J36" s="44">
        <f t="shared" si="16"/>
        <v>3640</v>
      </c>
      <c r="K36" s="44">
        <f t="shared" si="16"/>
        <v>3722</v>
      </c>
      <c r="L36" s="44">
        <f t="shared" si="16"/>
        <v>4304</v>
      </c>
      <c r="M36" s="44">
        <f t="shared" ca="1" si="16"/>
        <v>4587.7040000000006</v>
      </c>
      <c r="N36" s="44">
        <f t="shared" ca="1" si="16"/>
        <v>5190.0621198740746</v>
      </c>
      <c r="O36" s="44">
        <f t="shared" ca="1" si="16"/>
        <v>5709.9338118143451</v>
      </c>
      <c r="P36" s="44">
        <f t="shared" ca="1" si="16"/>
        <v>6279.7207585678134</v>
      </c>
      <c r="Q36" s="44">
        <f ca="1">Q24-Q30</f>
        <v>6904.0975107414652</v>
      </c>
      <c r="R36" s="44">
        <f ca="1">R24-R30</f>
        <v>7581.1516443726541</v>
      </c>
      <c r="S36" s="44">
        <f t="shared" ref="S36:V36" ca="1" si="17">S24-S30</f>
        <v>8165.901583746996</v>
      </c>
      <c r="T36" s="44">
        <f t="shared" ca="1" si="17"/>
        <v>8744.2900772475168</v>
      </c>
      <c r="U36" s="44">
        <f t="shared" ca="1" si="17"/>
        <v>10022.420071780469</v>
      </c>
      <c r="V36" s="45">
        <f t="shared" ca="1" si="17"/>
        <v>10416.515564130592</v>
      </c>
    </row>
    <row r="38" spans="2:22" x14ac:dyDescent="0.25">
      <c r="B38" t="s">
        <v>73</v>
      </c>
      <c r="G38" s="2">
        <f>Model!M90</f>
        <v>819.65499999999997</v>
      </c>
      <c r="H38" s="2">
        <f>Model!N90</f>
        <v>867.303</v>
      </c>
      <c r="I38" s="2">
        <f>Model!O90</f>
        <v>870.75800000000004</v>
      </c>
      <c r="J38" s="2">
        <f>Model!P90</f>
        <v>868</v>
      </c>
      <c r="K38" s="2">
        <f>Model!Q90</f>
        <v>887</v>
      </c>
      <c r="L38" s="2">
        <f>Model!R90</f>
        <v>964</v>
      </c>
      <c r="M38" s="2">
        <f ca="1">M39*M18</f>
        <v>1014.48</v>
      </c>
      <c r="N38" s="2">
        <f ca="1">N39*N18</f>
        <v>1099.7320816165604</v>
      </c>
      <c r="O38" s="2">
        <f t="shared" ref="O38:U38" ca="1" si="18">O39*O18</f>
        <v>1159.9150151774024</v>
      </c>
      <c r="P38" s="2">
        <f t="shared" ca="1" si="18"/>
        <v>1223.5493148195885</v>
      </c>
      <c r="Q38" s="2">
        <f t="shared" ca="1" si="18"/>
        <v>1290.8350778601048</v>
      </c>
      <c r="R38" s="2">
        <f t="shared" ca="1" si="18"/>
        <v>1360.7246710510012</v>
      </c>
      <c r="S38" s="2">
        <f t="shared" ca="1" si="18"/>
        <v>1407.6392498946575</v>
      </c>
      <c r="T38" s="2">
        <f t="shared" ca="1" si="18"/>
        <v>1448.2304902081719</v>
      </c>
      <c r="U38" s="2">
        <f t="shared" ca="1" si="18"/>
        <v>1475.7757604744377</v>
      </c>
      <c r="V38" s="2">
        <f t="shared" ref="V38" ca="1" si="19">V39*V18</f>
        <v>1503.1292089824958</v>
      </c>
    </row>
    <row r="39" spans="2:22" x14ac:dyDescent="0.25">
      <c r="B39" t="s">
        <v>223</v>
      </c>
      <c r="G39" s="46">
        <f t="shared" ref="G39:K39" si="20">G38/G18</f>
        <v>2.1031390656910766E-2</v>
      </c>
      <c r="H39" s="46">
        <f t="shared" si="20"/>
        <v>2.0790157489752378E-2</v>
      </c>
      <c r="I39" s="46">
        <f t="shared" si="20"/>
        <v>2.7095186233935961E-2</v>
      </c>
      <c r="J39" s="46">
        <f t="shared" si="20"/>
        <v>1.7878475798146241E-2</v>
      </c>
      <c r="K39" s="46">
        <f t="shared" si="20"/>
        <v>1.7762736302467157E-2</v>
      </c>
      <c r="L39" s="46">
        <f>L38/L18</f>
        <v>1.7780400981242044E-2</v>
      </c>
      <c r="M39" s="47" cm="1">
        <f t="array" aca="1" ref="M39" ca="1">OFFSET(M39,$H$4,,)</f>
        <v>1.7999999999999999E-2</v>
      </c>
      <c r="N39" s="47" cm="1">
        <f t="array" aca="1" ref="N39" ca="1">OFFSET(N39,$H$4,,)</f>
        <v>1.7639999999999999E-2</v>
      </c>
      <c r="O39" s="47" cm="1">
        <f t="array" aca="1" ref="O39" ca="1">OFFSET(O39,$H$4,,)</f>
        <v>1.7287199999999999E-2</v>
      </c>
      <c r="P39" s="47" cm="1">
        <f t="array" aca="1" ref="P39" ca="1">OFFSET(P39,$H$4,,)</f>
        <v>1.6941455999999997E-2</v>
      </c>
      <c r="Q39" s="47" cm="1">
        <f t="array" aca="1" ref="Q39" ca="1">OFFSET(Q39,$H$4,,)</f>
        <v>1.6602626879999995E-2</v>
      </c>
      <c r="R39" s="47" cm="1">
        <f t="array" aca="1" ref="R39" ca="1">OFFSET(R39,$H$4,,)</f>
        <v>1.6270574342399997E-2</v>
      </c>
      <c r="S39" s="47" cm="1">
        <f t="array" aca="1" ref="S39" ca="1">OFFSET(S39,$H$4,,)</f>
        <v>1.5945162855551996E-2</v>
      </c>
      <c r="T39" s="47" cm="1">
        <f t="array" aca="1" ref="T39" ca="1">OFFSET(T39,$H$4,,)</f>
        <v>1.5626259598440956E-2</v>
      </c>
      <c r="U39" s="47" cm="1">
        <f t="array" aca="1" ref="U39" ca="1">OFFSET(U39,$H$4,,)</f>
        <v>1.5313734406472138E-2</v>
      </c>
      <c r="V39" s="47" cm="1">
        <f t="array" aca="1" ref="V39" ca="1">OFFSET(V39,$H$4,,)</f>
        <v>1.5007459718342695E-2</v>
      </c>
    </row>
    <row r="40" spans="2:22" x14ac:dyDescent="0.25">
      <c r="B40" s="40" t="s">
        <v>221</v>
      </c>
      <c r="M40" s="41">
        <f>M41-0.2%</f>
        <v>1.6E-2</v>
      </c>
      <c r="N40" s="41">
        <f t="shared" ref="N40:V40" si="21">N41-0.2%</f>
        <v>1.5640000000000001E-2</v>
      </c>
      <c r="O40" s="41">
        <f t="shared" si="21"/>
        <v>1.5287199999999999E-2</v>
      </c>
      <c r="P40" s="41">
        <f t="shared" si="21"/>
        <v>1.4941455999999997E-2</v>
      </c>
      <c r="Q40" s="41">
        <f t="shared" si="21"/>
        <v>1.4602626879999995E-2</v>
      </c>
      <c r="R40" s="41">
        <f t="shared" si="21"/>
        <v>1.4270574342399997E-2</v>
      </c>
      <c r="S40" s="41">
        <f t="shared" si="21"/>
        <v>1.3945162855551996E-2</v>
      </c>
      <c r="T40" s="41">
        <f t="shared" si="21"/>
        <v>1.3626259598440956E-2</v>
      </c>
      <c r="U40" s="41">
        <f t="shared" si="21"/>
        <v>1.3313734406472138E-2</v>
      </c>
      <c r="V40" s="41">
        <f t="shared" si="21"/>
        <v>1.3007459718342695E-2</v>
      </c>
    </row>
    <row r="41" spans="2:22" x14ac:dyDescent="0.25">
      <c r="B41" s="40" t="s">
        <v>206</v>
      </c>
      <c r="M41" s="41">
        <v>1.7999999999999999E-2</v>
      </c>
      <c r="N41" s="41">
        <f>M41*0.98</f>
        <v>1.7639999999999999E-2</v>
      </c>
      <c r="O41" s="41">
        <f t="shared" ref="O41:U41" si="22">N41*0.98</f>
        <v>1.7287199999999999E-2</v>
      </c>
      <c r="P41" s="41">
        <f t="shared" si="22"/>
        <v>1.6941455999999997E-2</v>
      </c>
      <c r="Q41" s="41">
        <f t="shared" si="22"/>
        <v>1.6602626879999995E-2</v>
      </c>
      <c r="R41" s="41">
        <f t="shared" si="22"/>
        <v>1.6270574342399997E-2</v>
      </c>
      <c r="S41" s="41">
        <f t="shared" si="22"/>
        <v>1.5945162855551996E-2</v>
      </c>
      <c r="T41" s="41">
        <f t="shared" si="22"/>
        <v>1.5626259598440956E-2</v>
      </c>
      <c r="U41" s="41">
        <f t="shared" si="22"/>
        <v>1.5313734406472138E-2</v>
      </c>
      <c r="V41" s="41">
        <f t="shared" ref="V41" si="23">U41*0.98</f>
        <v>1.5007459718342695E-2</v>
      </c>
    </row>
    <row r="42" spans="2:22" x14ac:dyDescent="0.25">
      <c r="B42" s="40" t="s">
        <v>222</v>
      </c>
      <c r="M42" s="41">
        <f>M41+0.2%</f>
        <v>1.9999999999999997E-2</v>
      </c>
      <c r="N42" s="41">
        <f t="shared" ref="N42:U42" si="24">N41+0.2%</f>
        <v>1.9639999999999998E-2</v>
      </c>
      <c r="O42" s="41">
        <f t="shared" si="24"/>
        <v>1.9287199999999997E-2</v>
      </c>
      <c r="P42" s="41">
        <f t="shared" si="24"/>
        <v>1.8941455999999995E-2</v>
      </c>
      <c r="Q42" s="41">
        <f t="shared" si="24"/>
        <v>1.8602626879999994E-2</v>
      </c>
      <c r="R42" s="41">
        <f t="shared" si="24"/>
        <v>1.8270574342399995E-2</v>
      </c>
      <c r="S42" s="41">
        <f t="shared" si="24"/>
        <v>1.7945162855551998E-2</v>
      </c>
      <c r="T42" s="41">
        <f t="shared" si="24"/>
        <v>1.7626259598440955E-2</v>
      </c>
      <c r="U42" s="41">
        <f t="shared" si="24"/>
        <v>1.7313734406472138E-2</v>
      </c>
      <c r="V42" s="41">
        <f t="shared" ref="V42" si="25">V41+0.2%</f>
        <v>1.7007459718342693E-2</v>
      </c>
    </row>
    <row r="44" spans="2:22" x14ac:dyDescent="0.25">
      <c r="B44" t="s">
        <v>89</v>
      </c>
      <c r="G44" s="2">
        <f>-Model!M109</f>
        <v>1125.1389999999999</v>
      </c>
      <c r="H44" s="2">
        <f>-Model!N109</f>
        <v>1223.116</v>
      </c>
      <c r="I44" s="2">
        <f>-Model!O109</f>
        <v>568.02099999999996</v>
      </c>
      <c r="J44" s="2">
        <f>-Model!P109</f>
        <v>1045</v>
      </c>
      <c r="K44" s="2">
        <f>-Model!Q109</f>
        <v>1457</v>
      </c>
      <c r="L44" s="2">
        <f>-Model!R109</f>
        <v>1722</v>
      </c>
      <c r="M44" s="2">
        <f ca="1">M45*M18</f>
        <v>1803.5200000000002</v>
      </c>
      <c r="N44" s="2">
        <f ca="1">N45*N18</f>
        <v>1955.0792562072188</v>
      </c>
      <c r="O44" s="2">
        <f t="shared" ref="O44:U44" ca="1" si="26">O45*O18</f>
        <v>2062.0711380931598</v>
      </c>
      <c r="P44" s="2">
        <f t="shared" ca="1" si="26"/>
        <v>2175.1987819014907</v>
      </c>
      <c r="Q44" s="2">
        <f t="shared" ca="1" si="26"/>
        <v>2294.8179161957423</v>
      </c>
      <c r="R44" s="2">
        <f t="shared" ca="1" si="26"/>
        <v>2419.0660818684464</v>
      </c>
      <c r="S44" s="2">
        <f t="shared" ca="1" si="26"/>
        <v>2502.4697775905024</v>
      </c>
      <c r="T44" s="2">
        <f t="shared" ca="1" si="26"/>
        <v>2574.6319825923056</v>
      </c>
      <c r="U44" s="2">
        <f t="shared" ca="1" si="26"/>
        <v>2623.6013519545554</v>
      </c>
      <c r="V44" s="2">
        <f t="shared" ref="V44" ca="1" si="27">V45*V18</f>
        <v>2672.2297048577702</v>
      </c>
    </row>
    <row r="45" spans="2:22" x14ac:dyDescent="0.25">
      <c r="B45" t="s">
        <v>223</v>
      </c>
      <c r="G45" s="46">
        <f t="shared" ref="G45:L45" si="28">G44/G18</f>
        <v>2.8869753557686981E-2</v>
      </c>
      <c r="H45" s="46">
        <f t="shared" si="28"/>
        <v>2.9319366205623608E-2</v>
      </c>
      <c r="I45" s="46">
        <f t="shared" si="28"/>
        <v>1.7674985219528892E-2</v>
      </c>
      <c r="J45" s="46">
        <f t="shared" si="28"/>
        <v>2.1524201853759011E-2</v>
      </c>
      <c r="K45" s="46">
        <f t="shared" si="28"/>
        <v>2.9177347004165331E-2</v>
      </c>
      <c r="L45" s="46">
        <f t="shared" si="28"/>
        <v>3.17612556947083E-2</v>
      </c>
      <c r="M45" s="47" cm="1">
        <f t="array" aca="1" ref="M45" ca="1">OFFSET(M45,$H$5,,)</f>
        <v>3.2000000000000001E-2</v>
      </c>
      <c r="N45" s="47" cm="1">
        <f t="array" aca="1" ref="N45" ca="1">OFFSET(N45,$H$5,,)</f>
        <v>3.1359999999999999E-2</v>
      </c>
      <c r="O45" s="47" cm="1">
        <f t="array" aca="1" ref="O45" ca="1">OFFSET(O45,$H$5,,)</f>
        <v>3.0732799999999998E-2</v>
      </c>
      <c r="P45" s="47" cm="1">
        <f t="array" aca="1" ref="P45" ca="1">OFFSET(P45,$H$5,,)</f>
        <v>3.0118143999999996E-2</v>
      </c>
      <c r="Q45" s="47" cm="1">
        <f t="array" aca="1" ref="Q45" ca="1">OFFSET(Q45,$H$5,,)</f>
        <v>2.9515781119999994E-2</v>
      </c>
      <c r="R45" s="47" cm="1">
        <f t="array" aca="1" ref="R45" ca="1">OFFSET(R45,$H$5,,)</f>
        <v>2.8925465497599993E-2</v>
      </c>
      <c r="S45" s="47" cm="1">
        <f t="array" aca="1" ref="S45" ca="1">OFFSET(S45,$H$5,,)</f>
        <v>2.8346956187647994E-2</v>
      </c>
      <c r="T45" s="47" cm="1">
        <f t="array" aca="1" ref="T45" ca="1">OFFSET(T45,$H$5,,)</f>
        <v>2.7780017063895032E-2</v>
      </c>
      <c r="U45" s="47" cm="1">
        <f t="array" aca="1" ref="U45" ca="1">OFFSET(U45,$H$5,,)</f>
        <v>2.7224416722617131E-2</v>
      </c>
      <c r="V45" s="47" cm="1">
        <f t="array" aca="1" ref="V45" ca="1">OFFSET(V45,$H$5,,)</f>
        <v>2.6679928388164787E-2</v>
      </c>
    </row>
    <row r="46" spans="2:22" x14ac:dyDescent="0.25">
      <c r="B46" s="40" t="s">
        <v>221</v>
      </c>
      <c r="M46" s="41">
        <f>M47+0.5%</f>
        <v>3.6999999999999998E-2</v>
      </c>
      <c r="N46" s="41">
        <f t="shared" ref="N46:V46" si="29">N47+0.5%</f>
        <v>3.6359999999999996E-2</v>
      </c>
      <c r="O46" s="41">
        <f t="shared" si="29"/>
        <v>3.5732799999999995E-2</v>
      </c>
      <c r="P46" s="41">
        <f t="shared" si="29"/>
        <v>3.5118143999999997E-2</v>
      </c>
      <c r="Q46" s="41">
        <f t="shared" si="29"/>
        <v>3.4515781119999991E-2</v>
      </c>
      <c r="R46" s="41">
        <f t="shared" si="29"/>
        <v>3.3925465497599991E-2</v>
      </c>
      <c r="S46" s="41">
        <f t="shared" si="29"/>
        <v>3.3346956187647991E-2</v>
      </c>
      <c r="T46" s="41">
        <f t="shared" si="29"/>
        <v>3.278001706389503E-2</v>
      </c>
      <c r="U46" s="41">
        <f t="shared" si="29"/>
        <v>3.2224416722617132E-2</v>
      </c>
      <c r="V46" s="41">
        <f t="shared" si="29"/>
        <v>3.1679928388164788E-2</v>
      </c>
    </row>
    <row r="47" spans="2:22" x14ac:dyDescent="0.25">
      <c r="B47" s="40" t="s">
        <v>206</v>
      </c>
      <c r="M47" s="41">
        <v>3.2000000000000001E-2</v>
      </c>
      <c r="N47" s="41">
        <f>M47*0.98</f>
        <v>3.1359999999999999E-2</v>
      </c>
      <c r="O47" s="41">
        <f t="shared" ref="O47:U47" si="30">N47*0.98</f>
        <v>3.0732799999999998E-2</v>
      </c>
      <c r="P47" s="41">
        <f t="shared" si="30"/>
        <v>3.0118143999999996E-2</v>
      </c>
      <c r="Q47" s="41">
        <f t="shared" si="30"/>
        <v>2.9515781119999994E-2</v>
      </c>
      <c r="R47" s="41">
        <f t="shared" si="30"/>
        <v>2.8925465497599993E-2</v>
      </c>
      <c r="S47" s="41">
        <f t="shared" si="30"/>
        <v>2.8346956187647994E-2</v>
      </c>
      <c r="T47" s="41">
        <f t="shared" si="30"/>
        <v>2.7780017063895032E-2</v>
      </c>
      <c r="U47" s="41">
        <f t="shared" si="30"/>
        <v>2.7224416722617131E-2</v>
      </c>
      <c r="V47" s="41">
        <f t="shared" ref="V47" si="31">U47*0.98</f>
        <v>2.6679928388164787E-2</v>
      </c>
    </row>
    <row r="48" spans="2:22" x14ac:dyDescent="0.25">
      <c r="B48" s="40" t="s">
        <v>222</v>
      </c>
      <c r="M48" s="41">
        <f>M47-0.5%</f>
        <v>2.7E-2</v>
      </c>
      <c r="N48" s="41">
        <f t="shared" ref="N48:V48" si="32">N47-0.5%</f>
        <v>2.6359999999999998E-2</v>
      </c>
      <c r="O48" s="41">
        <f t="shared" si="32"/>
        <v>2.5732799999999997E-2</v>
      </c>
      <c r="P48" s="41">
        <f t="shared" si="32"/>
        <v>2.5118143999999995E-2</v>
      </c>
      <c r="Q48" s="41">
        <f t="shared" si="32"/>
        <v>2.4515781119999993E-2</v>
      </c>
      <c r="R48" s="41">
        <f t="shared" si="32"/>
        <v>2.3925465497599992E-2</v>
      </c>
      <c r="S48" s="41">
        <f t="shared" si="32"/>
        <v>2.3346956187647993E-2</v>
      </c>
      <c r="T48" s="41">
        <f t="shared" si="32"/>
        <v>2.2780017063895031E-2</v>
      </c>
      <c r="U48" s="41">
        <f t="shared" si="32"/>
        <v>2.222441672261713E-2</v>
      </c>
      <c r="V48" s="41">
        <f t="shared" si="32"/>
        <v>2.1679928388164786E-2</v>
      </c>
    </row>
    <row r="50" spans="2:22" x14ac:dyDescent="0.25">
      <c r="B50" t="s">
        <v>71</v>
      </c>
      <c r="G50" s="10">
        <f>Model!M107</f>
        <v>140.26800000000003</v>
      </c>
      <c r="H50" s="10">
        <f>Model!N107</f>
        <v>-207.73399999999998</v>
      </c>
      <c r="I50" s="10">
        <f>Model!O107</f>
        <v>3376.8049999999998</v>
      </c>
      <c r="J50" s="10">
        <f>Model!P107</f>
        <v>-1490</v>
      </c>
      <c r="K50" s="10">
        <f>Model!Q107</f>
        <v>-728</v>
      </c>
      <c r="L50" s="10">
        <f>Model!R107</f>
        <v>405</v>
      </c>
      <c r="M50" s="10">
        <f ca="1">M51*M18</f>
        <v>-441.62767996037445</v>
      </c>
      <c r="N50" s="10">
        <f ca="1">N51*N18</f>
        <v>-498.74470821612726</v>
      </c>
      <c r="O50" s="10">
        <f t="shared" ref="O50:U50" ca="1" si="33">O51*O18</f>
        <v>-536.77403636327574</v>
      </c>
      <c r="P50" s="10">
        <f t="shared" ca="1" si="33"/>
        <v>-577.77764311147223</v>
      </c>
      <c r="Q50" s="10">
        <f t="shared" ca="1" si="33"/>
        <v>-621.99076673346542</v>
      </c>
      <c r="R50" s="10">
        <f t="shared" ca="1" si="33"/>
        <v>-669.0481318806535</v>
      </c>
      <c r="S50" s="10">
        <f t="shared" ca="1" si="33"/>
        <v>-706.24013697271323</v>
      </c>
      <c r="T50" s="10">
        <f t="shared" ca="1" si="33"/>
        <v>-741.43424078410317</v>
      </c>
      <c r="U50" s="10">
        <f t="shared" ca="1" si="33"/>
        <v>-770.95539013695918</v>
      </c>
      <c r="V50" s="10">
        <f t="shared" ref="V50" ca="1" si="34">V51*V18</f>
        <v>-801.27042801004541</v>
      </c>
    </row>
    <row r="51" spans="2:22" x14ac:dyDescent="0.25">
      <c r="B51" t="s">
        <v>223</v>
      </c>
      <c r="G51" s="46">
        <f t="shared" ref="G51:K51" si="35">G50/G18</f>
        <v>3.5991131691547789E-3</v>
      </c>
      <c r="H51" s="46">
        <f t="shared" si="35"/>
        <v>-4.9796006424239515E-3</v>
      </c>
      <c r="I51" s="46">
        <f t="shared" si="35"/>
        <v>0.10507530261069795</v>
      </c>
      <c r="J51" s="46">
        <f t="shared" si="35"/>
        <v>-3.0690010298661172E-2</v>
      </c>
      <c r="K51" s="46">
        <f t="shared" si="35"/>
        <v>-1.4578660685677668E-2</v>
      </c>
      <c r="L51" s="46">
        <f>L50/L18</f>
        <v>7.4699817400446355E-3</v>
      </c>
      <c r="M51" s="47" cm="1">
        <f t="array" aca="1" ref="M51" ca="1">OFFSET(M51,$H$6,,)</f>
        <v>-7.835835343512676E-3</v>
      </c>
      <c r="N51" s="47" cm="1">
        <f t="array" aca="1" ref="N51" ca="1">OFFSET(N51,$H$6,,)</f>
        <v>-8.0000000000000002E-3</v>
      </c>
      <c r="O51" s="47" cm="1">
        <f t="array" aca="1" ref="O51" ca="1">OFFSET(O51,$H$6,,)</f>
        <v>-8.0000000000000002E-3</v>
      </c>
      <c r="P51" s="47" cm="1">
        <f t="array" aca="1" ref="P51" ca="1">OFFSET(P51,$H$6,,)</f>
        <v>-8.0000000000000002E-3</v>
      </c>
      <c r="Q51" s="47" cm="1">
        <f t="array" aca="1" ref="Q51" ca="1">OFFSET(Q51,$H$6,,)</f>
        <v>-8.0000000000000002E-3</v>
      </c>
      <c r="R51" s="47" cm="1">
        <f t="array" aca="1" ref="R51" ca="1">OFFSET(R51,$H$6,,)</f>
        <v>-8.0000000000000002E-3</v>
      </c>
      <c r="S51" s="47" cm="1">
        <f t="array" aca="1" ref="S51" ca="1">OFFSET(S51,$H$6,,)</f>
        <v>-8.0000000000000002E-3</v>
      </c>
      <c r="T51" s="47" cm="1">
        <f t="array" aca="1" ref="T51" ca="1">OFFSET(T51,$H$6,,)</f>
        <v>-8.0000000000000002E-3</v>
      </c>
      <c r="U51" s="47" cm="1">
        <f t="array" aca="1" ref="U51" ca="1">OFFSET(U51,$H$6,,)</f>
        <v>-8.0000000000000002E-3</v>
      </c>
      <c r="V51" s="47" cm="1">
        <f t="array" aca="1" ref="V51" ca="1">OFFSET(V51,$H$6,,)</f>
        <v>-8.0000000000000002E-3</v>
      </c>
    </row>
    <row r="52" spans="2:22" x14ac:dyDescent="0.25">
      <c r="B52" s="40" t="s">
        <v>221</v>
      </c>
      <c r="M52" s="41">
        <f>M53-0.5%</f>
        <v>-1.2835835343512677E-2</v>
      </c>
      <c r="N52" s="41">
        <v>-0.02</v>
      </c>
      <c r="O52" s="41">
        <v>-0.02</v>
      </c>
      <c r="P52" s="41">
        <v>-0.02</v>
      </c>
      <c r="Q52" s="41">
        <v>-0.02</v>
      </c>
      <c r="R52" s="41">
        <v>-0.02</v>
      </c>
      <c r="S52" s="41">
        <v>-0.02</v>
      </c>
      <c r="T52" s="41">
        <v>-0.02</v>
      </c>
      <c r="U52" s="41">
        <v>-0.02</v>
      </c>
      <c r="V52" s="41">
        <v>-0.02</v>
      </c>
    </row>
    <row r="53" spans="2:22" x14ac:dyDescent="0.25">
      <c r="B53" s="40" t="s">
        <v>206</v>
      </c>
      <c r="M53" s="41">
        <f>AVERAGE(J51:L51,G51:H51)</f>
        <v>-7.835835343512676E-3</v>
      </c>
      <c r="N53" s="41">
        <v>-8.0000000000000002E-3</v>
      </c>
      <c r="O53" s="41">
        <v>-8.0000000000000002E-3</v>
      </c>
      <c r="P53" s="41">
        <v>-8.0000000000000002E-3</v>
      </c>
      <c r="Q53" s="41">
        <v>-8.0000000000000002E-3</v>
      </c>
      <c r="R53" s="41">
        <v>-8.0000000000000002E-3</v>
      </c>
      <c r="S53" s="41">
        <v>-8.0000000000000002E-3</v>
      </c>
      <c r="T53" s="41">
        <v>-8.0000000000000002E-3</v>
      </c>
      <c r="U53" s="41">
        <v>-8.0000000000000002E-3</v>
      </c>
      <c r="V53" s="41">
        <v>-8.0000000000000002E-3</v>
      </c>
    </row>
    <row r="54" spans="2:22" x14ac:dyDescent="0.25">
      <c r="B54" s="40" t="s">
        <v>222</v>
      </c>
      <c r="M54" s="41">
        <f>M53+0.5%</f>
        <v>-2.8358353435126759E-3</v>
      </c>
      <c r="N54" s="41">
        <f t="shared" ref="N54:U54" si="36">N53+0.5%</f>
        <v>-3.0000000000000001E-3</v>
      </c>
      <c r="O54" s="41">
        <f t="shared" si="36"/>
        <v>-3.0000000000000001E-3</v>
      </c>
      <c r="P54" s="41">
        <f t="shared" si="36"/>
        <v>-3.0000000000000001E-3</v>
      </c>
      <c r="Q54" s="41">
        <f t="shared" si="36"/>
        <v>-3.0000000000000001E-3</v>
      </c>
      <c r="R54" s="41">
        <f t="shared" si="36"/>
        <v>-3.0000000000000001E-3</v>
      </c>
      <c r="S54" s="41">
        <f t="shared" si="36"/>
        <v>-3.0000000000000001E-3</v>
      </c>
      <c r="T54" s="41">
        <f t="shared" si="36"/>
        <v>-3.0000000000000001E-3</v>
      </c>
      <c r="U54" s="41">
        <f t="shared" si="36"/>
        <v>-3.0000000000000001E-3</v>
      </c>
      <c r="V54" s="41">
        <f t="shared" ref="V54" si="37">V53+0.5%</f>
        <v>-3.0000000000000001E-3</v>
      </c>
    </row>
    <row r="56" spans="2:22" x14ac:dyDescent="0.25">
      <c r="B56" s="48" t="s">
        <v>226</v>
      </c>
      <c r="C56" s="48"/>
      <c r="D56" s="48"/>
      <c r="E56" s="48"/>
      <c r="F56" s="48"/>
      <c r="G56" s="49">
        <f>G36+G38-G44+G50</f>
        <v>2939.5640000000012</v>
      </c>
      <c r="H56" s="49">
        <f t="shared" ref="H56:V56" si="38">H36+H38-H44+H50</f>
        <v>2718.6950000000011</v>
      </c>
      <c r="I56" s="49">
        <f t="shared" si="38"/>
        <v>4263.0170000000007</v>
      </c>
      <c r="J56" s="49">
        <f t="shared" si="38"/>
        <v>1973</v>
      </c>
      <c r="K56" s="49">
        <f t="shared" si="38"/>
        <v>2424</v>
      </c>
      <c r="L56" s="49">
        <f t="shared" si="38"/>
        <v>3951</v>
      </c>
      <c r="M56" s="49">
        <f t="shared" ca="1" si="38"/>
        <v>3357.0363200396264</v>
      </c>
      <c r="N56" s="49">
        <f t="shared" ca="1" si="38"/>
        <v>3835.9702370672894</v>
      </c>
      <c r="O56" s="49">
        <f t="shared" ca="1" si="38"/>
        <v>4271.0036525353116</v>
      </c>
      <c r="P56" s="49">
        <f t="shared" ca="1" si="38"/>
        <v>4750.2936483744379</v>
      </c>
      <c r="Q56" s="49">
        <f t="shared" ca="1" si="38"/>
        <v>5278.1239056723625</v>
      </c>
      <c r="R56" s="49">
        <f t="shared" ca="1" si="38"/>
        <v>5853.7621016745552</v>
      </c>
      <c r="S56" s="49">
        <f t="shared" ca="1" si="38"/>
        <v>6364.8309190784375</v>
      </c>
      <c r="T56" s="49">
        <f t="shared" ca="1" si="38"/>
        <v>6876.4543440792804</v>
      </c>
      <c r="U56" s="49">
        <f t="shared" ca="1" si="38"/>
        <v>8103.6390901633922</v>
      </c>
      <c r="V56" s="49">
        <f t="shared" ca="1" si="38"/>
        <v>8446.144640245273</v>
      </c>
    </row>
    <row r="57" spans="2:22" x14ac:dyDescent="0.25">
      <c r="B57" t="s">
        <v>227</v>
      </c>
      <c r="M57">
        <v>1</v>
      </c>
      <c r="N57">
        <f>M57+1</f>
        <v>2</v>
      </c>
      <c r="O57">
        <f>N57+1</f>
        <v>3</v>
      </c>
      <c r="P57">
        <f t="shared" ref="P57:R57" si="39">O57+1</f>
        <v>4</v>
      </c>
      <c r="Q57">
        <f t="shared" si="39"/>
        <v>5</v>
      </c>
      <c r="R57">
        <f t="shared" si="39"/>
        <v>6</v>
      </c>
      <c r="S57">
        <f t="shared" ref="S57" si="40">R57+1</f>
        <v>7</v>
      </c>
      <c r="T57">
        <f t="shared" ref="T57" si="41">S57+1</f>
        <v>8</v>
      </c>
      <c r="U57">
        <f t="shared" ref="U57:V57" si="42">T57+1</f>
        <v>9</v>
      </c>
      <c r="V57">
        <f t="shared" si="42"/>
        <v>10</v>
      </c>
    </row>
    <row r="58" spans="2:22" x14ac:dyDescent="0.25">
      <c r="B58" t="s">
        <v>228</v>
      </c>
      <c r="M58" s="2">
        <f ca="1">M56/(1+$D$9)^M57</f>
        <v>3101.6098400231203</v>
      </c>
      <c r="N58" s="2">
        <f ca="1">N56/(1+$D$9)^N57</f>
        <v>3274.4433453057013</v>
      </c>
      <c r="O58" s="2">
        <f t="shared" ref="O58:T58" ca="1" si="43">O56/(1+$D$9)^O57</f>
        <v>3368.3973769406098</v>
      </c>
      <c r="P58" s="2">
        <f t="shared" ca="1" si="43"/>
        <v>3461.345575208511</v>
      </c>
      <c r="Q58" s="2">
        <f t="shared" ca="1" si="43"/>
        <v>3553.3272841524854</v>
      </c>
      <c r="R58" s="2">
        <f t="shared" ca="1" si="43"/>
        <v>3641.0095993128589</v>
      </c>
      <c r="S58" s="2">
        <f t="shared" ca="1" si="43"/>
        <v>3657.6719546913855</v>
      </c>
      <c r="T58" s="2">
        <f t="shared" ca="1" si="43"/>
        <v>3651.014610781986</v>
      </c>
      <c r="U58" s="2">
        <f ca="1">U56/(1+$D$9)^U57</f>
        <v>3975.2113494286314</v>
      </c>
      <c r="V58" s="2">
        <f ca="1">V56/(1+$D$9)^V57</f>
        <v>3827.9809980511122</v>
      </c>
    </row>
    <row r="59" spans="2:22" x14ac:dyDescent="0.25">
      <c r="B59" t="s">
        <v>229</v>
      </c>
      <c r="N59" s="2"/>
      <c r="O59" s="2"/>
      <c r="P59" s="2"/>
      <c r="Q59" s="2"/>
      <c r="V59" s="2">
        <f ca="1">SUM(M58:V58)</f>
        <v>35512.0119338964</v>
      </c>
    </row>
    <row r="60" spans="2:22" x14ac:dyDescent="0.25">
      <c r="B60" t="s">
        <v>230</v>
      </c>
      <c r="N60" s="2"/>
      <c r="O60" s="2"/>
      <c r="P60" s="2"/>
      <c r="Q60" s="2"/>
      <c r="V60" s="2">
        <f ca="1">(V56*(1+D10))/(D9-D10)</f>
        <v>150947.94495002957</v>
      </c>
    </row>
    <row r="61" spans="2:22" x14ac:dyDescent="0.25">
      <c r="B61" s="18" t="s">
        <v>231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3"/>
      <c r="O61" s="23"/>
      <c r="P61" s="23"/>
      <c r="Q61" s="23"/>
      <c r="R61" s="23"/>
      <c r="S61" s="23"/>
      <c r="T61" s="23"/>
      <c r="U61" s="23"/>
      <c r="V61" s="23">
        <f ca="1">V60/(1+D9)^V57</f>
        <v>68412.972968788599</v>
      </c>
    </row>
    <row r="62" spans="2:22" x14ac:dyDescent="0.25">
      <c r="B62" s="43" t="s">
        <v>232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4"/>
      <c r="O62" s="44"/>
      <c r="P62" s="44"/>
      <c r="Q62" s="44"/>
      <c r="R62" s="44"/>
      <c r="S62" s="44"/>
      <c r="T62" s="44"/>
      <c r="U62" s="44"/>
      <c r="V62" s="44">
        <f ca="1">V59+V61</f>
        <v>103924.984902685</v>
      </c>
    </row>
    <row r="63" spans="2:22" x14ac:dyDescent="0.25">
      <c r="B63" t="s">
        <v>233</v>
      </c>
      <c r="N63" s="2"/>
      <c r="O63" s="2"/>
      <c r="P63" s="2"/>
      <c r="Q63" s="2"/>
      <c r="V63" s="2">
        <f>Main!I6</f>
        <v>5335</v>
      </c>
    </row>
    <row r="64" spans="2:22" x14ac:dyDescent="0.25">
      <c r="B64" s="18" t="s">
        <v>234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3"/>
      <c r="O64" s="23"/>
      <c r="P64" s="23"/>
      <c r="Q64" s="23"/>
      <c r="R64" s="23"/>
      <c r="S64" s="23"/>
      <c r="T64" s="23"/>
      <c r="U64" s="23"/>
      <c r="V64" s="23">
        <f>Main!I7</f>
        <v>2866</v>
      </c>
    </row>
    <row r="65" spans="1:22" x14ac:dyDescent="0.25">
      <c r="B65" t="s">
        <v>235</v>
      </c>
      <c r="N65" s="2"/>
      <c r="O65" s="2"/>
      <c r="P65" s="2"/>
      <c r="Q65" s="2"/>
      <c r="V65" s="2">
        <f ca="1">V62+V63-V64</f>
        <v>106393.984902685</v>
      </c>
    </row>
    <row r="66" spans="1:22" x14ac:dyDescent="0.25">
      <c r="B66" s="18" t="s">
        <v>236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3"/>
      <c r="O66" s="23"/>
      <c r="P66" s="23"/>
      <c r="Q66" s="23"/>
      <c r="R66" s="23"/>
      <c r="S66" s="23"/>
      <c r="T66" s="23"/>
      <c r="U66" s="23"/>
      <c r="V66" s="23">
        <f>Main!I4</f>
        <v>1138</v>
      </c>
    </row>
    <row r="67" spans="1:22" x14ac:dyDescent="0.25">
      <c r="B67" t="s">
        <v>213</v>
      </c>
      <c r="V67" s="26">
        <f ca="1">V65/V66</f>
        <v>93.492078121867308</v>
      </c>
    </row>
    <row r="71" spans="1:22" x14ac:dyDescent="0.25">
      <c r="A71" s="30" t="s">
        <v>10</v>
      </c>
      <c r="B71" s="31" t="s">
        <v>239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3" spans="1:22" x14ac:dyDescent="0.25">
      <c r="C73" s="61" t="s">
        <v>212</v>
      </c>
      <c r="D73" s="61"/>
      <c r="E73" s="61"/>
      <c r="F73" s="61"/>
      <c r="G73" s="61"/>
      <c r="H73" s="61"/>
      <c r="I73" s="61"/>
      <c r="J73" s="61"/>
    </row>
    <row r="74" spans="1:22" ht="14.45" customHeight="1" x14ac:dyDescent="0.25">
      <c r="B74" s="62" t="s">
        <v>182</v>
      </c>
      <c r="C74" s="54">
        <f ca="1">V67</f>
        <v>93.492078121867308</v>
      </c>
      <c r="D74" s="53">
        <f t="shared" ref="D74:E74" si="44">E74-0.5%</f>
        <v>9.9999999999999985E-3</v>
      </c>
      <c r="E74" s="53">
        <f t="shared" si="44"/>
        <v>1.4999999999999999E-2</v>
      </c>
      <c r="F74" s="53">
        <f>G74-0.5%</f>
        <v>0.02</v>
      </c>
      <c r="G74" s="53">
        <v>2.5000000000000001E-2</v>
      </c>
      <c r="H74" s="53">
        <f>G74+0.5%</f>
        <v>3.0000000000000002E-2</v>
      </c>
      <c r="I74" s="53">
        <f t="shared" ref="I74:J74" si="45">H74+0.5%</f>
        <v>3.5000000000000003E-2</v>
      </c>
      <c r="J74" s="53">
        <f t="shared" si="45"/>
        <v>0.04</v>
      </c>
    </row>
    <row r="75" spans="1:22" x14ac:dyDescent="0.25">
      <c r="B75" s="62"/>
      <c r="C75" s="52">
        <f t="shared" ref="C75:C76" si="46">C76-1%</f>
        <v>4.8759739939255253E-2</v>
      </c>
      <c r="D75" s="27">
        <f t="dataTable" ref="D75:J81" dt2D="1" dtr="1" r1="D10" r2="D9" ca="1"/>
        <v>159.80138716263687</v>
      </c>
      <c r="E75" s="27">
        <v>178.27799516858457</v>
      </c>
      <c r="F75" s="27">
        <v>203.1790729524138</v>
      </c>
      <c r="G75" s="27">
        <v>238.56051703970093</v>
      </c>
      <c r="H75" s="27">
        <v>292.80226740087744</v>
      </c>
      <c r="I75" s="27">
        <v>386.46463951845067</v>
      </c>
      <c r="J75" s="27">
        <v>587.05070202760919</v>
      </c>
    </row>
    <row r="76" spans="1:22" x14ac:dyDescent="0.25">
      <c r="B76" s="62"/>
      <c r="C76" s="52">
        <f t="shared" si="46"/>
        <v>5.8759739939255255E-2</v>
      </c>
      <c r="D76" s="27">
        <v>124.47127974876385</v>
      </c>
      <c r="E76" s="27">
        <v>134.87463374028786</v>
      </c>
      <c r="F76" s="27">
        <v>147.96204959802358</v>
      </c>
      <c r="G76" s="27">
        <v>164.92609954159184</v>
      </c>
      <c r="H76" s="27">
        <v>187.78869028538938</v>
      </c>
      <c r="I76" s="27">
        <v>220.27368885109439</v>
      </c>
      <c r="J76" s="27">
        <v>270.07502478122592</v>
      </c>
    </row>
    <row r="77" spans="1:22" x14ac:dyDescent="0.25">
      <c r="B77" s="62"/>
      <c r="C77" s="52">
        <f>C78-1%</f>
        <v>6.8759739939255257E-2</v>
      </c>
      <c r="D77" s="27">
        <v>101.33202404104394</v>
      </c>
      <c r="E77" s="27">
        <v>107.78898948259042</v>
      </c>
      <c r="F77" s="27">
        <v>115.57019608079416</v>
      </c>
      <c r="G77" s="27">
        <v>125.12956831915139</v>
      </c>
      <c r="H77" s="27">
        <v>137.15525541239123</v>
      </c>
      <c r="I77" s="27">
        <v>152.74308105138945</v>
      </c>
      <c r="J77" s="27">
        <v>173.75092289078512</v>
      </c>
    </row>
    <row r="78" spans="1:22" x14ac:dyDescent="0.25">
      <c r="B78" s="62"/>
      <c r="C78" s="52">
        <v>7.8759739939255252E-2</v>
      </c>
      <c r="D78" s="27">
        <v>85.053388252388629</v>
      </c>
      <c r="E78" s="27">
        <v>89.331803418392738</v>
      </c>
      <c r="F78" s="27">
        <v>94.338338751441</v>
      </c>
      <c r="G78" s="27">
        <v>100.27615376305639</v>
      </c>
      <c r="H78" s="27">
        <v>107.43173880769751</v>
      </c>
      <c r="I78" s="27">
        <v>116.22252210867521</v>
      </c>
      <c r="J78" s="27">
        <v>127.28132457457889</v>
      </c>
    </row>
    <row r="79" spans="1:22" x14ac:dyDescent="0.25">
      <c r="B79" s="62"/>
      <c r="C79" s="52">
        <f>C78+1%</f>
        <v>8.8759739939255247E-2</v>
      </c>
      <c r="D79" s="27">
        <v>73.013129357567919</v>
      </c>
      <c r="E79" s="27">
        <v>75.984618363332245</v>
      </c>
      <c r="F79" s="27">
        <v>79.388262727506813</v>
      </c>
      <c r="G79" s="27">
        <v>83.325730530644165</v>
      </c>
      <c r="H79" s="27">
        <v>87.933294526720388</v>
      </c>
      <c r="I79" s="27">
        <v>93.397924424023529</v>
      </c>
      <c r="J79" s="27">
        <v>99.983280129977615</v>
      </c>
    </row>
    <row r="80" spans="1:22" x14ac:dyDescent="0.25">
      <c r="B80" s="62"/>
      <c r="C80" s="52">
        <f t="shared" ref="C80:C81" si="47">C79+1%</f>
        <v>9.8759739939255242E-2</v>
      </c>
      <c r="D80" s="27">
        <v>63.771451796750696</v>
      </c>
      <c r="E80" s="27">
        <v>65.909956817869485</v>
      </c>
      <c r="F80" s="27">
        <v>68.319984449749583</v>
      </c>
      <c r="G80" s="27">
        <v>71.056752337745664</v>
      </c>
      <c r="H80" s="27">
        <v>74.191539166827596</v>
      </c>
      <c r="I80" s="27">
        <v>77.817982146337442</v>
      </c>
      <c r="J80" s="27">
        <v>82.061589698607293</v>
      </c>
    </row>
    <row r="81" spans="2:10" x14ac:dyDescent="0.25">
      <c r="B81" s="62"/>
      <c r="C81" s="52">
        <f t="shared" si="47"/>
        <v>0.10875973993925524</v>
      </c>
      <c r="D81" s="27">
        <v>56.472293993280957</v>
      </c>
      <c r="E81" s="27">
        <v>58.054827425595704</v>
      </c>
      <c r="F81" s="27">
        <v>59.815654917063597</v>
      </c>
      <c r="G81" s="27">
        <v>61.786706018674614</v>
      </c>
      <c r="H81" s="27">
        <v>64.008018370910776</v>
      </c>
      <c r="I81" s="27">
        <v>66.53048584571998</v>
      </c>
      <c r="J81" s="27">
        <v>69.419805707847345</v>
      </c>
    </row>
  </sheetData>
  <mergeCells count="2">
    <mergeCell ref="C73:J73"/>
    <mergeCell ref="B74:B81"/>
  </mergeCells>
  <dataValidations count="1">
    <dataValidation type="list" allowBlank="1" showInputMessage="1" showErrorMessage="1" sqref="D4:D7 H4:H7" xr:uid="{67CC1E04-F1CF-4976-A8CC-79A4697892C4}">
      <formula1>"1,2,3"</formula1>
    </dataValidation>
  </dataValidations>
  <hyperlinks>
    <hyperlink ref="A1" location="Main!A1" display="Main" xr:uid="{8FB14875-22A9-427D-9411-E1371D02E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2024-06-18T15:57:57Z</dcterms:created>
  <dcterms:modified xsi:type="dcterms:W3CDTF">2025-05-15T12:52:06Z</dcterms:modified>
</cp:coreProperties>
</file>