
<file path=[Content_Types].xml><?xml version="1.0" encoding="utf-8"?>
<Types xmlns="http://schemas.openxmlformats.org/package/2006/content-types">
  <Default Extension="xml" ContentType="application/xml"/>
  <Default Extension="JPG" ContentType="image/jpeg"/>
  <Default Extension="rels" ContentType="application/vnd.openxmlformats-package.relationships+xml"/>
  <Default Extension="emf" ContentType="image/x-emf"/>
  <Default Extension="vml" ContentType="application/vnd.openxmlformats-officedocument.vmlDrawing"/>
  <Default Extension="gif" ContentType="image/gif"/>
  <Default Extension="bin" ContentType="application/vnd.openxmlformats-officedocument.spreadsheetml.printerSettings"/>
  <Default Extension="pn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4.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omments5.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comments6.xml" ContentType="application/vnd.openxmlformats-officedocument.spreadsheetml.comments+xml"/>
  <Override PartName="/xl/drawings/drawing15.xml" ContentType="application/vnd.openxmlformats-officedocument.drawing+xml"/>
  <Override PartName="/xl/comments7.xml" ContentType="application/vnd.openxmlformats-officedocument.spreadsheetml.comments+xml"/>
  <Override PartName="/xl/drawings/drawing16.xml" ContentType="application/vnd.openxmlformats-officedocument.drawing+xml"/>
  <Override PartName="/xl/comments8.xml" ContentType="application/vnd.openxmlformats-officedocument.spreadsheetml.comments+xml"/>
  <Override PartName="/xl/drawings/drawing17.xml" ContentType="application/vnd.openxmlformats-officedocument.drawing+xml"/>
  <Override PartName="/xl/comments9.xml" ContentType="application/vnd.openxmlformats-officedocument.spreadsheetml.comments+xml"/>
  <Override PartName="/xl/drawings/drawing18.xml" ContentType="application/vnd.openxmlformats-officedocument.drawing+xml"/>
  <Override PartName="/xl/comments10.xml" ContentType="application/vnd.openxmlformats-officedocument.spreadsheetml.comments+xml"/>
  <Override PartName="/xl/comments11.xml" ContentType="application/vnd.openxmlformats-officedocument.spreadsheetml.comments+xml"/>
  <Override PartName="/xl/drawings/drawing19.xml" ContentType="application/vnd.openxmlformats-officedocument.drawing+xml"/>
  <Override PartName="/xl/comments12.xml" ContentType="application/vnd.openxmlformats-officedocument.spreadsheetml.comments+xml"/>
  <Override PartName="/xl/drawings/drawing20.xml" ContentType="application/vnd.openxmlformats-officedocument.drawing+xml"/>
  <Override PartName="/xl/drawings/drawing21.xml" ContentType="application/vnd.openxmlformats-officedocument.drawing+xml"/>
  <Override PartName="/xl/comments13.xml" ContentType="application/vnd.openxmlformats-officedocument.spreadsheetml.comments+xml"/>
  <Override PartName="/xl/drawings/drawing22.xml" ContentType="application/vnd.openxmlformats-officedocument.drawing+xml"/>
  <Override PartName="/xl/drawings/drawing23.xml" ContentType="application/vnd.openxmlformats-officedocument.drawing+xml"/>
  <Override PartName="/xl/comments14.xml" ContentType="application/vnd.openxmlformats-officedocument.spreadsheetml.comments+xml"/>
  <Override PartName="/xl/drawings/drawing24.xml" ContentType="application/vnd.openxmlformats-officedocument.drawing+xml"/>
  <Override PartName="/xl/drawings/drawing25.xml" ContentType="application/vnd.openxmlformats-officedocument.drawing+xml"/>
  <Override PartName="/xl/comments15.xml" ContentType="application/vnd.openxmlformats-officedocument.spreadsheetml.comments+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comments16.xml" ContentType="application/vnd.openxmlformats-officedocument.spreadsheetml.comments+xml"/>
  <Override PartName="/xl/comments17.xml" ContentType="application/vnd.openxmlformats-officedocument.spreadsheetml.comments+xml"/>
  <Override PartName="/xl/drawings/drawing3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dorothybishop/Dropbox/Projects2016/SQING/excel sheets/"/>
    </mc:Choice>
  </mc:AlternateContent>
  <bookViews>
    <workbookView xWindow="780" yWindow="720" windowWidth="25600" windowHeight="15880" activeTab="8"/>
  </bookViews>
  <sheets>
    <sheet name="authorcontact" sheetId="51" r:id="rId1"/>
    <sheet name="studies_with_subsamples" sheetId="47" r:id="rId2"/>
    <sheet name="N_SNPs" sheetId="45" r:id="rId3"/>
    <sheet name="multtests_summary" sheetId="46" r:id="rId4"/>
    <sheet name="chart_multitests" sheetId="48" r:id="rId5"/>
    <sheet name="studies_with_replicates (2)" sheetId="49" r:id="rId6"/>
    <sheet name="studies_with_replicates" sheetId="44" r:id="rId7"/>
    <sheet name="for_funnel" sheetId="19" r:id="rId8"/>
    <sheet name="overview_30" sheetId="42" r:id="rId9"/>
    <sheet name="overview_29" sheetId="41" r:id="rId10"/>
    <sheet name="overview_28" sheetId="40" r:id="rId11"/>
    <sheet name="overview_27" sheetId="38" r:id="rId12"/>
    <sheet name="overview_26" sheetId="37" r:id="rId13"/>
    <sheet name="overview_25" sheetId="36" r:id="rId14"/>
    <sheet name="overview_24" sheetId="35" r:id="rId15"/>
    <sheet name="overview_23" sheetId="34" r:id="rId16"/>
    <sheet name="overview_22" sheetId="33" r:id="rId17"/>
    <sheet name="overview_21" sheetId="32" r:id="rId18"/>
    <sheet name="overview_20" sheetId="31" r:id="rId19"/>
    <sheet name="overview_19" sheetId="30" r:id="rId20"/>
    <sheet name="overview_18" sheetId="29" r:id="rId21"/>
    <sheet name="overview_17" sheetId="28" r:id="rId22"/>
    <sheet name="overview_16" sheetId="27" r:id="rId23"/>
    <sheet name="overview_15" sheetId="26" r:id="rId24"/>
    <sheet name="overview_14" sheetId="25" r:id="rId25"/>
    <sheet name="overview_13" sheetId="24" r:id="rId26"/>
    <sheet name="overview_12" sheetId="23" r:id="rId27"/>
    <sheet name="overview_11" sheetId="21" r:id="rId28"/>
    <sheet name="overview_10" sheetId="18" r:id="rId29"/>
    <sheet name="overview_9" sheetId="17" r:id="rId30"/>
    <sheet name="overview_8" sheetId="16" r:id="rId31"/>
    <sheet name="overview_7" sheetId="15" r:id="rId32"/>
    <sheet name="overview_6" sheetId="14" r:id="rId33"/>
    <sheet name="overview_5" sheetId="43" r:id="rId34"/>
    <sheet name="overview_4" sheetId="12" r:id="rId35"/>
    <sheet name="overview_3" sheetId="11" r:id="rId36"/>
    <sheet name="overview_2" sheetId="10" r:id="rId37"/>
    <sheet name="overview_1" sheetId="9" r:id="rId38"/>
    <sheet name="main" sheetId="1" r:id="rId39"/>
    <sheet name="origtable_allrows" sheetId="4" r:id="rId40"/>
    <sheet name="compute r" sheetId="7" r:id="rId41"/>
    <sheet name="summary_tab" sheetId="2" r:id="rId42"/>
    <sheet name="SNPinfo" sheetId="5" r:id="rId43"/>
    <sheet name="6_corrected_data" sheetId="52" r:id="rId44"/>
    <sheet name="overview_6_orig data" sheetId="53" r:id="rId45"/>
  </sheets>
  <definedNames>
    <definedName name="_xlnm.Print_Area" localSheetId="2">N_SNPs!$A$1:$X$32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5" i="35" l="1"/>
  <c r="C31" i="51"/>
  <c r="C30" i="51"/>
  <c r="C29" i="51"/>
  <c r="C28" i="51"/>
  <c r="B15" i="43"/>
  <c r="I16" i="43"/>
  <c r="H16" i="43"/>
  <c r="J16" i="43"/>
  <c r="B15" i="27"/>
  <c r="J17" i="27"/>
  <c r="I17" i="27"/>
  <c r="K17" i="27"/>
  <c r="B15" i="30"/>
  <c r="J16" i="30"/>
  <c r="I16" i="30"/>
  <c r="K16" i="30"/>
  <c r="E18" i="33"/>
  <c r="B15" i="38"/>
  <c r="J17" i="38"/>
  <c r="I17" i="38"/>
  <c r="K17" i="38"/>
  <c r="B15" i="23"/>
  <c r="C27" i="51"/>
  <c r="C26" i="51"/>
  <c r="C25" i="51"/>
  <c r="C24" i="51"/>
  <c r="C23" i="51"/>
  <c r="C22" i="51"/>
  <c r="C21" i="51"/>
  <c r="C20" i="51"/>
  <c r="C19" i="51"/>
  <c r="C17" i="51"/>
  <c r="C18" i="51"/>
  <c r="C16" i="51"/>
  <c r="C15" i="51"/>
  <c r="C14" i="51"/>
  <c r="C13" i="51"/>
  <c r="C12" i="51"/>
  <c r="C11" i="51"/>
  <c r="C10" i="51"/>
  <c r="C9" i="51"/>
  <c r="C8" i="51"/>
  <c r="C7" i="51"/>
  <c r="C6" i="51"/>
  <c r="C5" i="51"/>
  <c r="C4" i="51"/>
  <c r="C3" i="51"/>
  <c r="C2" i="51"/>
  <c r="N6" i="12"/>
  <c r="N5" i="12"/>
  <c r="N4" i="12"/>
  <c r="G5" i="11"/>
  <c r="G6" i="11"/>
  <c r="G4" i="11"/>
  <c r="B6" i="10"/>
  <c r="B9" i="40"/>
  <c r="B6" i="12"/>
  <c r="AK1" i="1"/>
  <c r="B14" i="14"/>
  <c r="K21" i="52"/>
  <c r="K20" i="52"/>
  <c r="J21" i="52"/>
  <c r="J20" i="52"/>
  <c r="I21" i="52"/>
  <c r="I20" i="52"/>
  <c r="K16" i="52"/>
  <c r="K15" i="52"/>
  <c r="J16" i="52"/>
  <c r="J15" i="52"/>
  <c r="I16" i="52"/>
  <c r="I15" i="52"/>
  <c r="J11" i="52"/>
  <c r="J10" i="52"/>
  <c r="J9" i="52"/>
  <c r="I11" i="52"/>
  <c r="I10" i="52"/>
  <c r="I9" i="52"/>
  <c r="K11" i="52"/>
  <c r="K10" i="52"/>
  <c r="K9" i="52"/>
  <c r="B32" i="53"/>
  <c r="B31" i="53"/>
  <c r="B29" i="53"/>
  <c r="B28" i="53"/>
  <c r="B27" i="53"/>
  <c r="B26" i="53"/>
  <c r="H8" i="53"/>
  <c r="I4" i="53"/>
  <c r="K4" i="53"/>
  <c r="I5" i="53"/>
  <c r="K5" i="53"/>
  <c r="I6" i="53"/>
  <c r="K6" i="53"/>
  <c r="K8" i="53"/>
  <c r="L4" i="53"/>
  <c r="L5" i="53"/>
  <c r="L6" i="53"/>
  <c r="L8" i="53"/>
  <c r="I8" i="53"/>
  <c r="M4" i="53"/>
  <c r="M5" i="53"/>
  <c r="M6" i="53"/>
  <c r="M8" i="53"/>
  <c r="J4" i="53"/>
  <c r="J5" i="53"/>
  <c r="J6" i="53"/>
  <c r="J8" i="53"/>
  <c r="F12" i="53"/>
  <c r="B15" i="53"/>
  <c r="B14" i="53"/>
  <c r="F13" i="53"/>
  <c r="B13" i="53"/>
  <c r="F11" i="53"/>
  <c r="B11" i="53"/>
  <c r="B10" i="53"/>
  <c r="B9" i="53"/>
  <c r="B8" i="53"/>
  <c r="B6" i="53"/>
  <c r="B5" i="53"/>
  <c r="B4" i="53"/>
  <c r="B3" i="53"/>
  <c r="B2" i="53"/>
  <c r="J6" i="52"/>
  <c r="J5" i="52"/>
  <c r="J4" i="52"/>
  <c r="I6" i="52"/>
  <c r="I5" i="52"/>
  <c r="I4" i="52"/>
  <c r="K6" i="52"/>
  <c r="K5" i="52"/>
  <c r="K4" i="52"/>
  <c r="B10" i="23"/>
  <c r="G8" i="42"/>
  <c r="H4" i="42"/>
  <c r="H5" i="42"/>
  <c r="H6" i="42"/>
  <c r="B14" i="42"/>
  <c r="H8" i="42"/>
  <c r="I4" i="42"/>
  <c r="I5" i="42"/>
  <c r="I6" i="42"/>
  <c r="I8" i="42"/>
  <c r="E17" i="42"/>
  <c r="F17" i="42"/>
  <c r="B15" i="42"/>
  <c r="B14" i="37"/>
  <c r="B14" i="35"/>
  <c r="B32" i="33"/>
  <c r="B14" i="24"/>
  <c r="B14" i="17"/>
  <c r="H4" i="43"/>
  <c r="H6" i="43"/>
  <c r="H5" i="43"/>
  <c r="B14" i="43"/>
  <c r="B14" i="9"/>
  <c r="D34" i="51"/>
  <c r="D35" i="51"/>
  <c r="D36" i="51"/>
  <c r="D37" i="51"/>
  <c r="H4" i="29"/>
  <c r="H8" i="29"/>
  <c r="E18" i="29"/>
  <c r="F18" i="29"/>
  <c r="B15" i="29"/>
  <c r="H4" i="28"/>
  <c r="H5" i="28"/>
  <c r="H8" i="28"/>
  <c r="E18" i="28"/>
  <c r="F18" i="28"/>
  <c r="B15" i="28"/>
  <c r="B11" i="43"/>
  <c r="B11" i="12"/>
  <c r="B11" i="32"/>
  <c r="B11" i="31"/>
  <c r="B5" i="25"/>
  <c r="B5" i="21"/>
  <c r="J31" i="44"/>
  <c r="E31" i="44"/>
  <c r="H31" i="44"/>
  <c r="B4" i="42"/>
  <c r="B31" i="44"/>
  <c r="J30" i="44"/>
  <c r="E30" i="44"/>
  <c r="H30" i="44"/>
  <c r="B4" i="41"/>
  <c r="B30" i="44"/>
  <c r="J28" i="44"/>
  <c r="J29" i="44"/>
  <c r="E29" i="44"/>
  <c r="H29" i="44"/>
  <c r="B4" i="40"/>
  <c r="B29" i="44"/>
  <c r="E28" i="44"/>
  <c r="H28" i="44"/>
  <c r="B5" i="38"/>
  <c r="F28" i="44"/>
  <c r="B6" i="38"/>
  <c r="G28" i="44"/>
  <c r="B4" i="32"/>
  <c r="B4" i="38"/>
  <c r="B28" i="44"/>
  <c r="J27" i="44"/>
  <c r="E27" i="44"/>
  <c r="H27" i="44"/>
  <c r="B4" i="37"/>
  <c r="B27" i="44"/>
  <c r="J26" i="44"/>
  <c r="E26" i="44"/>
  <c r="H26" i="44"/>
  <c r="B4" i="36"/>
  <c r="B26" i="44"/>
  <c r="J25" i="44"/>
  <c r="E25" i="44"/>
  <c r="H25" i="44"/>
  <c r="B4" i="35"/>
  <c r="B25" i="44"/>
  <c r="J24" i="44"/>
  <c r="E24" i="44"/>
  <c r="H24" i="44"/>
  <c r="B4" i="34"/>
  <c r="B24" i="44"/>
  <c r="J23" i="44"/>
  <c r="E23" i="44"/>
  <c r="H23" i="44"/>
  <c r="B4" i="33"/>
  <c r="B23" i="44"/>
  <c r="J22" i="44"/>
  <c r="E22" i="44"/>
  <c r="H22" i="44"/>
  <c r="B22" i="44"/>
  <c r="J21" i="44"/>
  <c r="E21" i="44"/>
  <c r="H21" i="44"/>
  <c r="B4" i="31"/>
  <c r="B21" i="44"/>
  <c r="J20" i="44"/>
  <c r="E20" i="44"/>
  <c r="H20" i="44"/>
  <c r="B4" i="30"/>
  <c r="B20" i="44"/>
  <c r="J19" i="44"/>
  <c r="E19" i="44"/>
  <c r="H19" i="44"/>
  <c r="B4" i="29"/>
  <c r="B19" i="44"/>
  <c r="J18" i="44"/>
  <c r="E18" i="44"/>
  <c r="H18" i="44"/>
  <c r="B6" i="28"/>
  <c r="G18" i="44"/>
  <c r="B5" i="28"/>
  <c r="F18" i="44"/>
  <c r="J17" i="44"/>
  <c r="E17" i="44"/>
  <c r="H17" i="44"/>
  <c r="J16" i="44"/>
  <c r="B5" i="26"/>
  <c r="E16" i="44"/>
  <c r="F16" i="44"/>
  <c r="B6" i="26"/>
  <c r="G16" i="44"/>
  <c r="H16" i="44"/>
  <c r="B4" i="26"/>
  <c r="B16" i="44"/>
  <c r="B4" i="11"/>
  <c r="B4" i="27"/>
  <c r="B17" i="44"/>
  <c r="B4" i="28"/>
  <c r="B18" i="44"/>
  <c r="J15" i="44"/>
  <c r="E15" i="44"/>
  <c r="H15" i="44"/>
  <c r="B4" i="25"/>
  <c r="B15" i="44"/>
  <c r="J14" i="44"/>
  <c r="E14" i="44"/>
  <c r="H14" i="44"/>
  <c r="B4" i="24"/>
  <c r="B14" i="44"/>
  <c r="J13" i="44"/>
  <c r="E13" i="44"/>
  <c r="H13" i="44"/>
  <c r="B4" i="23"/>
  <c r="B13" i="44"/>
  <c r="J12" i="44"/>
  <c r="E12" i="44"/>
  <c r="H12" i="44"/>
  <c r="B4" i="21"/>
  <c r="B12" i="44"/>
  <c r="J11" i="44"/>
  <c r="E11" i="44"/>
  <c r="H11" i="44"/>
  <c r="B4" i="18"/>
  <c r="B11" i="44"/>
  <c r="J10" i="44"/>
  <c r="B4" i="17"/>
  <c r="E10" i="44"/>
  <c r="B10" i="44"/>
  <c r="J9" i="44"/>
  <c r="J8" i="44"/>
  <c r="B5" i="35"/>
  <c r="F9" i="44"/>
  <c r="B6" i="35"/>
  <c r="B6" i="17"/>
  <c r="G9" i="44"/>
  <c r="E9" i="44"/>
  <c r="H9" i="44"/>
  <c r="B5" i="41"/>
  <c r="B5" i="18"/>
  <c r="F10" i="44"/>
  <c r="B6" i="41"/>
  <c r="B6" i="18"/>
  <c r="G10" i="44"/>
  <c r="H10" i="44"/>
  <c r="B6" i="16"/>
  <c r="G8" i="44"/>
  <c r="E8" i="44"/>
  <c r="H8" i="44"/>
  <c r="B5" i="16"/>
  <c r="B4" i="16"/>
  <c r="B9" i="44"/>
  <c r="B4" i="15"/>
  <c r="B8" i="44"/>
  <c r="J7" i="44"/>
  <c r="E7" i="44"/>
  <c r="H7" i="44"/>
  <c r="B4" i="14"/>
  <c r="B7" i="44"/>
  <c r="J6" i="44"/>
  <c r="E6" i="44"/>
  <c r="H6" i="44"/>
  <c r="B6" i="44"/>
  <c r="J3" i="44"/>
  <c r="J4" i="44"/>
  <c r="J5" i="44"/>
  <c r="J2" i="44"/>
  <c r="B4" i="12"/>
  <c r="E5" i="44"/>
  <c r="B5" i="44"/>
  <c r="E4" i="44"/>
  <c r="B4" i="44"/>
  <c r="B4" i="10"/>
  <c r="E3" i="44"/>
  <c r="B3" i="44"/>
  <c r="H56" i="49"/>
  <c r="G56" i="49"/>
  <c r="F56" i="49"/>
  <c r="H55" i="49"/>
  <c r="G55" i="49"/>
  <c r="F55" i="49"/>
  <c r="H54" i="49"/>
  <c r="G54" i="49"/>
  <c r="F54" i="49"/>
  <c r="H53" i="49"/>
  <c r="G53" i="49"/>
  <c r="F53" i="49"/>
  <c r="H52" i="49"/>
  <c r="G52" i="49"/>
  <c r="F52" i="49"/>
  <c r="H51" i="49"/>
  <c r="G51" i="49"/>
  <c r="F51" i="49"/>
  <c r="H50" i="49"/>
  <c r="G50" i="49"/>
  <c r="F50" i="49"/>
  <c r="H49" i="49"/>
  <c r="G49" i="49"/>
  <c r="F49" i="49"/>
  <c r="H48" i="49"/>
  <c r="G48" i="49"/>
  <c r="F48" i="49"/>
  <c r="D2" i="49"/>
  <c r="B4" i="9"/>
  <c r="B2" i="49"/>
  <c r="I2" i="49"/>
  <c r="I3" i="49"/>
  <c r="I4" i="49"/>
  <c r="I5" i="49"/>
  <c r="I6" i="49"/>
  <c r="I7" i="49"/>
  <c r="I8" i="49"/>
  <c r="I9" i="49"/>
  <c r="I10" i="49"/>
  <c r="I11" i="49"/>
  <c r="I12" i="49"/>
  <c r="I13" i="49"/>
  <c r="I14" i="49"/>
  <c r="I15" i="49"/>
  <c r="I16" i="49"/>
  <c r="I17" i="49"/>
  <c r="I18" i="49"/>
  <c r="I19" i="49"/>
  <c r="I20" i="49"/>
  <c r="I21" i="49"/>
  <c r="I22" i="49"/>
  <c r="I23" i="49"/>
  <c r="I24" i="49"/>
  <c r="I25" i="49"/>
  <c r="I26" i="49"/>
  <c r="I27" i="49"/>
  <c r="I28" i="49"/>
  <c r="I29" i="49"/>
  <c r="I30" i="49"/>
  <c r="I31" i="49"/>
  <c r="F35" i="49"/>
  <c r="G35" i="49"/>
  <c r="H35" i="49"/>
  <c r="F36" i="49"/>
  <c r="G36" i="49"/>
  <c r="H36" i="49"/>
  <c r="F37" i="49"/>
  <c r="G37" i="49"/>
  <c r="H37" i="49"/>
  <c r="F38" i="49"/>
  <c r="G38" i="49"/>
  <c r="H38" i="49"/>
  <c r="F39" i="49"/>
  <c r="G39" i="49"/>
  <c r="H39" i="49"/>
  <c r="F40" i="49"/>
  <c r="G40" i="49"/>
  <c r="H40" i="49"/>
  <c r="F41" i="49"/>
  <c r="G41" i="49"/>
  <c r="H41" i="49"/>
  <c r="F42" i="49"/>
  <c r="G42" i="49"/>
  <c r="H42" i="49"/>
  <c r="F43" i="49"/>
  <c r="G43" i="49"/>
  <c r="H43" i="49"/>
  <c r="I44" i="49"/>
  <c r="I43" i="49"/>
  <c r="D43" i="49"/>
  <c r="I42" i="49"/>
  <c r="D42" i="49"/>
  <c r="I41" i="49"/>
  <c r="D41" i="49"/>
  <c r="I40" i="49"/>
  <c r="D40" i="49"/>
  <c r="I39" i="49"/>
  <c r="D39" i="49"/>
  <c r="I38" i="49"/>
  <c r="D38" i="49"/>
  <c r="I37" i="49"/>
  <c r="D37" i="49"/>
  <c r="I36" i="49"/>
  <c r="D36" i="49"/>
  <c r="I35" i="49"/>
  <c r="D35" i="49"/>
  <c r="D31" i="49"/>
  <c r="L31" i="49"/>
  <c r="G31" i="49"/>
  <c r="B6" i="37"/>
  <c r="F31" i="49"/>
  <c r="B5" i="37"/>
  <c r="E31" i="49"/>
  <c r="D30" i="49"/>
  <c r="L30" i="49"/>
  <c r="G30" i="49"/>
  <c r="B6" i="33"/>
  <c r="F30" i="49"/>
  <c r="B5" i="33"/>
  <c r="E30" i="49"/>
  <c r="D29" i="49"/>
  <c r="L29" i="49"/>
  <c r="G29" i="49"/>
  <c r="B6" i="32"/>
  <c r="F29" i="49"/>
  <c r="B5" i="32"/>
  <c r="E29" i="49"/>
  <c r="L28" i="49"/>
  <c r="G28" i="49"/>
  <c r="F28" i="49"/>
  <c r="E28" i="49"/>
  <c r="D28" i="49"/>
  <c r="D27" i="49"/>
  <c r="L27" i="49"/>
  <c r="G27" i="49"/>
  <c r="F27" i="49"/>
  <c r="E27" i="49"/>
  <c r="D26" i="49"/>
  <c r="L26" i="49"/>
  <c r="G26" i="49"/>
  <c r="B6" i="15"/>
  <c r="F26" i="49"/>
  <c r="B5" i="15"/>
  <c r="E26" i="49"/>
  <c r="D25" i="49"/>
  <c r="L25" i="49"/>
  <c r="G25" i="49"/>
  <c r="B6" i="34"/>
  <c r="F25" i="49"/>
  <c r="B5" i="34"/>
  <c r="E25" i="49"/>
  <c r="D24" i="49"/>
  <c r="L24" i="49"/>
  <c r="G24" i="49"/>
  <c r="B6" i="30"/>
  <c r="F24" i="49"/>
  <c r="B5" i="30"/>
  <c r="E24" i="49"/>
  <c r="D23" i="49"/>
  <c r="L23" i="49"/>
  <c r="G23" i="49"/>
  <c r="F23" i="49"/>
  <c r="E23" i="49"/>
  <c r="D22" i="49"/>
  <c r="L22" i="49"/>
  <c r="G22" i="49"/>
  <c r="B6" i="25"/>
  <c r="F22" i="49"/>
  <c r="E22" i="49"/>
  <c r="D21" i="49"/>
  <c r="L21" i="49"/>
  <c r="G21" i="49"/>
  <c r="B6" i="14"/>
  <c r="F21" i="49"/>
  <c r="B5" i="14"/>
  <c r="E21" i="49"/>
  <c r="D20" i="49"/>
  <c r="L20" i="49"/>
  <c r="G20" i="49"/>
  <c r="F20" i="49"/>
  <c r="B5" i="12"/>
  <c r="E20" i="49"/>
  <c r="D19" i="49"/>
  <c r="L19" i="49"/>
  <c r="G19" i="49"/>
  <c r="B6" i="36"/>
  <c r="F19" i="49"/>
  <c r="B5" i="36"/>
  <c r="E19" i="49"/>
  <c r="L18" i="49"/>
  <c r="G18" i="49"/>
  <c r="F18" i="49"/>
  <c r="E18" i="49"/>
  <c r="D18" i="49"/>
  <c r="D17" i="49"/>
  <c r="L17" i="49"/>
  <c r="G17" i="49"/>
  <c r="B6" i="11"/>
  <c r="F17" i="49"/>
  <c r="B5" i="11"/>
  <c r="E17" i="49"/>
  <c r="D16" i="49"/>
  <c r="L16" i="49"/>
  <c r="G16" i="49"/>
  <c r="B6" i="31"/>
  <c r="F16" i="49"/>
  <c r="B5" i="31"/>
  <c r="E16" i="49"/>
  <c r="D15" i="49"/>
  <c r="L15" i="49"/>
  <c r="G15" i="49"/>
  <c r="B6" i="24"/>
  <c r="F15" i="49"/>
  <c r="B5" i="24"/>
  <c r="E15" i="49"/>
  <c r="D14" i="49"/>
  <c r="L14" i="49"/>
  <c r="G14" i="49"/>
  <c r="F14" i="49"/>
  <c r="B5" i="10"/>
  <c r="E14" i="49"/>
  <c r="D13" i="49"/>
  <c r="L13" i="49"/>
  <c r="K13" i="49"/>
  <c r="G13" i="49"/>
  <c r="B6" i="42"/>
  <c r="F13" i="49"/>
  <c r="B5" i="42"/>
  <c r="E13" i="49"/>
  <c r="D12" i="49"/>
  <c r="L12" i="49"/>
  <c r="G12" i="49"/>
  <c r="F12" i="49"/>
  <c r="E12" i="49"/>
  <c r="D11" i="49"/>
  <c r="L11" i="49"/>
  <c r="G11" i="49"/>
  <c r="F11" i="49"/>
  <c r="E11" i="49"/>
  <c r="D10" i="49"/>
  <c r="L10" i="49"/>
  <c r="G10" i="49"/>
  <c r="F10" i="49"/>
  <c r="E10" i="49"/>
  <c r="D9" i="49"/>
  <c r="L9" i="49"/>
  <c r="G9" i="49"/>
  <c r="F9" i="49"/>
  <c r="E9" i="49"/>
  <c r="L8" i="49"/>
  <c r="G8" i="49"/>
  <c r="F8" i="49"/>
  <c r="E8" i="49"/>
  <c r="D8" i="49"/>
  <c r="D7" i="49"/>
  <c r="L7" i="49"/>
  <c r="G7" i="49"/>
  <c r="B6" i="27"/>
  <c r="F7" i="49"/>
  <c r="B5" i="27"/>
  <c r="E7" i="49"/>
  <c r="D6" i="49"/>
  <c r="L6" i="49"/>
  <c r="G6" i="49"/>
  <c r="B6" i="21"/>
  <c r="F6" i="49"/>
  <c r="E6" i="49"/>
  <c r="D5" i="49"/>
  <c r="L5" i="49"/>
  <c r="G5" i="49"/>
  <c r="F5" i="49"/>
  <c r="E5" i="49"/>
  <c r="D4" i="49"/>
  <c r="L4" i="49"/>
  <c r="G4" i="49"/>
  <c r="F4" i="49"/>
  <c r="E4" i="49"/>
  <c r="D3" i="49"/>
  <c r="L3" i="49"/>
  <c r="G3" i="49"/>
  <c r="F3" i="49"/>
  <c r="E3" i="49"/>
  <c r="L2" i="49"/>
  <c r="G2" i="49"/>
  <c r="B6" i="9"/>
  <c r="F2" i="49"/>
  <c r="B5" i="9"/>
  <c r="E2" i="49"/>
  <c r="E2" i="44"/>
  <c r="B2" i="44"/>
  <c r="H5" i="44"/>
  <c r="H4" i="44"/>
  <c r="H3" i="44"/>
  <c r="H2" i="44"/>
  <c r="Z29" i="46"/>
  <c r="L29" i="48"/>
  <c r="Z3" i="46"/>
  <c r="L3" i="48"/>
  <c r="Z4" i="46"/>
  <c r="L4" i="48"/>
  <c r="Z5" i="46"/>
  <c r="L5" i="48"/>
  <c r="Z6" i="46"/>
  <c r="L6" i="48"/>
  <c r="Z7" i="46"/>
  <c r="L7" i="48"/>
  <c r="Z8" i="46"/>
  <c r="L8" i="48"/>
  <c r="Z9" i="46"/>
  <c r="L9" i="48"/>
  <c r="Z10" i="46"/>
  <c r="L10" i="48"/>
  <c r="Z11" i="46"/>
  <c r="L11" i="48"/>
  <c r="Z12" i="46"/>
  <c r="L12" i="48"/>
  <c r="Z13" i="46"/>
  <c r="L13" i="48"/>
  <c r="Z14" i="46"/>
  <c r="L14" i="48"/>
  <c r="Z15" i="46"/>
  <c r="L15" i="48"/>
  <c r="Z16" i="46"/>
  <c r="L16" i="48"/>
  <c r="Z17" i="46"/>
  <c r="L17" i="48"/>
  <c r="Z18" i="46"/>
  <c r="L18" i="48"/>
  <c r="Z19" i="46"/>
  <c r="L19" i="48"/>
  <c r="Z20" i="46"/>
  <c r="L20" i="48"/>
  <c r="Z21" i="46"/>
  <c r="L21" i="48"/>
  <c r="Z22" i="46"/>
  <c r="L22" i="48"/>
  <c r="Z23" i="46"/>
  <c r="L23" i="48"/>
  <c r="Z24" i="46"/>
  <c r="L24" i="48"/>
  <c r="Z25" i="46"/>
  <c r="L25" i="48"/>
  <c r="Z26" i="46"/>
  <c r="L26" i="48"/>
  <c r="Z27" i="46"/>
  <c r="L27" i="48"/>
  <c r="Z28" i="46"/>
  <c r="L28" i="48"/>
  <c r="Z30" i="46"/>
  <c r="L30" i="48"/>
  <c r="Z31" i="46"/>
  <c r="L31" i="48"/>
  <c r="Z2" i="46"/>
  <c r="L2" i="48"/>
  <c r="X2" i="46"/>
  <c r="V4" i="46"/>
  <c r="T3" i="46"/>
  <c r="H3" i="48"/>
  <c r="M3" i="46"/>
  <c r="F3" i="48"/>
  <c r="V3" i="46"/>
  <c r="B3" i="48"/>
  <c r="B29" i="10"/>
  <c r="G3" i="46"/>
  <c r="C3" i="48"/>
  <c r="B27" i="10"/>
  <c r="K3" i="46"/>
  <c r="E3" i="48"/>
  <c r="J3" i="48"/>
  <c r="T4" i="46"/>
  <c r="H4" i="48"/>
  <c r="M4" i="46"/>
  <c r="F4" i="48"/>
  <c r="B4" i="48"/>
  <c r="B29" i="11"/>
  <c r="G4" i="46"/>
  <c r="C4" i="48"/>
  <c r="K4" i="46"/>
  <c r="E4" i="48"/>
  <c r="J4" i="48"/>
  <c r="T5" i="46"/>
  <c r="H5" i="48"/>
  <c r="M5" i="46"/>
  <c r="F5" i="48"/>
  <c r="V5" i="46"/>
  <c r="B5" i="48"/>
  <c r="B29" i="12"/>
  <c r="G5" i="46"/>
  <c r="C5" i="48"/>
  <c r="B27" i="12"/>
  <c r="K5" i="46"/>
  <c r="E5" i="48"/>
  <c r="J5" i="48"/>
  <c r="T6" i="46"/>
  <c r="H6" i="48"/>
  <c r="M6" i="46"/>
  <c r="F6" i="48"/>
  <c r="V6" i="46"/>
  <c r="B6" i="48"/>
  <c r="G6" i="46"/>
  <c r="C6" i="48"/>
  <c r="B27" i="43"/>
  <c r="K6" i="46"/>
  <c r="E6" i="48"/>
  <c r="J6" i="48"/>
  <c r="T7" i="46"/>
  <c r="H7" i="48"/>
  <c r="M7" i="46"/>
  <c r="F7" i="48"/>
  <c r="V7" i="46"/>
  <c r="B7" i="48"/>
  <c r="B29" i="14"/>
  <c r="G7" i="46"/>
  <c r="C7" i="48"/>
  <c r="B27" i="14"/>
  <c r="K7" i="46"/>
  <c r="E7" i="48"/>
  <c r="J7" i="48"/>
  <c r="T8" i="46"/>
  <c r="H8" i="48"/>
  <c r="M8" i="46"/>
  <c r="F8" i="48"/>
  <c r="V8" i="46"/>
  <c r="B8" i="48"/>
  <c r="B29" i="15"/>
  <c r="G8" i="46"/>
  <c r="C8" i="48"/>
  <c r="B27" i="15"/>
  <c r="K8" i="46"/>
  <c r="E8" i="48"/>
  <c r="J8" i="48"/>
  <c r="T9" i="46"/>
  <c r="H9" i="48"/>
  <c r="M9" i="46"/>
  <c r="F9" i="48"/>
  <c r="V9" i="46"/>
  <c r="B9" i="48"/>
  <c r="B29" i="16"/>
  <c r="G9" i="46"/>
  <c r="C9" i="48"/>
  <c r="B27" i="16"/>
  <c r="K9" i="46"/>
  <c r="E9" i="48"/>
  <c r="J9" i="48"/>
  <c r="T10" i="46"/>
  <c r="H10" i="48"/>
  <c r="M10" i="46"/>
  <c r="F10" i="48"/>
  <c r="V10" i="46"/>
  <c r="B10" i="48"/>
  <c r="B29" i="17"/>
  <c r="G10" i="46"/>
  <c r="C10" i="48"/>
  <c r="B27" i="17"/>
  <c r="K10" i="46"/>
  <c r="E10" i="48"/>
  <c r="J10" i="48"/>
  <c r="T11" i="46"/>
  <c r="H11" i="48"/>
  <c r="M11" i="46"/>
  <c r="F11" i="48"/>
  <c r="V11" i="46"/>
  <c r="B11" i="48"/>
  <c r="B29" i="18"/>
  <c r="G11" i="46"/>
  <c r="C11" i="48"/>
  <c r="B27" i="18"/>
  <c r="K11" i="46"/>
  <c r="E11" i="48"/>
  <c r="J11" i="48"/>
  <c r="T12" i="46"/>
  <c r="H12" i="48"/>
  <c r="M12" i="46"/>
  <c r="F12" i="48"/>
  <c r="V12" i="46"/>
  <c r="B12" i="48"/>
  <c r="B29" i="21"/>
  <c r="G12" i="46"/>
  <c r="C12" i="48"/>
  <c r="B27" i="21"/>
  <c r="K12" i="46"/>
  <c r="E12" i="48"/>
  <c r="J12" i="48"/>
  <c r="T13" i="46"/>
  <c r="H13" i="48"/>
  <c r="M13" i="46"/>
  <c r="F13" i="48"/>
  <c r="V13" i="46"/>
  <c r="B13" i="48"/>
  <c r="B29" i="23"/>
  <c r="G13" i="46"/>
  <c r="C13" i="48"/>
  <c r="B27" i="23"/>
  <c r="K13" i="46"/>
  <c r="E13" i="48"/>
  <c r="J13" i="48"/>
  <c r="T14" i="46"/>
  <c r="H14" i="48"/>
  <c r="M14" i="46"/>
  <c r="F14" i="48"/>
  <c r="V14" i="46"/>
  <c r="B14" i="48"/>
  <c r="B29" i="24"/>
  <c r="G14" i="46"/>
  <c r="C14" i="48"/>
  <c r="B27" i="24"/>
  <c r="K14" i="46"/>
  <c r="E14" i="48"/>
  <c r="J14" i="48"/>
  <c r="T15" i="46"/>
  <c r="H15" i="48"/>
  <c r="M15" i="46"/>
  <c r="F15" i="48"/>
  <c r="V15" i="46"/>
  <c r="B15" i="48"/>
  <c r="B29" i="25"/>
  <c r="G15" i="46"/>
  <c r="C15" i="48"/>
  <c r="B27" i="25"/>
  <c r="K15" i="46"/>
  <c r="E15" i="48"/>
  <c r="J15" i="48"/>
  <c r="T16" i="46"/>
  <c r="H16" i="48"/>
  <c r="M16" i="46"/>
  <c r="F16" i="48"/>
  <c r="V16" i="46"/>
  <c r="B16" i="48"/>
  <c r="B29" i="26"/>
  <c r="G16" i="46"/>
  <c r="C16" i="48"/>
  <c r="B27" i="26"/>
  <c r="K16" i="46"/>
  <c r="E16" i="48"/>
  <c r="J16" i="48"/>
  <c r="T17" i="46"/>
  <c r="H17" i="48"/>
  <c r="M17" i="46"/>
  <c r="F17" i="48"/>
  <c r="V17" i="46"/>
  <c r="B17" i="48"/>
  <c r="B29" i="27"/>
  <c r="G17" i="46"/>
  <c r="C17" i="48"/>
  <c r="B27" i="27"/>
  <c r="K17" i="46"/>
  <c r="E17" i="48"/>
  <c r="J17" i="48"/>
  <c r="T18" i="46"/>
  <c r="H18" i="48"/>
  <c r="M18" i="46"/>
  <c r="F18" i="48"/>
  <c r="V18" i="46"/>
  <c r="B18" i="48"/>
  <c r="B29" i="28"/>
  <c r="G18" i="46"/>
  <c r="C18" i="48"/>
  <c r="B27" i="28"/>
  <c r="K18" i="46"/>
  <c r="E18" i="48"/>
  <c r="J18" i="48"/>
  <c r="T19" i="46"/>
  <c r="H19" i="48"/>
  <c r="M19" i="46"/>
  <c r="F19" i="48"/>
  <c r="V19" i="46"/>
  <c r="B19" i="48"/>
  <c r="B29" i="29"/>
  <c r="G19" i="46"/>
  <c r="C19" i="48"/>
  <c r="B27" i="29"/>
  <c r="K19" i="46"/>
  <c r="E19" i="48"/>
  <c r="J19" i="48"/>
  <c r="T20" i="46"/>
  <c r="H20" i="48"/>
  <c r="M20" i="46"/>
  <c r="F20" i="48"/>
  <c r="V20" i="46"/>
  <c r="B20" i="48"/>
  <c r="B29" i="30"/>
  <c r="G20" i="46"/>
  <c r="C20" i="48"/>
  <c r="B27" i="30"/>
  <c r="K20" i="46"/>
  <c r="E20" i="48"/>
  <c r="J20" i="48"/>
  <c r="T21" i="46"/>
  <c r="H21" i="48"/>
  <c r="M21" i="46"/>
  <c r="F21" i="48"/>
  <c r="V21" i="46"/>
  <c r="B21" i="48"/>
  <c r="B29" i="31"/>
  <c r="G21" i="46"/>
  <c r="C21" i="48"/>
  <c r="B27" i="31"/>
  <c r="K21" i="46"/>
  <c r="E21" i="48"/>
  <c r="J21" i="48"/>
  <c r="T22" i="46"/>
  <c r="H22" i="48"/>
  <c r="M22" i="46"/>
  <c r="F22" i="48"/>
  <c r="V22" i="46"/>
  <c r="B22" i="48"/>
  <c r="B29" i="32"/>
  <c r="G22" i="46"/>
  <c r="C22" i="48"/>
  <c r="B27" i="32"/>
  <c r="K22" i="46"/>
  <c r="E22" i="48"/>
  <c r="J22" i="48"/>
  <c r="T23" i="46"/>
  <c r="H23" i="48"/>
  <c r="M23" i="46"/>
  <c r="F23" i="48"/>
  <c r="V23" i="46"/>
  <c r="B23" i="48"/>
  <c r="B29" i="33"/>
  <c r="G23" i="46"/>
  <c r="C23" i="48"/>
  <c r="E23" i="48"/>
  <c r="J23" i="48"/>
  <c r="T24" i="46"/>
  <c r="H24" i="48"/>
  <c r="M24" i="46"/>
  <c r="F24" i="48"/>
  <c r="V24" i="46"/>
  <c r="B24" i="48"/>
  <c r="B29" i="34"/>
  <c r="G24" i="46"/>
  <c r="C24" i="48"/>
  <c r="B27" i="34"/>
  <c r="K24" i="46"/>
  <c r="E24" i="48"/>
  <c r="J24" i="48"/>
  <c r="T25" i="46"/>
  <c r="H25" i="48"/>
  <c r="M25" i="46"/>
  <c r="F25" i="48"/>
  <c r="V25" i="46"/>
  <c r="B25" i="48"/>
  <c r="B29" i="35"/>
  <c r="G25" i="46"/>
  <c r="C25" i="48"/>
  <c r="K25" i="46"/>
  <c r="E25" i="48"/>
  <c r="J25" i="48"/>
  <c r="T26" i="46"/>
  <c r="H26" i="48"/>
  <c r="M26" i="46"/>
  <c r="F26" i="48"/>
  <c r="V26" i="46"/>
  <c r="B26" i="48"/>
  <c r="B29" i="36"/>
  <c r="G26" i="46"/>
  <c r="C26" i="48"/>
  <c r="B27" i="36"/>
  <c r="K26" i="46"/>
  <c r="E26" i="48"/>
  <c r="J26" i="48"/>
  <c r="T27" i="46"/>
  <c r="H27" i="48"/>
  <c r="M27" i="46"/>
  <c r="F27" i="48"/>
  <c r="V27" i="46"/>
  <c r="B27" i="48"/>
  <c r="G27" i="46"/>
  <c r="C27" i="48"/>
  <c r="B27" i="37"/>
  <c r="K27" i="46"/>
  <c r="E27" i="48"/>
  <c r="J27" i="48"/>
  <c r="T28" i="46"/>
  <c r="H28" i="48"/>
  <c r="M28" i="46"/>
  <c r="F28" i="48"/>
  <c r="V28" i="46"/>
  <c r="B28" i="48"/>
  <c r="B29" i="38"/>
  <c r="G28" i="46"/>
  <c r="C28" i="48"/>
  <c r="B27" i="38"/>
  <c r="K28" i="46"/>
  <c r="E28" i="48"/>
  <c r="J28" i="48"/>
  <c r="T29" i="46"/>
  <c r="H29" i="48"/>
  <c r="M29" i="46"/>
  <c r="F29" i="48"/>
  <c r="V29" i="46"/>
  <c r="B29" i="48"/>
  <c r="B29" i="40"/>
  <c r="G29" i="46"/>
  <c r="C29" i="48"/>
  <c r="B27" i="40"/>
  <c r="K29" i="46"/>
  <c r="E29" i="48"/>
  <c r="J29" i="48"/>
  <c r="T30" i="46"/>
  <c r="H30" i="48"/>
  <c r="M30" i="46"/>
  <c r="F30" i="48"/>
  <c r="V30" i="46"/>
  <c r="B30" i="48"/>
  <c r="B29" i="41"/>
  <c r="G30" i="46"/>
  <c r="C30" i="48"/>
  <c r="B27" i="41"/>
  <c r="K30" i="46"/>
  <c r="E30" i="48"/>
  <c r="J30" i="48"/>
  <c r="T31" i="46"/>
  <c r="H31" i="48"/>
  <c r="M31" i="46"/>
  <c r="F31" i="48"/>
  <c r="V31" i="46"/>
  <c r="B31" i="48"/>
  <c r="B29" i="42"/>
  <c r="G31" i="46"/>
  <c r="C31" i="48"/>
  <c r="B27" i="42"/>
  <c r="K31" i="46"/>
  <c r="E31" i="48"/>
  <c r="J31" i="48"/>
  <c r="T2" i="46"/>
  <c r="H2" i="48"/>
  <c r="M2" i="46"/>
  <c r="F2" i="48"/>
  <c r="V2" i="46"/>
  <c r="B2" i="48"/>
  <c r="G2" i="46"/>
  <c r="C2" i="48"/>
  <c r="K2" i="46"/>
  <c r="E2" i="48"/>
  <c r="J2" i="48"/>
  <c r="N3" i="46"/>
  <c r="G3" i="48"/>
  <c r="N4" i="46"/>
  <c r="G4" i="48"/>
  <c r="N5" i="46"/>
  <c r="G5" i="48"/>
  <c r="N6" i="46"/>
  <c r="G6" i="48"/>
  <c r="N7" i="46"/>
  <c r="G7" i="48"/>
  <c r="N8" i="46"/>
  <c r="G8" i="48"/>
  <c r="N9" i="46"/>
  <c r="G9" i="48"/>
  <c r="N10" i="46"/>
  <c r="G10" i="48"/>
  <c r="N11" i="46"/>
  <c r="G11" i="48"/>
  <c r="N12" i="46"/>
  <c r="G12" i="48"/>
  <c r="N13" i="46"/>
  <c r="G13" i="48"/>
  <c r="N14" i="46"/>
  <c r="G14" i="48"/>
  <c r="N15" i="46"/>
  <c r="G15" i="48"/>
  <c r="N16" i="46"/>
  <c r="G16" i="48"/>
  <c r="N17" i="46"/>
  <c r="G17" i="48"/>
  <c r="N18" i="46"/>
  <c r="G18" i="48"/>
  <c r="N19" i="46"/>
  <c r="G19" i="48"/>
  <c r="N20" i="46"/>
  <c r="G20" i="48"/>
  <c r="N21" i="46"/>
  <c r="G21" i="48"/>
  <c r="N22" i="46"/>
  <c r="G22" i="48"/>
  <c r="N23" i="46"/>
  <c r="G23" i="48"/>
  <c r="N24" i="46"/>
  <c r="G24" i="48"/>
  <c r="N25" i="46"/>
  <c r="G25" i="48"/>
  <c r="N26" i="46"/>
  <c r="G26" i="48"/>
  <c r="N27" i="46"/>
  <c r="G27" i="48"/>
  <c r="N28" i="46"/>
  <c r="G28" i="48"/>
  <c r="N29" i="46"/>
  <c r="G29" i="48"/>
  <c r="N30" i="46"/>
  <c r="G30" i="48"/>
  <c r="N31" i="46"/>
  <c r="G31" i="48"/>
  <c r="N2" i="46"/>
  <c r="G2" i="48"/>
  <c r="H3" i="46"/>
  <c r="D3" i="48"/>
  <c r="B30" i="11"/>
  <c r="H4" i="46"/>
  <c r="D4" i="48"/>
  <c r="H5" i="46"/>
  <c r="D5" i="48"/>
  <c r="B30" i="43"/>
  <c r="H6" i="46"/>
  <c r="D6" i="48"/>
  <c r="H7" i="46"/>
  <c r="D7" i="48"/>
  <c r="B30" i="15"/>
  <c r="H8" i="46"/>
  <c r="D8" i="48"/>
  <c r="H9" i="46"/>
  <c r="D9" i="48"/>
  <c r="H10" i="46"/>
  <c r="D10" i="48"/>
  <c r="H11" i="46"/>
  <c r="D11" i="48"/>
  <c r="H12" i="46"/>
  <c r="D12" i="48"/>
  <c r="H13" i="46"/>
  <c r="D13" i="48"/>
  <c r="H14" i="46"/>
  <c r="D14" i="48"/>
  <c r="H15" i="46"/>
  <c r="D15" i="48"/>
  <c r="H16" i="46"/>
  <c r="D16" i="48"/>
  <c r="H17" i="46"/>
  <c r="D17" i="48"/>
  <c r="B30" i="28"/>
  <c r="H18" i="46"/>
  <c r="D18" i="48"/>
  <c r="B30" i="29"/>
  <c r="H19" i="46"/>
  <c r="D19" i="48"/>
  <c r="B30" i="30"/>
  <c r="H20" i="46"/>
  <c r="D20" i="48"/>
  <c r="H21" i="46"/>
  <c r="D21" i="48"/>
  <c r="H22" i="46"/>
  <c r="D22" i="48"/>
  <c r="D23" i="48"/>
  <c r="H24" i="46"/>
  <c r="D24" i="48"/>
  <c r="H25" i="46"/>
  <c r="D25" i="48"/>
  <c r="H26" i="46"/>
  <c r="D26" i="48"/>
  <c r="H27" i="46"/>
  <c r="D27" i="48"/>
  <c r="H28" i="46"/>
  <c r="D28" i="48"/>
  <c r="H29" i="46"/>
  <c r="D29" i="48"/>
  <c r="H30" i="46"/>
  <c r="D30" i="48"/>
  <c r="H31" i="46"/>
  <c r="D31" i="48"/>
  <c r="H2" i="46"/>
  <c r="D2" i="48"/>
  <c r="W31" i="46"/>
  <c r="W30" i="46"/>
  <c r="W29" i="46"/>
  <c r="W28" i="46"/>
  <c r="W27" i="46"/>
  <c r="W26" i="46"/>
  <c r="W25" i="46"/>
  <c r="W24" i="46"/>
  <c r="W23" i="46"/>
  <c r="W22" i="46"/>
  <c r="W21" i="46"/>
  <c r="W20" i="46"/>
  <c r="W19" i="46"/>
  <c r="W18" i="46"/>
  <c r="W17" i="46"/>
  <c r="W16" i="46"/>
  <c r="W15" i="46"/>
  <c r="W14" i="46"/>
  <c r="W13" i="46"/>
  <c r="W12" i="46"/>
  <c r="W11" i="46"/>
  <c r="W10" i="46"/>
  <c r="W9" i="46"/>
  <c r="W8" i="46"/>
  <c r="W7" i="46"/>
  <c r="W6" i="46"/>
  <c r="W5" i="46"/>
  <c r="W4" i="46"/>
  <c r="W3" i="46"/>
  <c r="W2" i="46"/>
  <c r="K9" i="48"/>
  <c r="K10" i="48"/>
  <c r="K11" i="48"/>
  <c r="K12" i="48"/>
  <c r="K13" i="48"/>
  <c r="K14" i="48"/>
  <c r="K15" i="48"/>
  <c r="K16" i="48"/>
  <c r="K17" i="48"/>
  <c r="K18" i="48"/>
  <c r="K19" i="48"/>
  <c r="K20" i="48"/>
  <c r="K21" i="48"/>
  <c r="K22" i="48"/>
  <c r="K23" i="48"/>
  <c r="K24" i="48"/>
  <c r="K25" i="48"/>
  <c r="K26" i="48"/>
  <c r="K27" i="48"/>
  <c r="K28" i="48"/>
  <c r="K29" i="48"/>
  <c r="K30" i="48"/>
  <c r="K31" i="48"/>
  <c r="K3" i="48"/>
  <c r="K4" i="48"/>
  <c r="K5" i="48"/>
  <c r="K6" i="48"/>
  <c r="K7" i="48"/>
  <c r="K8" i="48"/>
  <c r="K2" i="48"/>
  <c r="Y2" i="46"/>
  <c r="H31" i="19"/>
  <c r="H30" i="19"/>
  <c r="B17" i="40"/>
  <c r="H29" i="19"/>
  <c r="H28" i="19"/>
  <c r="H27" i="19"/>
  <c r="H26" i="19"/>
  <c r="H25" i="19"/>
  <c r="H24" i="19"/>
  <c r="H23" i="19"/>
  <c r="H22" i="19"/>
  <c r="H21" i="19"/>
  <c r="H20" i="19"/>
  <c r="H19" i="19"/>
  <c r="H18" i="19"/>
  <c r="H17" i="19"/>
  <c r="H16" i="19"/>
  <c r="H15" i="19"/>
  <c r="H14" i="19"/>
  <c r="H13" i="19"/>
  <c r="H12" i="19"/>
  <c r="H11" i="19"/>
  <c r="H10" i="19"/>
  <c r="H9" i="19"/>
  <c r="H8" i="19"/>
  <c r="H7" i="19"/>
  <c r="H6" i="19"/>
  <c r="H5" i="19"/>
  <c r="H4" i="19"/>
  <c r="H3" i="19"/>
  <c r="H2" i="19"/>
  <c r="Y3" i="46"/>
  <c r="Y4" i="46"/>
  <c r="Y5" i="46"/>
  <c r="Y6" i="46"/>
  <c r="Y7" i="46"/>
  <c r="Y8" i="46"/>
  <c r="Y9" i="46"/>
  <c r="Y10" i="46"/>
  <c r="Y11" i="46"/>
  <c r="Y12" i="46"/>
  <c r="Y13" i="46"/>
  <c r="Y14" i="46"/>
  <c r="Y15" i="46"/>
  <c r="Y16" i="46"/>
  <c r="Y17" i="46"/>
  <c r="Y18" i="46"/>
  <c r="Y19" i="46"/>
  <c r="Y20" i="46"/>
  <c r="Y21" i="46"/>
  <c r="Y22" i="46"/>
  <c r="Y23" i="46"/>
  <c r="Y24" i="46"/>
  <c r="Y25" i="46"/>
  <c r="Y26" i="46"/>
  <c r="Y27" i="46"/>
  <c r="Y28" i="46"/>
  <c r="Y29" i="46"/>
  <c r="Y30" i="46"/>
  <c r="Y31" i="46"/>
  <c r="H8" i="18"/>
  <c r="J20" i="18"/>
  <c r="B15" i="18"/>
  <c r="G31" i="19"/>
  <c r="G30" i="19"/>
  <c r="G29" i="19"/>
  <c r="G28" i="19"/>
  <c r="G27" i="19"/>
  <c r="G26" i="19"/>
  <c r="G25" i="19"/>
  <c r="G24" i="19"/>
  <c r="G23" i="19"/>
  <c r="G22" i="19"/>
  <c r="G21" i="19"/>
  <c r="G20" i="19"/>
  <c r="G19" i="19"/>
  <c r="G18" i="19"/>
  <c r="G17" i="19"/>
  <c r="G16" i="19"/>
  <c r="G15" i="19"/>
  <c r="G14" i="19"/>
  <c r="G13" i="19"/>
  <c r="G12" i="19"/>
  <c r="G11" i="19"/>
  <c r="G10" i="19"/>
  <c r="G9" i="19"/>
  <c r="G8" i="19"/>
  <c r="G7" i="19"/>
  <c r="G6" i="19"/>
  <c r="G5" i="19"/>
  <c r="G4" i="19"/>
  <c r="G3" i="19"/>
  <c r="G2" i="19"/>
  <c r="E18" i="42"/>
  <c r="F18" i="42"/>
  <c r="H8" i="41"/>
  <c r="I4" i="41"/>
  <c r="K4" i="41"/>
  <c r="I5" i="41"/>
  <c r="K5" i="41"/>
  <c r="K8" i="41"/>
  <c r="L4" i="41"/>
  <c r="L5" i="41"/>
  <c r="L8" i="41"/>
  <c r="I8" i="41"/>
  <c r="M4" i="41"/>
  <c r="M5" i="41"/>
  <c r="M8" i="41"/>
  <c r="G4" i="41"/>
  <c r="J4" i="41"/>
  <c r="G5" i="41"/>
  <c r="J5" i="41"/>
  <c r="J8" i="41"/>
  <c r="F12" i="41"/>
  <c r="B15" i="41"/>
  <c r="F18" i="41"/>
  <c r="F11" i="41"/>
  <c r="E18" i="40"/>
  <c r="H8" i="40"/>
  <c r="F18" i="40"/>
  <c r="B15" i="40"/>
  <c r="I4" i="40"/>
  <c r="K4" i="40"/>
  <c r="I5" i="40"/>
  <c r="K5" i="40"/>
  <c r="K8" i="40"/>
  <c r="L4" i="40"/>
  <c r="L5" i="40"/>
  <c r="L8" i="40"/>
  <c r="I8" i="40"/>
  <c r="M4" i="40"/>
  <c r="M5" i="40"/>
  <c r="M8" i="40"/>
  <c r="J4" i="40"/>
  <c r="J5" i="40"/>
  <c r="J8" i="40"/>
  <c r="F12" i="40"/>
  <c r="F11" i="40"/>
  <c r="H8" i="38"/>
  <c r="E18" i="38"/>
  <c r="F18" i="38"/>
  <c r="H8" i="37"/>
  <c r="I4" i="37"/>
  <c r="K4" i="37"/>
  <c r="I5" i="37"/>
  <c r="K5" i="37"/>
  <c r="I6" i="37"/>
  <c r="K6" i="37"/>
  <c r="K8" i="37"/>
  <c r="L4" i="37"/>
  <c r="L5" i="37"/>
  <c r="L6" i="37"/>
  <c r="L8" i="37"/>
  <c r="I8" i="37"/>
  <c r="M4" i="37"/>
  <c r="M5" i="37"/>
  <c r="M6" i="37"/>
  <c r="M8" i="37"/>
  <c r="J4" i="37"/>
  <c r="J5" i="37"/>
  <c r="J6" i="37"/>
  <c r="J8" i="37"/>
  <c r="F12" i="37"/>
  <c r="B15" i="37"/>
  <c r="E18" i="37"/>
  <c r="F18" i="37"/>
  <c r="F11" i="37"/>
  <c r="H8" i="36"/>
  <c r="I4" i="36"/>
  <c r="K4" i="36"/>
  <c r="I5" i="36"/>
  <c r="K5" i="36"/>
  <c r="K8" i="36"/>
  <c r="L4" i="36"/>
  <c r="L5" i="36"/>
  <c r="L8" i="36"/>
  <c r="I8" i="36"/>
  <c r="M4" i="36"/>
  <c r="M5" i="36"/>
  <c r="M8" i="36"/>
  <c r="G4" i="36"/>
  <c r="J4" i="36"/>
  <c r="G5" i="36"/>
  <c r="J5" i="36"/>
  <c r="J8" i="36"/>
  <c r="F12" i="36"/>
  <c r="B15" i="36"/>
  <c r="F18" i="36"/>
  <c r="F11" i="36"/>
  <c r="H8" i="35"/>
  <c r="E18" i="35"/>
  <c r="F18" i="35"/>
  <c r="I4" i="35"/>
  <c r="K4" i="35"/>
  <c r="I5" i="35"/>
  <c r="K5" i="35"/>
  <c r="K8" i="35"/>
  <c r="I8" i="35"/>
  <c r="J4" i="35"/>
  <c r="J5" i="35"/>
  <c r="J8" i="35"/>
  <c r="L4" i="35"/>
  <c r="L5" i="35"/>
  <c r="L8" i="35"/>
  <c r="M4" i="35"/>
  <c r="M5" i="35"/>
  <c r="M8" i="35"/>
  <c r="F12" i="35"/>
  <c r="F11" i="35"/>
  <c r="H8" i="34"/>
  <c r="E18" i="34"/>
  <c r="F18" i="34"/>
  <c r="I4" i="34"/>
  <c r="K4" i="34"/>
  <c r="I5" i="34"/>
  <c r="K5" i="34"/>
  <c r="K8" i="34"/>
  <c r="I8" i="34"/>
  <c r="J4" i="34"/>
  <c r="J5" i="34"/>
  <c r="J8" i="34"/>
  <c r="L5" i="34"/>
  <c r="L4" i="34"/>
  <c r="L8" i="34"/>
  <c r="M5" i="34"/>
  <c r="M4" i="34"/>
  <c r="M8" i="34"/>
  <c r="F12" i="34"/>
  <c r="F11" i="34"/>
  <c r="H4" i="33"/>
  <c r="H5" i="33"/>
  <c r="H8" i="33"/>
  <c r="F18" i="33"/>
  <c r="B15" i="33"/>
  <c r="H4" i="32"/>
  <c r="H5" i="32"/>
  <c r="H8" i="32"/>
  <c r="E18" i="32"/>
  <c r="F18" i="32"/>
  <c r="H8" i="31"/>
  <c r="E18" i="31"/>
  <c r="F18" i="31"/>
  <c r="B15" i="31"/>
  <c r="I4" i="31"/>
  <c r="J4" i="31"/>
  <c r="I5" i="31"/>
  <c r="J5" i="31"/>
  <c r="J8" i="31"/>
  <c r="K4" i="31"/>
  <c r="K5" i="31"/>
  <c r="K8" i="31"/>
  <c r="L4" i="31"/>
  <c r="L5" i="31"/>
  <c r="L8" i="31"/>
  <c r="I8" i="31"/>
  <c r="M4" i="31"/>
  <c r="M5" i="31"/>
  <c r="M8" i="31"/>
  <c r="F12" i="31"/>
  <c r="F11" i="31"/>
  <c r="H4" i="30"/>
  <c r="H6" i="30"/>
  <c r="H5" i="30"/>
  <c r="H8" i="30"/>
  <c r="E18" i="30"/>
  <c r="F18" i="30"/>
  <c r="I4" i="29"/>
  <c r="K4" i="29"/>
  <c r="I5" i="29"/>
  <c r="K5" i="29"/>
  <c r="I6" i="29"/>
  <c r="K6" i="29"/>
  <c r="K8" i="29"/>
  <c r="L4" i="29"/>
  <c r="L5" i="29"/>
  <c r="L6" i="29"/>
  <c r="L8" i="29"/>
  <c r="I8" i="29"/>
  <c r="M4" i="29"/>
  <c r="M5" i="29"/>
  <c r="M6" i="29"/>
  <c r="M8" i="29"/>
  <c r="J4" i="29"/>
  <c r="J5" i="29"/>
  <c r="J6" i="29"/>
  <c r="J8" i="29"/>
  <c r="F12" i="29"/>
  <c r="F11" i="29"/>
  <c r="E19" i="28"/>
  <c r="F19" i="28"/>
  <c r="H8" i="27"/>
  <c r="H8" i="26"/>
  <c r="E18" i="26"/>
  <c r="F18" i="26"/>
  <c r="F12" i="26"/>
  <c r="B15" i="26"/>
  <c r="AC12" i="25"/>
  <c r="U15" i="25"/>
  <c r="U17" i="25"/>
  <c r="U19" i="25"/>
  <c r="U13" i="25"/>
  <c r="I5" i="25"/>
  <c r="J5" i="25"/>
  <c r="I4" i="25"/>
  <c r="J4" i="25"/>
  <c r="J8" i="25"/>
  <c r="K4" i="25"/>
  <c r="K5" i="25"/>
  <c r="K8" i="25"/>
  <c r="I8" i="25"/>
  <c r="H8" i="25"/>
  <c r="L4" i="25"/>
  <c r="L5" i="25"/>
  <c r="L8" i="25"/>
  <c r="M4" i="25"/>
  <c r="M5" i="25"/>
  <c r="M8" i="25"/>
  <c r="F12" i="25"/>
  <c r="F11" i="25"/>
  <c r="H8" i="24"/>
  <c r="I4" i="24"/>
  <c r="K4" i="24"/>
  <c r="I5" i="24"/>
  <c r="K5" i="24"/>
  <c r="K8" i="24"/>
  <c r="L4" i="24"/>
  <c r="L5" i="24"/>
  <c r="L8" i="24"/>
  <c r="I8" i="24"/>
  <c r="M4" i="24"/>
  <c r="M5" i="24"/>
  <c r="M8" i="24"/>
  <c r="J4" i="24"/>
  <c r="J5" i="24"/>
  <c r="J8" i="24"/>
  <c r="F12" i="24"/>
  <c r="F13" i="24"/>
  <c r="F11" i="24"/>
  <c r="B15" i="24"/>
  <c r="C9" i="46"/>
  <c r="H8" i="16"/>
  <c r="B9" i="46"/>
  <c r="H8" i="23"/>
  <c r="E18" i="23"/>
  <c r="F18" i="23"/>
  <c r="F18" i="21"/>
  <c r="B15" i="21"/>
  <c r="E20" i="21"/>
  <c r="C31" i="46"/>
  <c r="C30" i="46"/>
  <c r="C29" i="46"/>
  <c r="C28" i="46"/>
  <c r="C27" i="46"/>
  <c r="C26" i="46"/>
  <c r="C25" i="46"/>
  <c r="B15" i="34"/>
  <c r="C24" i="46"/>
  <c r="C23" i="46"/>
  <c r="C22" i="46"/>
  <c r="C21" i="46"/>
  <c r="C20" i="46"/>
  <c r="C19" i="46"/>
  <c r="C18" i="46"/>
  <c r="C17" i="46"/>
  <c r="C16" i="46"/>
  <c r="B15" i="25"/>
  <c r="C15" i="46"/>
  <c r="C14" i="46"/>
  <c r="C13" i="46"/>
  <c r="C12" i="46"/>
  <c r="C11" i="46"/>
  <c r="H8" i="17"/>
  <c r="I4" i="17"/>
  <c r="K4" i="17"/>
  <c r="I5" i="17"/>
  <c r="K5" i="17"/>
  <c r="K8" i="17"/>
  <c r="L4" i="17"/>
  <c r="L5" i="17"/>
  <c r="L8" i="17"/>
  <c r="I8" i="17"/>
  <c r="M4" i="17"/>
  <c r="M5" i="17"/>
  <c r="M8" i="17"/>
  <c r="J4" i="17"/>
  <c r="J5" i="17"/>
  <c r="J8" i="17"/>
  <c r="F12" i="17"/>
  <c r="B15" i="17"/>
  <c r="C10" i="46"/>
  <c r="H4" i="15"/>
  <c r="H6" i="15"/>
  <c r="H5" i="15"/>
  <c r="H8" i="15"/>
  <c r="F18" i="15"/>
  <c r="B15" i="15"/>
  <c r="C8" i="46"/>
  <c r="C6" i="46"/>
  <c r="H8" i="12"/>
  <c r="I4" i="12"/>
  <c r="K4" i="12"/>
  <c r="I5" i="12"/>
  <c r="K5" i="12"/>
  <c r="I6" i="12"/>
  <c r="K6" i="12"/>
  <c r="K8" i="12"/>
  <c r="L4" i="12"/>
  <c r="L5" i="12"/>
  <c r="L6" i="12"/>
  <c r="L8" i="12"/>
  <c r="I8" i="12"/>
  <c r="M4" i="12"/>
  <c r="M5" i="12"/>
  <c r="M6" i="12"/>
  <c r="M8" i="12"/>
  <c r="J4" i="12"/>
  <c r="J5" i="12"/>
  <c r="J6" i="12"/>
  <c r="J8" i="12"/>
  <c r="F12" i="12"/>
  <c r="B15" i="12"/>
  <c r="C5" i="46"/>
  <c r="H8" i="11"/>
  <c r="I4" i="11"/>
  <c r="K4" i="11"/>
  <c r="I5" i="11"/>
  <c r="K5" i="11"/>
  <c r="I6" i="11"/>
  <c r="K6" i="11"/>
  <c r="K8" i="11"/>
  <c r="L4" i="11"/>
  <c r="L5" i="11"/>
  <c r="L6" i="11"/>
  <c r="L8" i="11"/>
  <c r="I8" i="11"/>
  <c r="M4" i="11"/>
  <c r="M5" i="11"/>
  <c r="M6" i="11"/>
  <c r="M8" i="11"/>
  <c r="J4" i="11"/>
  <c r="J5" i="11"/>
  <c r="J6" i="11"/>
  <c r="J8" i="11"/>
  <c r="F12" i="11"/>
  <c r="B15" i="11"/>
  <c r="C4" i="46"/>
  <c r="H8" i="10"/>
  <c r="I4" i="10"/>
  <c r="K4" i="10"/>
  <c r="I5" i="10"/>
  <c r="K5" i="10"/>
  <c r="I6" i="10"/>
  <c r="K6" i="10"/>
  <c r="K8" i="10"/>
  <c r="L4" i="10"/>
  <c r="L5" i="10"/>
  <c r="L6" i="10"/>
  <c r="L8" i="10"/>
  <c r="I8" i="10"/>
  <c r="M4" i="10"/>
  <c r="M5" i="10"/>
  <c r="M6" i="10"/>
  <c r="M8" i="10"/>
  <c r="J4" i="10"/>
  <c r="J5" i="10"/>
  <c r="J6" i="10"/>
  <c r="J8" i="10"/>
  <c r="F12" i="10"/>
  <c r="B15" i="10"/>
  <c r="C3" i="46"/>
  <c r="H7" i="9"/>
  <c r="H9" i="9"/>
  <c r="I4" i="9"/>
  <c r="K4" i="9"/>
  <c r="F7" i="9"/>
  <c r="I7" i="9"/>
  <c r="K7" i="9"/>
  <c r="K9" i="9"/>
  <c r="L4" i="9"/>
  <c r="L7" i="9"/>
  <c r="L9" i="9"/>
  <c r="I9" i="9"/>
  <c r="M4" i="9"/>
  <c r="M7" i="9"/>
  <c r="M9" i="9"/>
  <c r="J4" i="9"/>
  <c r="G7" i="9"/>
  <c r="J7" i="9"/>
  <c r="J9" i="9"/>
  <c r="H12" i="9"/>
  <c r="B15" i="9"/>
  <c r="C2" i="46"/>
  <c r="I4" i="18"/>
  <c r="K4" i="18"/>
  <c r="I5" i="18"/>
  <c r="K5" i="18"/>
  <c r="K8" i="18"/>
  <c r="L4" i="18"/>
  <c r="L5" i="18"/>
  <c r="L8" i="18"/>
  <c r="I8" i="18"/>
  <c r="M4" i="18"/>
  <c r="M5" i="18"/>
  <c r="M8" i="18"/>
  <c r="J4" i="18"/>
  <c r="J5" i="18"/>
  <c r="J8" i="18"/>
  <c r="F12" i="18"/>
  <c r="F11" i="18"/>
  <c r="E18" i="17"/>
  <c r="F18" i="17"/>
  <c r="F11" i="17"/>
  <c r="H7" i="15"/>
  <c r="I7" i="15"/>
  <c r="K7" i="15"/>
  <c r="I4" i="15"/>
  <c r="K4" i="15"/>
  <c r="K9" i="15"/>
  <c r="I9" i="15"/>
  <c r="J7" i="15"/>
  <c r="J4" i="15"/>
  <c r="J9" i="15"/>
  <c r="H9" i="15"/>
  <c r="L4" i="15"/>
  <c r="L7" i="15"/>
  <c r="L9" i="15"/>
  <c r="M4" i="15"/>
  <c r="M7" i="15"/>
  <c r="M9" i="15"/>
  <c r="H11" i="15"/>
  <c r="I5" i="15"/>
  <c r="K5" i="15"/>
  <c r="I6" i="15"/>
  <c r="K6" i="15"/>
  <c r="K8" i="15"/>
  <c r="I8" i="15"/>
  <c r="J5" i="15"/>
  <c r="J6" i="15"/>
  <c r="J8" i="15"/>
  <c r="I4" i="14"/>
  <c r="K4" i="14"/>
  <c r="I5" i="14"/>
  <c r="K5" i="14"/>
  <c r="K8" i="14"/>
  <c r="I8" i="14"/>
  <c r="J4" i="14"/>
  <c r="J5" i="14"/>
  <c r="J8" i="14"/>
  <c r="H8" i="14"/>
  <c r="L4" i="14"/>
  <c r="L5" i="14"/>
  <c r="L8" i="14"/>
  <c r="M4" i="14"/>
  <c r="M5" i="14"/>
  <c r="M8" i="14"/>
  <c r="F12" i="14"/>
  <c r="F13" i="14"/>
  <c r="F11" i="14"/>
  <c r="E18" i="43"/>
  <c r="F18" i="43"/>
  <c r="F13" i="12"/>
  <c r="F11" i="12"/>
  <c r="F13" i="11"/>
  <c r="F11" i="11"/>
  <c r="F13" i="10"/>
  <c r="F11" i="10"/>
  <c r="C31" i="19"/>
  <c r="C30" i="19"/>
  <c r="C29" i="19"/>
  <c r="C28" i="19"/>
  <c r="C27" i="19"/>
  <c r="C26" i="19"/>
  <c r="C25" i="19"/>
  <c r="C24" i="19"/>
  <c r="C23" i="19"/>
  <c r="C22" i="19"/>
  <c r="C21" i="19"/>
  <c r="C20" i="19"/>
  <c r="C19" i="19"/>
  <c r="C18" i="19"/>
  <c r="C17" i="19"/>
  <c r="C16" i="19"/>
  <c r="C15" i="19"/>
  <c r="C14" i="19"/>
  <c r="C13" i="19"/>
  <c r="C12" i="19"/>
  <c r="C11" i="19"/>
  <c r="C10" i="19"/>
  <c r="C9" i="19"/>
  <c r="C8" i="19"/>
  <c r="B15" i="14"/>
  <c r="C7" i="19"/>
  <c r="C6" i="19"/>
  <c r="C5" i="19"/>
  <c r="C4" i="19"/>
  <c r="C3" i="19"/>
  <c r="C2" i="19"/>
  <c r="B29" i="19"/>
  <c r="B19" i="19"/>
  <c r="B9" i="19"/>
  <c r="B7" i="19"/>
  <c r="B6" i="19"/>
  <c r="B8" i="19"/>
  <c r="H8" i="9"/>
  <c r="B2" i="19"/>
  <c r="B31" i="19"/>
  <c r="B30" i="19"/>
  <c r="B28" i="19"/>
  <c r="B27" i="19"/>
  <c r="B26" i="19"/>
  <c r="B25" i="19"/>
  <c r="B24" i="19"/>
  <c r="B23" i="19"/>
  <c r="B22" i="19"/>
  <c r="B21" i="19"/>
  <c r="B20" i="19"/>
  <c r="B18" i="19"/>
  <c r="B17" i="19"/>
  <c r="B16" i="19"/>
  <c r="B15" i="19"/>
  <c r="B14" i="19"/>
  <c r="B13" i="19"/>
  <c r="H8" i="21"/>
  <c r="B12" i="19"/>
  <c r="B11" i="19"/>
  <c r="B10" i="19"/>
  <c r="B5" i="19"/>
  <c r="B31" i="46"/>
  <c r="B30" i="46"/>
  <c r="B29" i="46"/>
  <c r="B28" i="46"/>
  <c r="B27" i="46"/>
  <c r="B26" i="46"/>
  <c r="B25" i="46"/>
  <c r="B24" i="46"/>
  <c r="B23" i="46"/>
  <c r="B22" i="46"/>
  <c r="B21" i="46"/>
  <c r="B20" i="46"/>
  <c r="B19" i="46"/>
  <c r="B18" i="46"/>
  <c r="B17" i="46"/>
  <c r="B16" i="46"/>
  <c r="B15" i="46"/>
  <c r="B14" i="46"/>
  <c r="B13" i="46"/>
  <c r="B12" i="46"/>
  <c r="B11" i="46"/>
  <c r="B10" i="46"/>
  <c r="B6" i="46"/>
  <c r="B5" i="46"/>
  <c r="B3" i="46"/>
  <c r="B2" i="46"/>
  <c r="X8" i="46"/>
  <c r="U8" i="46"/>
  <c r="S8" i="46"/>
  <c r="R8" i="46"/>
  <c r="Q8" i="46"/>
  <c r="O8" i="46"/>
  <c r="L8" i="46"/>
  <c r="B31" i="15"/>
  <c r="I8" i="46"/>
  <c r="U18" i="46"/>
  <c r="R18" i="46"/>
  <c r="Q18" i="46"/>
  <c r="O18" i="46"/>
  <c r="L18" i="46"/>
  <c r="B31" i="28"/>
  <c r="I18" i="46"/>
  <c r="O28" i="46"/>
  <c r="L28" i="46"/>
  <c r="B31" i="38"/>
  <c r="I28" i="46"/>
  <c r="J28" i="46"/>
  <c r="B31" i="40"/>
  <c r="I29" i="46"/>
  <c r="X28" i="46"/>
  <c r="U28" i="46"/>
  <c r="R28" i="46"/>
  <c r="Q28" i="46"/>
  <c r="X18" i="46"/>
  <c r="X19" i="46"/>
  <c r="B4" i="19"/>
  <c r="B3" i="19"/>
  <c r="F16" i="7"/>
  <c r="G16" i="7"/>
  <c r="E18" i="9"/>
  <c r="F18" i="9"/>
  <c r="I5" i="9"/>
  <c r="K5" i="9"/>
  <c r="I6" i="9"/>
  <c r="K6" i="9"/>
  <c r="K8" i="9"/>
  <c r="L5" i="9"/>
  <c r="L6" i="9"/>
  <c r="L8" i="9"/>
  <c r="I8" i="9"/>
  <c r="M5" i="9"/>
  <c r="M6" i="9"/>
  <c r="M8" i="9"/>
  <c r="J5" i="9"/>
  <c r="J6" i="9"/>
  <c r="J8" i="9"/>
  <c r="F12" i="9"/>
  <c r="F11" i="9"/>
  <c r="AX18" i="1"/>
  <c r="AC18" i="1"/>
  <c r="AX8" i="1"/>
  <c r="AC8" i="1"/>
  <c r="H11" i="9"/>
  <c r="F28" i="19"/>
  <c r="F18" i="19"/>
  <c r="F8" i="19"/>
  <c r="I48" i="44"/>
  <c r="H48" i="44"/>
  <c r="G48" i="44"/>
  <c r="E42" i="44"/>
  <c r="E39" i="44"/>
  <c r="H52" i="44"/>
  <c r="H39" i="44"/>
  <c r="I52" i="44"/>
  <c r="I39" i="44"/>
  <c r="G52" i="44"/>
  <c r="G39" i="44"/>
  <c r="J38" i="44"/>
  <c r="I49" i="44"/>
  <c r="I35" i="44"/>
  <c r="H49" i="44"/>
  <c r="H35" i="44"/>
  <c r="G49" i="44"/>
  <c r="G35" i="44"/>
  <c r="E35" i="44"/>
  <c r="F8" i="44"/>
  <c r="I2" i="46"/>
  <c r="I3" i="46"/>
  <c r="I4" i="46"/>
  <c r="B31" i="12"/>
  <c r="I5" i="46"/>
  <c r="I6" i="46"/>
  <c r="B31" i="14"/>
  <c r="I7" i="46"/>
  <c r="B31" i="17"/>
  <c r="B31" i="16"/>
  <c r="I9" i="46"/>
  <c r="I10" i="46"/>
  <c r="B31" i="18"/>
  <c r="I11" i="46"/>
  <c r="B31" i="21"/>
  <c r="I12" i="46"/>
  <c r="B31" i="23"/>
  <c r="I13" i="46"/>
  <c r="B31" i="24"/>
  <c r="I14" i="46"/>
  <c r="B31" i="25"/>
  <c r="I15" i="46"/>
  <c r="B31" i="26"/>
  <c r="I16" i="46"/>
  <c r="B31" i="27"/>
  <c r="I17" i="46"/>
  <c r="B31" i="29"/>
  <c r="I19" i="46"/>
  <c r="I20" i="46"/>
  <c r="B31" i="31"/>
  <c r="I21" i="46"/>
  <c r="B31" i="32"/>
  <c r="I22" i="46"/>
  <c r="B31" i="34"/>
  <c r="I24" i="46"/>
  <c r="B31" i="36"/>
  <c r="I26" i="46"/>
  <c r="B31" i="37"/>
  <c r="I27" i="46"/>
  <c r="B31" i="41"/>
  <c r="I30" i="46"/>
  <c r="B31" i="42"/>
  <c r="I31" i="46"/>
  <c r="I38" i="46"/>
  <c r="L31" i="46"/>
  <c r="L30" i="46"/>
  <c r="L29" i="46"/>
  <c r="O29" i="46"/>
  <c r="P28" i="46"/>
  <c r="L27" i="46"/>
  <c r="L26" i="46"/>
  <c r="L25" i="46"/>
  <c r="L24" i="46"/>
  <c r="L23" i="46"/>
  <c r="L22" i="46"/>
  <c r="L21" i="46"/>
  <c r="L20" i="46"/>
  <c r="L19" i="46"/>
  <c r="O19" i="46"/>
  <c r="P18" i="46"/>
  <c r="J18" i="46"/>
  <c r="L17" i="46"/>
  <c r="L16" i="46"/>
  <c r="L15" i="46"/>
  <c r="L14" i="46"/>
  <c r="L13" i="46"/>
  <c r="L12" i="46"/>
  <c r="L11" i="46"/>
  <c r="S10" i="46"/>
  <c r="L10" i="46"/>
  <c r="S9" i="46"/>
  <c r="L9" i="46"/>
  <c r="O9" i="46"/>
  <c r="P8" i="46"/>
  <c r="J8" i="46"/>
  <c r="L7" i="46"/>
  <c r="L6" i="46"/>
  <c r="L5" i="46"/>
  <c r="L4" i="46"/>
  <c r="L3" i="46"/>
  <c r="S2" i="46"/>
  <c r="L2" i="46"/>
  <c r="H48" i="47"/>
  <c r="G48" i="47"/>
  <c r="F48" i="47"/>
  <c r="D42" i="47"/>
  <c r="D39" i="47"/>
  <c r="I8" i="47"/>
  <c r="I18" i="47"/>
  <c r="I28" i="47"/>
  <c r="I30" i="47"/>
  <c r="G52" i="47"/>
  <c r="I2" i="47"/>
  <c r="I3" i="47"/>
  <c r="I4" i="47"/>
  <c r="I5" i="47"/>
  <c r="I6" i="47"/>
  <c r="I7" i="47"/>
  <c r="I9" i="47"/>
  <c r="I10" i="47"/>
  <c r="I11" i="47"/>
  <c r="I12" i="47"/>
  <c r="I13" i="47"/>
  <c r="I14" i="47"/>
  <c r="I15" i="47"/>
  <c r="I16" i="47"/>
  <c r="I17" i="47"/>
  <c r="I19" i="47"/>
  <c r="I20" i="47"/>
  <c r="I21" i="47"/>
  <c r="I22" i="47"/>
  <c r="I23" i="47"/>
  <c r="I24" i="47"/>
  <c r="I25" i="47"/>
  <c r="I26" i="47"/>
  <c r="I27" i="47"/>
  <c r="I29" i="47"/>
  <c r="I31" i="47"/>
  <c r="G39" i="47"/>
  <c r="H52" i="47"/>
  <c r="H39" i="47"/>
  <c r="F52" i="47"/>
  <c r="F39" i="47"/>
  <c r="I38" i="47"/>
  <c r="H49" i="47"/>
  <c r="H35" i="47"/>
  <c r="G49" i="47"/>
  <c r="G35" i="47"/>
  <c r="F49" i="47"/>
  <c r="F35" i="47"/>
  <c r="D35" i="47"/>
  <c r="D29" i="47"/>
  <c r="L28" i="47"/>
  <c r="G28" i="47"/>
  <c r="F28" i="47"/>
  <c r="E28" i="47"/>
  <c r="D28" i="47"/>
  <c r="D19" i="47"/>
  <c r="L18" i="47"/>
  <c r="G18" i="47"/>
  <c r="F18" i="47"/>
  <c r="E18" i="47"/>
  <c r="D18" i="47"/>
  <c r="K13" i="47"/>
  <c r="D9" i="47"/>
  <c r="L8" i="47"/>
  <c r="G8" i="47"/>
  <c r="F8" i="47"/>
  <c r="E8" i="47"/>
  <c r="D8" i="47"/>
  <c r="H13" i="9"/>
  <c r="F13" i="9"/>
  <c r="B26" i="10"/>
  <c r="B32" i="10"/>
  <c r="B28" i="11"/>
  <c r="B26" i="11"/>
  <c r="B32" i="11"/>
  <c r="B28" i="12"/>
  <c r="B26" i="12"/>
  <c r="B32" i="12"/>
  <c r="B28" i="43"/>
  <c r="B26" i="43"/>
  <c r="B32" i="43"/>
  <c r="B28" i="14"/>
  <c r="B26" i="14"/>
  <c r="B32" i="14"/>
  <c r="B28" i="15"/>
  <c r="B26" i="15"/>
  <c r="B32" i="15"/>
  <c r="B28" i="16"/>
  <c r="B26" i="16"/>
  <c r="B32" i="16"/>
  <c r="B28" i="17"/>
  <c r="B26" i="17"/>
  <c r="B32" i="17"/>
  <c r="B28" i="18"/>
  <c r="B26" i="18"/>
  <c r="B32" i="18"/>
  <c r="B28" i="21"/>
  <c r="B26" i="21"/>
  <c r="B32" i="21"/>
  <c r="B28" i="23"/>
  <c r="B26" i="23"/>
  <c r="B32" i="23"/>
  <c r="B28" i="24"/>
  <c r="B26" i="24"/>
  <c r="B32" i="24"/>
  <c r="B28" i="25"/>
  <c r="B26" i="25"/>
  <c r="B32" i="25"/>
  <c r="B28" i="26"/>
  <c r="B26" i="26"/>
  <c r="B32" i="26"/>
  <c r="B28" i="27"/>
  <c r="B26" i="27"/>
  <c r="B32" i="27"/>
  <c r="B28" i="28"/>
  <c r="B26" i="28"/>
  <c r="B32" i="28"/>
  <c r="B28" i="29"/>
  <c r="B26" i="29"/>
  <c r="B32" i="29"/>
  <c r="B28" i="30"/>
  <c r="B26" i="30"/>
  <c r="B32" i="30"/>
  <c r="B28" i="31"/>
  <c r="B26" i="31"/>
  <c r="B32" i="31"/>
  <c r="B28" i="32"/>
  <c r="B26" i="32"/>
  <c r="B32" i="32"/>
  <c r="B28" i="33"/>
  <c r="B28" i="34"/>
  <c r="B26" i="34"/>
  <c r="B32" i="34"/>
  <c r="B26" i="35"/>
  <c r="B28" i="36"/>
  <c r="B26" i="36"/>
  <c r="B32" i="36"/>
  <c r="B28" i="37"/>
  <c r="B26" i="37"/>
  <c r="B32" i="37"/>
  <c r="B28" i="38"/>
  <c r="B26" i="38"/>
  <c r="B32" i="38"/>
  <c r="B28" i="40"/>
  <c r="B26" i="40"/>
  <c r="B32" i="40"/>
  <c r="B28" i="41"/>
  <c r="B26" i="41"/>
  <c r="B32" i="41"/>
  <c r="B28" i="42"/>
  <c r="B26" i="42"/>
  <c r="B32" i="42"/>
  <c r="B32" i="9"/>
  <c r="B26" i="9"/>
  <c r="B26" i="33"/>
  <c r="X31" i="46"/>
  <c r="X30" i="46"/>
  <c r="X29" i="46"/>
  <c r="X27" i="46"/>
  <c r="X26" i="46"/>
  <c r="X25" i="46"/>
  <c r="X24" i="46"/>
  <c r="X23" i="46"/>
  <c r="X22" i="46"/>
  <c r="X21" i="46"/>
  <c r="X20" i="46"/>
  <c r="X17" i="46"/>
  <c r="X16" i="46"/>
  <c r="X15" i="46"/>
  <c r="X14" i="46"/>
  <c r="X13" i="46"/>
  <c r="X12" i="46"/>
  <c r="X11" i="46"/>
  <c r="X10" i="46"/>
  <c r="X9" i="46"/>
  <c r="X7" i="46"/>
  <c r="X6" i="46"/>
  <c r="X5" i="46"/>
  <c r="X4" i="46"/>
  <c r="X3" i="46"/>
  <c r="F7" i="19"/>
  <c r="Q3" i="46"/>
  <c r="R3" i="46"/>
  <c r="U3" i="46"/>
  <c r="Q4" i="46"/>
  <c r="R4" i="46"/>
  <c r="U4" i="46"/>
  <c r="Q5" i="46"/>
  <c r="R5" i="46"/>
  <c r="U5" i="46"/>
  <c r="Q6" i="46"/>
  <c r="R6" i="46"/>
  <c r="U6" i="46"/>
  <c r="Q7" i="46"/>
  <c r="R7" i="46"/>
  <c r="U7" i="46"/>
  <c r="Q9" i="46"/>
  <c r="R9" i="46"/>
  <c r="U9" i="46"/>
  <c r="Q10" i="46"/>
  <c r="R10" i="46"/>
  <c r="U10" i="46"/>
  <c r="Q11" i="46"/>
  <c r="R11" i="46"/>
  <c r="U11" i="46"/>
  <c r="Q12" i="46"/>
  <c r="R12" i="46"/>
  <c r="U12" i="46"/>
  <c r="Q13" i="46"/>
  <c r="R13" i="46"/>
  <c r="U13" i="46"/>
  <c r="Q14" i="46"/>
  <c r="R14" i="46"/>
  <c r="U14" i="46"/>
  <c r="Q15" i="46"/>
  <c r="R15" i="46"/>
  <c r="U15" i="46"/>
  <c r="Q16" i="46"/>
  <c r="R16" i="46"/>
  <c r="U16" i="46"/>
  <c r="Q17" i="46"/>
  <c r="R17" i="46"/>
  <c r="U17" i="46"/>
  <c r="Q19" i="46"/>
  <c r="R19" i="46"/>
  <c r="U19" i="46"/>
  <c r="Q20" i="46"/>
  <c r="R20" i="46"/>
  <c r="U20" i="46"/>
  <c r="Q21" i="46"/>
  <c r="R21" i="46"/>
  <c r="U21" i="46"/>
  <c r="Q22" i="46"/>
  <c r="R22" i="46"/>
  <c r="U22" i="46"/>
  <c r="Q23" i="46"/>
  <c r="R23" i="46"/>
  <c r="U23" i="46"/>
  <c r="Q24" i="46"/>
  <c r="R24" i="46"/>
  <c r="U24" i="46"/>
  <c r="Q25" i="46"/>
  <c r="R25" i="46"/>
  <c r="U25" i="46"/>
  <c r="Q26" i="46"/>
  <c r="R26" i="46"/>
  <c r="U26" i="46"/>
  <c r="Q27" i="46"/>
  <c r="R27" i="46"/>
  <c r="U27" i="46"/>
  <c r="Q29" i="46"/>
  <c r="R29" i="46"/>
  <c r="U29" i="46"/>
  <c r="Q30" i="46"/>
  <c r="R30" i="46"/>
  <c r="U30" i="46"/>
  <c r="Q31" i="46"/>
  <c r="R31" i="46"/>
  <c r="U31" i="46"/>
  <c r="U2" i="46"/>
  <c r="R2" i="46"/>
  <c r="B10" i="12"/>
  <c r="Q2" i="46"/>
  <c r="O3" i="46"/>
  <c r="P3" i="46"/>
  <c r="O4" i="46"/>
  <c r="P4" i="46"/>
  <c r="O5" i="46"/>
  <c r="P5" i="46"/>
  <c r="O6" i="46"/>
  <c r="P6" i="46"/>
  <c r="O7" i="46"/>
  <c r="P7" i="46"/>
  <c r="P9" i="46"/>
  <c r="O10" i="46"/>
  <c r="P10" i="46"/>
  <c r="O11" i="46"/>
  <c r="P11" i="46"/>
  <c r="O12" i="46"/>
  <c r="P12" i="46"/>
  <c r="O13" i="46"/>
  <c r="P13" i="46"/>
  <c r="O14" i="46"/>
  <c r="P14" i="46"/>
  <c r="O15" i="46"/>
  <c r="P15" i="46"/>
  <c r="O16" i="46"/>
  <c r="P16" i="46"/>
  <c r="O17" i="46"/>
  <c r="P17" i="46"/>
  <c r="P19" i="46"/>
  <c r="O20" i="46"/>
  <c r="P20" i="46"/>
  <c r="O21" i="46"/>
  <c r="P21" i="46"/>
  <c r="O22" i="46"/>
  <c r="P22" i="46"/>
  <c r="O23" i="46"/>
  <c r="P23" i="46"/>
  <c r="O24" i="46"/>
  <c r="P24" i="46"/>
  <c r="O25" i="46"/>
  <c r="P25" i="46"/>
  <c r="O26" i="46"/>
  <c r="P26" i="46"/>
  <c r="O27" i="46"/>
  <c r="P27" i="46"/>
  <c r="P29" i="46"/>
  <c r="O30" i="46"/>
  <c r="P30" i="46"/>
  <c r="O31" i="46"/>
  <c r="P31" i="46"/>
  <c r="O2" i="46"/>
  <c r="P2" i="46"/>
  <c r="B32" i="35"/>
  <c r="H56" i="47"/>
  <c r="G56" i="47"/>
  <c r="F56" i="47"/>
  <c r="H55" i="47"/>
  <c r="G55" i="47"/>
  <c r="F55" i="47"/>
  <c r="H54" i="47"/>
  <c r="G54" i="47"/>
  <c r="F54" i="47"/>
  <c r="H53" i="47"/>
  <c r="G53" i="47"/>
  <c r="F53" i="47"/>
  <c r="H51" i="47"/>
  <c r="G51" i="47"/>
  <c r="F51" i="47"/>
  <c r="H50" i="47"/>
  <c r="G50" i="47"/>
  <c r="F50" i="47"/>
  <c r="D43" i="47"/>
  <c r="D41" i="47"/>
  <c r="D40" i="47"/>
  <c r="D38" i="47"/>
  <c r="D37" i="47"/>
  <c r="D36" i="47"/>
  <c r="D31" i="47"/>
  <c r="D30" i="47"/>
  <c r="D27" i="47"/>
  <c r="D26" i="47"/>
  <c r="D25" i="47"/>
  <c r="D24" i="47"/>
  <c r="D23" i="47"/>
  <c r="D22" i="47"/>
  <c r="D21" i="47"/>
  <c r="D20" i="47"/>
  <c r="D17" i="47"/>
  <c r="D16" i="47"/>
  <c r="D15" i="47"/>
  <c r="D14" i="47"/>
  <c r="D13" i="47"/>
  <c r="D12" i="47"/>
  <c r="D11" i="47"/>
  <c r="D10" i="47"/>
  <c r="D7" i="47"/>
  <c r="D6" i="47"/>
  <c r="D5" i="47"/>
  <c r="D4" i="47"/>
  <c r="G38" i="47"/>
  <c r="D3" i="47"/>
  <c r="D2" i="47"/>
  <c r="G17" i="47"/>
  <c r="G30" i="47"/>
  <c r="G29" i="47"/>
  <c r="G6" i="47"/>
  <c r="G2" i="47"/>
  <c r="G10" i="47"/>
  <c r="G12" i="47"/>
  <c r="G15" i="47"/>
  <c r="L20" i="47"/>
  <c r="G19" i="47"/>
  <c r="G23" i="47"/>
  <c r="L22" i="47"/>
  <c r="G25" i="47"/>
  <c r="L3" i="47"/>
  <c r="L5" i="47"/>
  <c r="L7" i="47"/>
  <c r="L9" i="47"/>
  <c r="L11" i="47"/>
  <c r="L2" i="47"/>
  <c r="L10" i="47"/>
  <c r="L26" i="47"/>
  <c r="G27" i="47"/>
  <c r="G31" i="47"/>
  <c r="L30" i="47"/>
  <c r="L4" i="47"/>
  <c r="G14" i="47"/>
  <c r="L6" i="47"/>
  <c r="G16" i="47"/>
  <c r="L24" i="47"/>
  <c r="G4" i="47"/>
  <c r="G20" i="47"/>
  <c r="L12" i="47"/>
  <c r="G22" i="47"/>
  <c r="L14" i="47"/>
  <c r="G24" i="47"/>
  <c r="L16" i="47"/>
  <c r="G26" i="47"/>
  <c r="G21" i="47"/>
  <c r="H42" i="47"/>
  <c r="F40" i="47"/>
  <c r="H38" i="47"/>
  <c r="F36" i="47"/>
  <c r="I35" i="47"/>
  <c r="H37" i="47"/>
  <c r="F42" i="47"/>
  <c r="H41" i="47"/>
  <c r="G42" i="47"/>
  <c r="I42" i="47"/>
  <c r="F43" i="47"/>
  <c r="G43" i="47"/>
  <c r="H43" i="47"/>
  <c r="G36" i="47"/>
  <c r="H36" i="47"/>
  <c r="I36" i="47"/>
  <c r="F37" i="47"/>
  <c r="G40" i="47"/>
  <c r="F41" i="47"/>
  <c r="G37" i="47"/>
  <c r="F38" i="47"/>
  <c r="H40" i="47"/>
  <c r="G41" i="47"/>
  <c r="B8" i="46"/>
  <c r="G13" i="47"/>
  <c r="F3" i="47"/>
  <c r="L21" i="47"/>
  <c r="L17" i="47"/>
  <c r="E5" i="47"/>
  <c r="L23" i="47"/>
  <c r="G7" i="47"/>
  <c r="L31" i="47"/>
  <c r="G5" i="47"/>
  <c r="L13" i="47"/>
  <c r="L15" i="47"/>
  <c r="L27" i="47"/>
  <c r="L29" i="47"/>
  <c r="G9" i="47"/>
  <c r="E3" i="47"/>
  <c r="L25" i="47"/>
  <c r="L19" i="47"/>
  <c r="G3" i="47"/>
  <c r="G11" i="47"/>
  <c r="I37" i="47"/>
  <c r="I41" i="47"/>
  <c r="I40" i="47"/>
  <c r="I43" i="47"/>
  <c r="I44" i="47"/>
  <c r="I39" i="47"/>
  <c r="H56" i="44"/>
  <c r="H43" i="44"/>
  <c r="G55" i="44"/>
  <c r="G42" i="44"/>
  <c r="E36" i="44"/>
  <c r="E37" i="44"/>
  <c r="E38" i="44"/>
  <c r="E40" i="44"/>
  <c r="E41" i="44"/>
  <c r="E43" i="44"/>
  <c r="I56" i="44"/>
  <c r="I43" i="44"/>
  <c r="G56" i="44"/>
  <c r="G43" i="44"/>
  <c r="J43" i="44"/>
  <c r="I36" i="44"/>
  <c r="G53" i="44"/>
  <c r="G40" i="44"/>
  <c r="H55" i="44"/>
  <c r="H42" i="44"/>
  <c r="I55" i="44"/>
  <c r="I42" i="44"/>
  <c r="J42" i="44"/>
  <c r="H51" i="44"/>
  <c r="H38" i="44"/>
  <c r="G51" i="44"/>
  <c r="G38" i="44"/>
  <c r="H54" i="44"/>
  <c r="H41" i="44"/>
  <c r="H50" i="44"/>
  <c r="H37" i="44"/>
  <c r="G36" i="44"/>
  <c r="H53" i="44"/>
  <c r="H40" i="44"/>
  <c r="I53" i="44"/>
  <c r="I40" i="44"/>
  <c r="J40" i="44"/>
  <c r="H36" i="44"/>
  <c r="I54" i="44"/>
  <c r="I41" i="44"/>
  <c r="I50" i="44"/>
  <c r="I37" i="44"/>
  <c r="J35" i="44"/>
  <c r="G54" i="44"/>
  <c r="G41" i="44"/>
  <c r="G50" i="44"/>
  <c r="G37" i="44"/>
  <c r="I51" i="44"/>
  <c r="I38" i="44"/>
  <c r="J41" i="44"/>
  <c r="J36" i="44"/>
  <c r="J37" i="44"/>
  <c r="J39" i="44"/>
  <c r="J44" i="44"/>
  <c r="F31" i="19"/>
  <c r="F30" i="19"/>
  <c r="B14" i="41"/>
  <c r="B14" i="40"/>
  <c r="F3" i="44"/>
  <c r="B9" i="42"/>
  <c r="F5" i="44"/>
  <c r="G3" i="44"/>
  <c r="B8" i="42"/>
  <c r="B2" i="42"/>
  <c r="B3" i="42"/>
  <c r="B11" i="42"/>
  <c r="B10" i="40"/>
  <c r="B3" i="40"/>
  <c r="B10" i="41"/>
  <c r="B2" i="40"/>
  <c r="B11" i="41"/>
  <c r="B3" i="41"/>
  <c r="B5" i="40"/>
  <c r="B5" i="23"/>
  <c r="F13" i="44"/>
  <c r="B6" i="40"/>
  <c r="F13" i="47"/>
  <c r="B6" i="23"/>
  <c r="G13" i="44"/>
  <c r="B8" i="41"/>
  <c r="B11" i="40"/>
  <c r="B2" i="41"/>
  <c r="B9" i="41"/>
  <c r="E13" i="47"/>
  <c r="B8" i="40"/>
  <c r="J14" i="46"/>
  <c r="J12" i="46"/>
  <c r="J6" i="46"/>
  <c r="J15" i="46"/>
  <c r="J26" i="46"/>
  <c r="J3" i="46"/>
  <c r="J19" i="46"/>
  <c r="J9" i="46"/>
  <c r="J13" i="46"/>
  <c r="J29" i="46"/>
  <c r="J23" i="46"/>
  <c r="J20" i="46"/>
  <c r="J25" i="46"/>
  <c r="J11" i="46"/>
  <c r="J4" i="46"/>
  <c r="J31" i="46"/>
  <c r="J5" i="46"/>
  <c r="F11" i="44"/>
  <c r="F12" i="44"/>
  <c r="G11" i="44"/>
  <c r="E11" i="47"/>
  <c r="J27" i="46"/>
  <c r="J22" i="46"/>
  <c r="F11" i="47"/>
  <c r="F12" i="47"/>
  <c r="E12" i="47"/>
  <c r="G12" i="44"/>
  <c r="J16" i="46"/>
  <c r="J10" i="46"/>
  <c r="J17" i="46"/>
  <c r="J21" i="46"/>
  <c r="J7" i="46"/>
  <c r="J30" i="46"/>
  <c r="J24" i="46"/>
  <c r="J2" i="46"/>
  <c r="G33" i="46"/>
  <c r="I35" i="46"/>
  <c r="I34" i="46"/>
  <c r="I37" i="46"/>
  <c r="I36" i="46"/>
  <c r="I33" i="46"/>
  <c r="F13" i="41"/>
  <c r="F13" i="40"/>
  <c r="F29" i="19"/>
  <c r="B14" i="38"/>
  <c r="F27" i="19"/>
  <c r="F26" i="19"/>
  <c r="B14" i="36"/>
  <c r="B11" i="37"/>
  <c r="B10" i="36"/>
  <c r="B8" i="36"/>
  <c r="B8" i="38"/>
  <c r="B9" i="37"/>
  <c r="B3" i="36"/>
  <c r="B9" i="38"/>
  <c r="B3" i="38"/>
  <c r="B3" i="37"/>
  <c r="B11" i="38"/>
  <c r="B2" i="37"/>
  <c r="B10" i="38"/>
  <c r="B8" i="37"/>
  <c r="B2" i="38"/>
  <c r="B9" i="36"/>
  <c r="B2" i="36"/>
  <c r="B10" i="37"/>
  <c r="F25" i="19"/>
  <c r="F24" i="19"/>
  <c r="F23" i="19"/>
  <c r="B14" i="33"/>
  <c r="B3" i="33"/>
  <c r="B8" i="35"/>
  <c r="B3" i="34"/>
  <c r="B5" i="29"/>
  <c r="F19" i="44"/>
  <c r="B10" i="34"/>
  <c r="F27" i="47"/>
  <c r="B10" i="33"/>
  <c r="B10" i="35"/>
  <c r="B9" i="34"/>
  <c r="G31" i="44"/>
  <c r="B8" i="34"/>
  <c r="G27" i="44"/>
  <c r="F31" i="44"/>
  <c r="B9" i="35"/>
  <c r="B6" i="29"/>
  <c r="G19" i="44"/>
  <c r="B11" i="34"/>
  <c r="B11" i="33"/>
  <c r="F19" i="47"/>
  <c r="B9" i="33"/>
  <c r="B3" i="35"/>
  <c r="B8" i="33"/>
  <c r="E19" i="47"/>
  <c r="F27" i="44"/>
  <c r="E31" i="47"/>
  <c r="B2" i="34"/>
  <c r="F31" i="47"/>
  <c r="B2" i="35"/>
  <c r="E27" i="47"/>
  <c r="B11" i="35"/>
  <c r="B2" i="33"/>
  <c r="B14" i="34"/>
  <c r="F22" i="19"/>
  <c r="B14" i="32"/>
  <c r="B14" i="31"/>
  <c r="F30" i="44"/>
  <c r="E30" i="47"/>
  <c r="F25" i="47"/>
  <c r="F25" i="44"/>
  <c r="G30" i="44"/>
  <c r="E25" i="47"/>
  <c r="F10" i="47"/>
  <c r="F30" i="47"/>
  <c r="E10" i="47"/>
  <c r="G25" i="44"/>
  <c r="F13" i="37"/>
  <c r="F13" i="36"/>
  <c r="B10" i="32"/>
  <c r="B8" i="32"/>
  <c r="B9" i="32"/>
  <c r="B3" i="32"/>
  <c r="B2" i="32"/>
  <c r="F13" i="35"/>
  <c r="F13" i="34"/>
  <c r="B3" i="31"/>
  <c r="B8" i="31"/>
  <c r="E29" i="47"/>
  <c r="F29" i="47"/>
  <c r="G29" i="44"/>
  <c r="F29" i="44"/>
  <c r="B9" i="31"/>
  <c r="B2" i="31"/>
  <c r="B10" i="31"/>
  <c r="F21" i="19"/>
  <c r="F20" i="19"/>
  <c r="B9" i="30"/>
  <c r="B2" i="30"/>
  <c r="F16" i="47"/>
  <c r="B8" i="30"/>
  <c r="B10" i="30"/>
  <c r="B3" i="30"/>
  <c r="B11" i="30"/>
  <c r="E16" i="47"/>
  <c r="L5" i="30"/>
  <c r="M5" i="30"/>
  <c r="I5" i="30"/>
  <c r="K5" i="30"/>
  <c r="L4" i="30"/>
  <c r="L8" i="30"/>
  <c r="B14" i="30"/>
  <c r="I4" i="30"/>
  <c r="M4" i="30"/>
  <c r="M8" i="30"/>
  <c r="F19" i="19"/>
  <c r="B11" i="29"/>
  <c r="B10" i="29"/>
  <c r="B8" i="29"/>
  <c r="B3" i="29"/>
  <c r="E9" i="47"/>
  <c r="B2" i="29"/>
  <c r="B9" i="29"/>
  <c r="F9" i="47"/>
  <c r="F13" i="31"/>
  <c r="J5" i="30"/>
  <c r="K4" i="30"/>
  <c r="K8" i="30"/>
  <c r="I8" i="30"/>
  <c r="J4" i="30"/>
  <c r="B14" i="29"/>
  <c r="M5" i="28"/>
  <c r="L5" i="28"/>
  <c r="I5" i="28"/>
  <c r="K5" i="28"/>
  <c r="F17" i="19"/>
  <c r="B14" i="27"/>
  <c r="M5" i="27"/>
  <c r="L5" i="27"/>
  <c r="I5" i="27"/>
  <c r="J5" i="27"/>
  <c r="K5" i="27"/>
  <c r="M4" i="27"/>
  <c r="M8" i="27"/>
  <c r="L4" i="27"/>
  <c r="L8" i="27"/>
  <c r="I4" i="27"/>
  <c r="I8" i="27"/>
  <c r="F16" i="19"/>
  <c r="B14" i="26"/>
  <c r="M5" i="26"/>
  <c r="M4" i="26"/>
  <c r="M8" i="26"/>
  <c r="L5" i="26"/>
  <c r="I5" i="26"/>
  <c r="K5" i="26"/>
  <c r="L4" i="26"/>
  <c r="I4" i="26"/>
  <c r="K4" i="26"/>
  <c r="B8" i="28"/>
  <c r="F24" i="44"/>
  <c r="B10" i="28"/>
  <c r="B8" i="27"/>
  <c r="B10" i="27"/>
  <c r="B3" i="27"/>
  <c r="B2" i="27"/>
  <c r="F24" i="47"/>
  <c r="B9" i="27"/>
  <c r="B3" i="26"/>
  <c r="B3" i="28"/>
  <c r="B11" i="27"/>
  <c r="B9" i="26"/>
  <c r="B11" i="26"/>
  <c r="B2" i="26"/>
  <c r="B9" i="28"/>
  <c r="G24" i="44"/>
  <c r="B11" i="28"/>
  <c r="B2" i="28"/>
  <c r="E24" i="47"/>
  <c r="B8" i="26"/>
  <c r="B10" i="26"/>
  <c r="J8" i="30"/>
  <c r="B14" i="28"/>
  <c r="L4" i="28"/>
  <c r="I4" i="28"/>
  <c r="K4" i="28"/>
  <c r="M4" i="28"/>
  <c r="M8" i="28"/>
  <c r="L8" i="28"/>
  <c r="K8" i="28"/>
  <c r="J5" i="28"/>
  <c r="J4" i="27"/>
  <c r="J8" i="27"/>
  <c r="K4" i="27"/>
  <c r="K8" i="27"/>
  <c r="J4" i="26"/>
  <c r="L8" i="26"/>
  <c r="K8" i="26"/>
  <c r="I8" i="26"/>
  <c r="J5" i="26"/>
  <c r="J8" i="26"/>
  <c r="F15" i="19"/>
  <c r="B14" i="25"/>
  <c r="B10" i="25"/>
  <c r="F7" i="47"/>
  <c r="G23" i="44"/>
  <c r="G7" i="44"/>
  <c r="F23" i="47"/>
  <c r="B3" i="25"/>
  <c r="B8" i="25"/>
  <c r="E7" i="47"/>
  <c r="F23" i="44"/>
  <c r="B9" i="25"/>
  <c r="F7" i="44"/>
  <c r="E23" i="47"/>
  <c r="B11" i="25"/>
  <c r="B2" i="25"/>
  <c r="F13" i="29"/>
  <c r="J4" i="28"/>
  <c r="J8" i="28"/>
  <c r="I8" i="28"/>
  <c r="F14" i="19"/>
  <c r="F13" i="19"/>
  <c r="B3" i="24"/>
  <c r="F22" i="44"/>
  <c r="B2" i="24"/>
  <c r="B11" i="24"/>
  <c r="G22" i="44"/>
  <c r="B9" i="24"/>
  <c r="F22" i="47"/>
  <c r="E22" i="47"/>
  <c r="B10" i="24"/>
  <c r="B8" i="24"/>
  <c r="B14" i="23"/>
  <c r="M5" i="23"/>
  <c r="L5" i="23"/>
  <c r="I5" i="23"/>
  <c r="K5" i="23"/>
  <c r="J5" i="23"/>
  <c r="M4" i="23"/>
  <c r="M8" i="23"/>
  <c r="L4" i="23"/>
  <c r="I4" i="23"/>
  <c r="I8" i="23"/>
  <c r="B8" i="23"/>
  <c r="B2" i="23"/>
  <c r="E15" i="47"/>
  <c r="B3" i="23"/>
  <c r="F15" i="44"/>
  <c r="F15" i="47"/>
  <c r="G15" i="44"/>
  <c r="B9" i="23"/>
  <c r="B11" i="23"/>
  <c r="F13" i="25"/>
  <c r="L8" i="23"/>
  <c r="J4" i="23"/>
  <c r="J8" i="23"/>
  <c r="K4" i="23"/>
  <c r="K8" i="23"/>
  <c r="B14" i="21"/>
  <c r="F12" i="19"/>
  <c r="M5" i="21"/>
  <c r="L5" i="21"/>
  <c r="I5" i="21"/>
  <c r="J5" i="21"/>
  <c r="M4" i="21"/>
  <c r="M8" i="21"/>
  <c r="L4" i="21"/>
  <c r="L8" i="21"/>
  <c r="I4" i="21"/>
  <c r="F11" i="19"/>
  <c r="F10" i="19"/>
  <c r="F9" i="19"/>
  <c r="F6" i="19"/>
  <c r="F5" i="19"/>
  <c r="F3" i="19"/>
  <c r="F2" i="19"/>
  <c r="B2" i="21"/>
  <c r="B9" i="15"/>
  <c r="B3" i="21"/>
  <c r="B8" i="21"/>
  <c r="B10" i="21"/>
  <c r="B9" i="21"/>
  <c r="B11" i="21"/>
  <c r="K5" i="21"/>
  <c r="F4" i="19"/>
  <c r="I8" i="21"/>
  <c r="J4" i="21"/>
  <c r="J8" i="21"/>
  <c r="K4" i="21"/>
  <c r="K8" i="21"/>
  <c r="B14" i="18"/>
  <c r="E6" i="47"/>
  <c r="B2" i="17"/>
  <c r="B9" i="17"/>
  <c r="F6" i="47"/>
  <c r="B10" i="17"/>
  <c r="F6" i="44"/>
  <c r="B2" i="18"/>
  <c r="B9" i="18"/>
  <c r="B11" i="17"/>
  <c r="B8" i="17"/>
  <c r="B10" i="18"/>
  <c r="B3" i="17"/>
  <c r="B8" i="18"/>
  <c r="G6" i="44"/>
  <c r="B3" i="18"/>
  <c r="B11" i="18"/>
  <c r="B14" i="16"/>
  <c r="G5" i="44"/>
  <c r="F5" i="47"/>
  <c r="F13" i="18"/>
  <c r="F13" i="17"/>
  <c r="B8" i="16"/>
  <c r="B11" i="16"/>
  <c r="B10" i="16"/>
  <c r="B9" i="16"/>
  <c r="B3" i="16"/>
  <c r="B2" i="16"/>
  <c r="L5" i="16"/>
  <c r="L4" i="16"/>
  <c r="L8" i="16"/>
  <c r="I5" i="16"/>
  <c r="K5" i="16"/>
  <c r="M5" i="16"/>
  <c r="I4" i="16"/>
  <c r="J4" i="16"/>
  <c r="M4" i="16"/>
  <c r="M8" i="16"/>
  <c r="M6" i="15"/>
  <c r="L5" i="15"/>
  <c r="B3" i="15"/>
  <c r="F4" i="47"/>
  <c r="B11" i="15"/>
  <c r="B10" i="15"/>
  <c r="B2" i="15"/>
  <c r="E4" i="47"/>
  <c r="F4" i="44"/>
  <c r="B12" i="15"/>
  <c r="G4" i="44"/>
  <c r="J5" i="16"/>
  <c r="J8" i="16"/>
  <c r="I8" i="16"/>
  <c r="K4" i="16"/>
  <c r="K8" i="16"/>
  <c r="M5" i="15"/>
  <c r="L6" i="15"/>
  <c r="B14" i="15"/>
  <c r="M8" i="15"/>
  <c r="G26" i="44"/>
  <c r="B11" i="14"/>
  <c r="B8" i="14"/>
  <c r="B3" i="14"/>
  <c r="F26" i="47"/>
  <c r="B2" i="14"/>
  <c r="B13" i="14"/>
  <c r="B9" i="14"/>
  <c r="F26" i="44"/>
  <c r="B10" i="14"/>
  <c r="E26" i="47"/>
  <c r="L8" i="15"/>
  <c r="AD7" i="1"/>
  <c r="F21" i="47"/>
  <c r="E21" i="47"/>
  <c r="G21" i="44"/>
  <c r="F21" i="44"/>
  <c r="B14" i="12"/>
  <c r="B14" i="11"/>
  <c r="B14" i="10"/>
  <c r="D5" i="7"/>
  <c r="D4" i="7"/>
  <c r="D3" i="7"/>
  <c r="B8" i="11"/>
  <c r="B12" i="11"/>
  <c r="B8" i="12"/>
  <c r="B2" i="10"/>
  <c r="B13" i="11"/>
  <c r="B10" i="11"/>
  <c r="B22" i="9"/>
  <c r="B3" i="10"/>
  <c r="B11" i="10"/>
  <c r="B12" i="12"/>
  <c r="B11" i="11"/>
  <c r="B13" i="12"/>
  <c r="B2" i="11"/>
  <c r="B9" i="10"/>
  <c r="B13" i="10"/>
  <c r="B3" i="11"/>
  <c r="B9" i="12"/>
  <c r="B10" i="10"/>
  <c r="B9" i="11"/>
  <c r="B8" i="10"/>
  <c r="B3" i="12"/>
  <c r="B2" i="12"/>
  <c r="F17" i="44"/>
  <c r="F20" i="47"/>
  <c r="F20" i="44"/>
  <c r="G17" i="44"/>
  <c r="E20" i="47"/>
  <c r="E17" i="47"/>
  <c r="E14" i="47"/>
  <c r="G14" i="44"/>
  <c r="G20" i="44"/>
  <c r="F14" i="47"/>
  <c r="F17" i="47"/>
  <c r="F14" i="44"/>
  <c r="AO3" i="1"/>
  <c r="L6" i="7"/>
  <c r="E6" i="7"/>
  <c r="F3" i="7"/>
  <c r="E30" i="7"/>
  <c r="J29" i="7"/>
  <c r="I29" i="7"/>
  <c r="F29" i="7"/>
  <c r="H29" i="7"/>
  <c r="J28" i="7"/>
  <c r="I28" i="7"/>
  <c r="F28" i="7"/>
  <c r="H28" i="7"/>
  <c r="G28" i="7"/>
  <c r="J27" i="7"/>
  <c r="J30" i="7"/>
  <c r="I27" i="7"/>
  <c r="I30" i="7"/>
  <c r="F27" i="7"/>
  <c r="H27" i="7"/>
  <c r="H30" i="7"/>
  <c r="G27" i="7"/>
  <c r="I16" i="7"/>
  <c r="I17" i="7"/>
  <c r="I18" i="7"/>
  <c r="E18" i="7"/>
  <c r="J17" i="7"/>
  <c r="J16" i="7"/>
  <c r="J18" i="7"/>
  <c r="F17" i="7"/>
  <c r="F18" i="7"/>
  <c r="H16" i="7"/>
  <c r="J5" i="7"/>
  <c r="I5" i="7"/>
  <c r="F5" i="7"/>
  <c r="J4" i="7"/>
  <c r="I4" i="7"/>
  <c r="F4" i="7"/>
  <c r="H4" i="7"/>
  <c r="J3" i="7"/>
  <c r="I3" i="7"/>
  <c r="B9" i="9"/>
  <c r="B13" i="9"/>
  <c r="B3" i="9"/>
  <c r="B10" i="9"/>
  <c r="B12" i="9"/>
  <c r="B8" i="9"/>
  <c r="B2" i="9"/>
  <c r="B11" i="9"/>
  <c r="I6" i="7"/>
  <c r="H5" i="7"/>
  <c r="G5" i="7"/>
  <c r="J6" i="7"/>
  <c r="F6" i="7"/>
  <c r="G3" i="7"/>
  <c r="H3" i="7"/>
  <c r="H6" i="7"/>
  <c r="G4" i="7"/>
  <c r="G17" i="7"/>
  <c r="G18" i="7"/>
  <c r="G29" i="7"/>
  <c r="G30" i="7"/>
  <c r="F30" i="7"/>
  <c r="C34" i="7"/>
  <c r="C35" i="7"/>
  <c r="H17" i="7"/>
  <c r="H18" i="7"/>
  <c r="C33" i="7"/>
  <c r="F2" i="47"/>
  <c r="E2" i="47"/>
  <c r="F2" i="44"/>
  <c r="G2" i="44"/>
  <c r="N18" i="19"/>
  <c r="N19" i="19"/>
  <c r="G6" i="7"/>
  <c r="C10" i="7"/>
  <c r="C11" i="7"/>
  <c r="C22" i="7"/>
  <c r="C23" i="7"/>
  <c r="C21" i="7"/>
  <c r="C9" i="7"/>
  <c r="AQ5" i="1"/>
  <c r="AP5" i="1"/>
  <c r="AO5" i="1"/>
  <c r="AN5" i="1"/>
  <c r="AL5" i="1"/>
  <c r="AM5" i="1"/>
  <c r="AK5" i="1"/>
  <c r="AS5" i="1"/>
  <c r="AJ5" i="1"/>
  <c r="AI5" i="1"/>
  <c r="AR5" i="1"/>
  <c r="AT5" i="1"/>
  <c r="L154" i="4"/>
  <c r="E154" i="4"/>
  <c r="L153" i="4"/>
  <c r="E153" i="4"/>
  <c r="L152" i="4"/>
  <c r="E152" i="4"/>
  <c r="L151" i="4"/>
  <c r="E151" i="4"/>
  <c r="L150" i="4"/>
  <c r="E150" i="4"/>
  <c r="L149" i="4"/>
  <c r="E149" i="4"/>
  <c r="L148" i="4"/>
  <c r="E148" i="4"/>
  <c r="L147" i="4"/>
  <c r="E147" i="4"/>
  <c r="L146" i="4"/>
  <c r="E146" i="4"/>
  <c r="L145" i="4"/>
  <c r="E145" i="4"/>
  <c r="L144" i="4"/>
  <c r="E144" i="4"/>
  <c r="L143" i="4"/>
  <c r="E143" i="4"/>
  <c r="L142" i="4"/>
  <c r="E142" i="4"/>
  <c r="L141" i="4"/>
  <c r="E141" i="4"/>
  <c r="L140" i="4"/>
  <c r="E140" i="4"/>
  <c r="L139" i="4"/>
  <c r="E139" i="4"/>
  <c r="L138" i="4"/>
  <c r="E138" i="4"/>
  <c r="L137" i="4"/>
  <c r="E137" i="4"/>
  <c r="L136" i="4"/>
  <c r="E136" i="4"/>
  <c r="L135" i="4"/>
  <c r="E135" i="4"/>
  <c r="L134" i="4"/>
  <c r="E134" i="4"/>
  <c r="L133" i="4"/>
  <c r="E133" i="4"/>
  <c r="L132" i="4"/>
  <c r="E132" i="4"/>
  <c r="L131" i="4"/>
  <c r="E131" i="4"/>
  <c r="L130" i="4"/>
  <c r="E130" i="4"/>
  <c r="L129" i="4"/>
  <c r="E129" i="4"/>
  <c r="L128" i="4"/>
  <c r="E128" i="4"/>
  <c r="L127" i="4"/>
  <c r="E127" i="4"/>
  <c r="L126" i="4"/>
  <c r="E126" i="4"/>
  <c r="L125" i="4"/>
  <c r="E125" i="4"/>
  <c r="L124" i="4"/>
  <c r="E124" i="4"/>
  <c r="L123" i="4"/>
  <c r="E123" i="4"/>
  <c r="L122" i="4"/>
  <c r="E122" i="4"/>
  <c r="L121" i="4"/>
  <c r="E121" i="4"/>
  <c r="L120" i="4"/>
  <c r="E120" i="4"/>
  <c r="L119" i="4"/>
  <c r="E119" i="4"/>
  <c r="L118" i="4"/>
  <c r="E118" i="4"/>
  <c r="L117" i="4"/>
  <c r="E117" i="4"/>
  <c r="L116" i="4"/>
  <c r="E116" i="4"/>
  <c r="L115" i="4"/>
  <c r="E115" i="4"/>
  <c r="L114" i="4"/>
  <c r="E114" i="4"/>
  <c r="L113" i="4"/>
  <c r="E113" i="4"/>
  <c r="L112" i="4"/>
  <c r="E112" i="4"/>
  <c r="L111" i="4"/>
  <c r="E111" i="4"/>
  <c r="L110" i="4"/>
  <c r="E110" i="4"/>
  <c r="L109" i="4"/>
  <c r="E109" i="4"/>
  <c r="L108" i="4"/>
  <c r="E108" i="4"/>
  <c r="L106" i="4"/>
  <c r="E106" i="4"/>
  <c r="AZ105" i="4"/>
  <c r="BU105" i="4"/>
  <c r="AZ104" i="4"/>
  <c r="BU104" i="4"/>
  <c r="L104" i="4"/>
  <c r="E104" i="4"/>
  <c r="AZ103" i="4"/>
  <c r="BU103" i="4"/>
  <c r="L103" i="4"/>
  <c r="E103" i="4"/>
  <c r="AZ100" i="4"/>
  <c r="BU100" i="4"/>
  <c r="L100" i="4"/>
  <c r="E100" i="4"/>
  <c r="AZ99" i="4"/>
  <c r="BU99" i="4"/>
  <c r="L99" i="4"/>
  <c r="E99" i="4"/>
  <c r="AZ97" i="4"/>
  <c r="BU97" i="4"/>
  <c r="L97" i="4"/>
  <c r="E97" i="4"/>
  <c r="L93" i="4"/>
  <c r="E93" i="4"/>
  <c r="L92" i="4"/>
  <c r="E92" i="4"/>
  <c r="L82" i="4"/>
  <c r="E82" i="4"/>
  <c r="L78" i="4"/>
  <c r="E78" i="4"/>
  <c r="AZ77" i="4"/>
  <c r="BU77" i="4"/>
  <c r="L77" i="4"/>
  <c r="E77" i="4"/>
  <c r="AZ76" i="4"/>
  <c r="BU76" i="4"/>
  <c r="L76" i="4"/>
  <c r="E76" i="4"/>
  <c r="AZ75" i="4"/>
  <c r="BU75" i="4"/>
  <c r="L75" i="4"/>
  <c r="E75" i="4"/>
  <c r="L74" i="4"/>
  <c r="E74" i="4"/>
  <c r="AZ73" i="4"/>
  <c r="BU73" i="4"/>
  <c r="L73" i="4"/>
  <c r="E73" i="4"/>
  <c r="L72" i="4"/>
  <c r="E72" i="4"/>
  <c r="L71" i="4"/>
  <c r="E71" i="4"/>
  <c r="AZ70" i="4"/>
  <c r="BU70" i="4"/>
  <c r="L70" i="4"/>
  <c r="E70" i="4"/>
  <c r="AZ69" i="4"/>
  <c r="BU69" i="4"/>
  <c r="L69" i="4"/>
  <c r="E69" i="4"/>
  <c r="AZ67" i="4"/>
  <c r="BU67" i="4"/>
  <c r="L67" i="4"/>
  <c r="E67" i="4"/>
  <c r="AZ66" i="4"/>
  <c r="BU66" i="4"/>
  <c r="AZ65" i="4"/>
  <c r="BU65" i="4"/>
  <c r="L65" i="4"/>
  <c r="E65" i="4"/>
  <c r="AZ62" i="4"/>
  <c r="BU62" i="4"/>
  <c r="AZ61" i="4"/>
  <c r="BU61" i="4"/>
  <c r="L61" i="4"/>
  <c r="E61" i="4"/>
  <c r="AZ60" i="4"/>
  <c r="BU60" i="4"/>
  <c r="AZ59" i="4"/>
  <c r="BU59" i="4"/>
  <c r="AZ58" i="4"/>
  <c r="BU58" i="4"/>
  <c r="L58" i="4"/>
  <c r="E58" i="4"/>
  <c r="L57" i="4"/>
  <c r="E57" i="4"/>
  <c r="AZ56" i="4"/>
  <c r="BU56" i="4"/>
  <c r="AZ53" i="4"/>
  <c r="BU53" i="4"/>
  <c r="L53" i="4"/>
  <c r="E53" i="4"/>
  <c r="AZ52" i="4"/>
  <c r="BU52" i="4"/>
  <c r="L52" i="4"/>
  <c r="E52" i="4"/>
  <c r="L51" i="4"/>
  <c r="E51" i="4"/>
  <c r="AZ50" i="4"/>
  <c r="BU50" i="4"/>
  <c r="AZ49" i="4"/>
  <c r="BU49" i="4"/>
  <c r="L49" i="4"/>
  <c r="E49" i="4"/>
  <c r="AZ39" i="4"/>
  <c r="BU39" i="4"/>
  <c r="L39" i="4"/>
  <c r="E39" i="4"/>
  <c r="L38" i="4"/>
  <c r="E38" i="4"/>
  <c r="AZ37" i="4"/>
  <c r="BU37" i="4"/>
  <c r="AZ36" i="4"/>
  <c r="BU36" i="4"/>
  <c r="L36" i="4"/>
  <c r="E36" i="4"/>
  <c r="L35" i="4"/>
  <c r="E35" i="4"/>
  <c r="AZ34" i="4"/>
  <c r="BU34" i="4"/>
  <c r="AZ33" i="4"/>
  <c r="BU33" i="4"/>
  <c r="AZ32" i="4"/>
  <c r="BU32" i="4"/>
  <c r="L32" i="4"/>
  <c r="E32" i="4"/>
  <c r="AZ31" i="4"/>
  <c r="BU31" i="4"/>
  <c r="AZ30" i="4"/>
  <c r="BU30" i="4"/>
  <c r="AZ29" i="4"/>
  <c r="BU29" i="4"/>
  <c r="AZ28" i="4"/>
  <c r="BU28" i="4"/>
  <c r="L28" i="4"/>
  <c r="E28" i="4"/>
  <c r="L25" i="4"/>
  <c r="E25" i="4"/>
  <c r="CP21" i="4"/>
  <c r="CS21" i="4"/>
  <c r="AZ21" i="4"/>
  <c r="BU21" i="4"/>
  <c r="AZ19" i="4"/>
  <c r="BU19" i="4"/>
  <c r="CP17" i="4"/>
  <c r="CS17" i="4"/>
  <c r="AZ17" i="4"/>
  <c r="BU17" i="4"/>
  <c r="AZ9" i="4"/>
  <c r="BU9" i="4"/>
  <c r="AZ7" i="4"/>
  <c r="BU7" i="4"/>
  <c r="BO4" i="4"/>
  <c r="BM4" i="4"/>
  <c r="BL4" i="4"/>
  <c r="BK4" i="4"/>
  <c r="BM3" i="4"/>
  <c r="BL3" i="4"/>
  <c r="BN3" i="4"/>
  <c r="Z3" i="4"/>
  <c r="L3" i="4"/>
  <c r="E3" i="4"/>
  <c r="BP3" i="4"/>
  <c r="BQ3" i="4"/>
  <c r="BR3" i="4"/>
  <c r="BP4" i="4"/>
  <c r="BN4" i="4"/>
  <c r="BQ4" i="4"/>
  <c r="BR4" i="4"/>
  <c r="AP3" i="1"/>
  <c r="AS3" i="1"/>
  <c r="AQ3" i="1"/>
  <c r="AT3" i="1"/>
  <c r="AU3" i="1"/>
  <c r="AC22" i="1"/>
  <c r="AX22" i="1"/>
  <c r="AC17" i="1"/>
  <c r="AX17" i="1"/>
  <c r="AC16" i="1"/>
  <c r="AX16" i="1"/>
  <c r="AC27" i="1"/>
  <c r="AX27" i="1"/>
  <c r="AC23" i="1"/>
  <c r="AX23" i="1"/>
  <c r="AC15" i="1"/>
  <c r="AX15" i="1"/>
  <c r="AC13" i="1"/>
  <c r="AX13" i="1"/>
  <c r="AC12" i="1"/>
  <c r="AX12" i="1"/>
  <c r="AC11" i="1"/>
  <c r="AX11" i="1"/>
  <c r="AC10" i="1"/>
  <c r="AX10" i="1"/>
  <c r="AX6" i="1"/>
</calcChain>
</file>

<file path=xl/comments1.xml><?xml version="1.0" encoding="utf-8"?>
<comments xmlns="http://schemas.openxmlformats.org/spreadsheetml/2006/main">
  <authors>
    <author>Paul Thompson</author>
  </authors>
  <commentList>
    <comment ref="A28" authorId="0">
      <text>
        <r>
          <rPr>
            <b/>
            <sz val="9"/>
            <color indexed="81"/>
            <rFont val="Tahoma"/>
            <family val="2"/>
          </rPr>
          <t>Paul Thompson:</t>
        </r>
        <r>
          <rPr>
            <sz val="9"/>
            <color indexed="81"/>
            <rFont val="Tahoma"/>
            <family val="2"/>
          </rPr>
          <t xml:space="preserve">
Both looking at similar things. RE speak to Nuala for explanation. The SNP rs25531 and then long/short allele.
</t>
        </r>
      </text>
    </comment>
  </commentList>
</comments>
</file>

<file path=xl/comments10.xml><?xml version="1.0" encoding="utf-8"?>
<comments xmlns="http://schemas.openxmlformats.org/spreadsheetml/2006/main">
  <authors>
    <author>dbishop</author>
  </authors>
  <commentList>
    <comment ref="C33" authorId="0">
      <text>
        <r>
          <rPr>
            <b/>
            <sz val="9"/>
            <color indexed="81"/>
            <rFont val="Tahoma"/>
            <family val="2"/>
          </rPr>
          <t>dbishop:</t>
        </r>
        <r>
          <rPr>
            <sz val="9"/>
            <color indexed="81"/>
            <rFont val="Tahoma"/>
            <family val="2"/>
          </rPr>
          <t xml:space="preserve">
approx estimate</t>
        </r>
      </text>
    </comment>
  </commentList>
</comments>
</file>

<file path=xl/comments11.xml><?xml version="1.0" encoding="utf-8"?>
<comments xmlns="http://schemas.openxmlformats.org/spreadsheetml/2006/main">
  <authors>
    <author>dbishop</author>
  </authors>
  <commentList>
    <comment ref="B33" authorId="0">
      <text>
        <r>
          <rPr>
            <b/>
            <sz val="9"/>
            <color indexed="81"/>
            <rFont val="Tahoma"/>
            <family val="2"/>
          </rPr>
          <t>dbishop:</t>
        </r>
        <r>
          <rPr>
            <sz val="9"/>
            <color indexed="81"/>
            <rFont val="Tahoma"/>
            <family val="2"/>
          </rPr>
          <t xml:space="preserve">
global cog decline</t>
        </r>
      </text>
    </comment>
  </commentList>
</comments>
</file>

<file path=xl/comments12.xml><?xml version="1.0" encoding="utf-8"?>
<comments xmlns="http://schemas.openxmlformats.org/spreadsheetml/2006/main">
  <authors>
    <author>dbishop</author>
  </authors>
  <commentList>
    <comment ref="B33" authorId="0">
      <text>
        <r>
          <rPr>
            <b/>
            <sz val="9"/>
            <color indexed="81"/>
            <rFont val="Tahoma"/>
            <family val="2"/>
          </rPr>
          <t>dbishop:</t>
        </r>
        <r>
          <rPr>
            <sz val="9"/>
            <color indexed="81"/>
            <rFont val="Tahoma"/>
            <family val="2"/>
          </rPr>
          <t xml:space="preserve">
maltreatment - but main focus on neuro phenotypes</t>
        </r>
      </text>
    </comment>
  </commentList>
</comments>
</file>

<file path=xl/comments13.xml><?xml version="1.0" encoding="utf-8"?>
<comments xmlns="http://schemas.openxmlformats.org/spreadsheetml/2006/main">
  <authors>
    <author>dbishop</author>
  </authors>
  <commentList>
    <comment ref="B33" authorId="0">
      <text>
        <r>
          <rPr>
            <b/>
            <sz val="9"/>
            <color indexed="81"/>
            <rFont val="Tahoma"/>
            <family val="2"/>
          </rPr>
          <t>dbishop:</t>
        </r>
        <r>
          <rPr>
            <sz val="9"/>
            <color indexed="81"/>
            <rFont val="Tahoma"/>
            <family val="2"/>
          </rPr>
          <t xml:space="preserve">
at least 14: 7 measures measured 3 times</t>
        </r>
      </text>
    </comment>
    <comment ref="B35" authorId="0">
      <text>
        <r>
          <rPr>
            <b/>
            <sz val="9"/>
            <color indexed="81"/>
            <rFont val="Tahoma"/>
            <family val="2"/>
          </rPr>
          <t>dbishop:</t>
        </r>
        <r>
          <rPr>
            <sz val="9"/>
            <color indexed="81"/>
            <rFont val="Tahoma"/>
            <family val="2"/>
          </rPr>
          <t xml:space="preserve">
p of .01 rather than .05</t>
        </r>
      </text>
    </comment>
  </commentList>
</comments>
</file>

<file path=xl/comments14.xml><?xml version="1.0" encoding="utf-8"?>
<comments xmlns="http://schemas.openxmlformats.org/spreadsheetml/2006/main">
  <authors>
    <author>Microsoft Office User</author>
    <author>dbishop</author>
  </authors>
  <commentList>
    <comment ref="F11" authorId="0">
      <text>
        <r>
          <rPr>
            <b/>
            <sz val="10"/>
            <color indexed="81"/>
            <rFont val="Calibri"/>
          </rPr>
          <t>Microsoft Office User:</t>
        </r>
        <r>
          <rPr>
            <sz val="10"/>
            <color indexed="81"/>
            <rFont val="Calibri"/>
          </rPr>
          <t xml:space="preserve">
value reported by authors in table
</t>
        </r>
      </text>
    </comment>
    <comment ref="E18" authorId="0">
      <text>
        <r>
          <rPr>
            <b/>
            <sz val="10"/>
            <color indexed="81"/>
            <rFont val="Calibri"/>
          </rPr>
          <t>Microsoft Office User:</t>
        </r>
        <r>
          <rPr>
            <sz val="10"/>
            <color indexed="81"/>
            <rFont val="Calibri"/>
          </rPr>
          <t xml:space="preserve">
Value from supp table S3
</t>
        </r>
      </text>
    </comment>
    <comment ref="B35" authorId="1">
      <text>
        <r>
          <rPr>
            <b/>
            <sz val="9"/>
            <color indexed="81"/>
            <rFont val="Tahoma"/>
            <family val="2"/>
          </rPr>
          <t>dbishop:</t>
        </r>
        <r>
          <rPr>
            <sz val="9"/>
            <color indexed="81"/>
            <rFont val="Tahoma"/>
            <family val="2"/>
          </rPr>
          <t xml:space="preserve">
meta-analysis with 2 samples</t>
        </r>
      </text>
    </comment>
  </commentList>
</comments>
</file>

<file path=xl/comments15.xml><?xml version="1.0" encoding="utf-8"?>
<comments xmlns="http://schemas.openxmlformats.org/spreadsheetml/2006/main">
  <authors>
    <author>Jackie Yang</author>
    <author>dbishop</author>
  </authors>
  <commentList>
    <comment ref="B6" authorId="0">
      <text>
        <r>
          <rPr>
            <b/>
            <sz val="9"/>
            <color indexed="81"/>
            <rFont val="Tahoma"/>
            <family val="2"/>
          </rPr>
          <t>Jackie Yang:</t>
        </r>
        <r>
          <rPr>
            <sz val="9"/>
            <color indexed="81"/>
            <rFont val="Tahoma"/>
            <family val="2"/>
          </rPr>
          <t xml:space="preserve">
3088 AAs + 1430 EAs (Discovery samples were only used for rare variant detection.)</t>
        </r>
      </text>
    </comment>
    <comment ref="H8" authorId="0">
      <text>
        <r>
          <rPr>
            <b/>
            <sz val="9"/>
            <color indexed="81"/>
            <rFont val="Tahoma"/>
            <family val="2"/>
          </rPr>
          <t>Jackie Yang:</t>
        </r>
        <r>
          <rPr>
            <sz val="9"/>
            <color indexed="81"/>
            <rFont val="Tahoma"/>
            <family val="2"/>
          </rPr>
          <t xml:space="preserve">
3088</t>
        </r>
      </text>
    </comment>
    <comment ref="B10" authorId="1">
      <text>
        <r>
          <rPr>
            <b/>
            <sz val="9"/>
            <color indexed="81"/>
            <rFont val="Tahoma"/>
            <family val="2"/>
          </rPr>
          <t>dbishop:</t>
        </r>
        <r>
          <rPr>
            <sz val="9"/>
            <color indexed="81"/>
            <rFont val="Tahoma"/>
            <family val="2"/>
          </rPr>
          <t xml:space="preserve">
Difficult to work out if just one pheno (smoker/non) or if different measures used?</t>
        </r>
      </text>
    </comment>
  </commentList>
</comments>
</file>

<file path=xl/comments16.xml><?xml version="1.0" encoding="utf-8"?>
<comments xmlns="http://schemas.openxmlformats.org/spreadsheetml/2006/main">
  <authors>
    <author>Clara Grabitz</author>
  </authors>
  <commentList>
    <comment ref="AC2" authorId="0">
      <text>
        <r>
          <rPr>
            <b/>
            <sz val="9"/>
            <color indexed="81"/>
            <rFont val="Tahoma"/>
            <family val="2"/>
          </rPr>
          <t>Clara Grabitz:</t>
        </r>
        <r>
          <rPr>
            <sz val="9"/>
            <color indexed="81"/>
            <rFont val="Tahoma"/>
            <family val="2"/>
          </rPr>
          <t xml:space="preserve">
Mean allele frequency
</t>
        </r>
      </text>
    </comment>
  </commentList>
</comments>
</file>

<file path=xl/comments17.xml><?xml version="1.0" encoding="utf-8"?>
<comments xmlns="http://schemas.openxmlformats.org/spreadsheetml/2006/main">
  <authors>
    <author>Clara Grabitz</author>
  </authors>
  <commentList>
    <comment ref="E1" authorId="0">
      <text>
        <r>
          <rPr>
            <b/>
            <sz val="9"/>
            <color indexed="81"/>
            <rFont val="Tahoma"/>
            <family val="2"/>
          </rPr>
          <t>Clara Grabitz:</t>
        </r>
        <r>
          <rPr>
            <sz val="9"/>
            <color indexed="81"/>
            <rFont val="Tahoma"/>
            <family val="2"/>
          </rPr>
          <t xml:space="preserve">
Mean allele frequency
</t>
        </r>
      </text>
    </comment>
  </commentList>
</comments>
</file>

<file path=xl/comments2.xml><?xml version="1.0" encoding="utf-8"?>
<comments xmlns="http://schemas.openxmlformats.org/spreadsheetml/2006/main">
  <authors>
    <author>dbishop</author>
  </authors>
  <commentList>
    <comment ref="H23" authorId="0">
      <text>
        <r>
          <rPr>
            <b/>
            <sz val="9"/>
            <color indexed="81"/>
            <rFont val="Tahoma"/>
            <family val="2"/>
          </rPr>
          <t>dbishop:</t>
        </r>
        <r>
          <rPr>
            <sz val="9"/>
            <color indexed="81"/>
            <rFont val="Tahoma"/>
            <family val="2"/>
          </rPr>
          <t xml:space="preserve">
unclear - both correl and uncorrl?
</t>
        </r>
      </text>
    </comment>
    <comment ref="I23" authorId="0">
      <text>
        <r>
          <rPr>
            <b/>
            <sz val="9"/>
            <color indexed="81"/>
            <rFont val="Tahoma"/>
            <family val="2"/>
          </rPr>
          <t>dbishop:</t>
        </r>
        <r>
          <rPr>
            <sz val="9"/>
            <color indexed="81"/>
            <rFont val="Tahoma"/>
            <family val="2"/>
          </rPr>
          <t xml:space="preserve">
1 or 2 - some used haplotypes
</t>
        </r>
      </text>
    </comment>
    <comment ref="I25" authorId="0">
      <text>
        <r>
          <rPr>
            <b/>
            <sz val="9"/>
            <color indexed="81"/>
            <rFont val="Tahoma"/>
            <family val="2"/>
          </rPr>
          <t>dbishop:</t>
        </r>
        <r>
          <rPr>
            <sz val="9"/>
            <color indexed="81"/>
            <rFont val="Tahoma"/>
            <family val="2"/>
          </rPr>
          <t xml:space="preserve">
focus on interaction between genotypes</t>
        </r>
      </text>
    </comment>
  </commentList>
</comments>
</file>

<file path=xl/comments3.xml><?xml version="1.0" encoding="utf-8"?>
<comments xmlns="http://schemas.openxmlformats.org/spreadsheetml/2006/main">
  <authors>
    <author>Microsoft Office User</author>
  </authors>
  <commentList>
    <comment ref="B33" authorId="0">
      <text>
        <r>
          <rPr>
            <b/>
            <sz val="10"/>
            <color indexed="81"/>
            <rFont val="Calibri"/>
          </rPr>
          <t>Microsoft Office User:</t>
        </r>
        <r>
          <rPr>
            <sz val="10"/>
            <color indexed="81"/>
            <rFont val="Calibri"/>
          </rPr>
          <t xml:space="preserve">
check this
</t>
        </r>
      </text>
    </comment>
  </commentList>
</comments>
</file>

<file path=xl/comments4.xml><?xml version="1.0" encoding="utf-8"?>
<comments xmlns="http://schemas.openxmlformats.org/spreadsheetml/2006/main">
  <authors>
    <author>Microsoft Office User</author>
  </authors>
  <commentList>
    <comment ref="B34" authorId="0">
      <text>
        <r>
          <rPr>
            <b/>
            <sz val="10"/>
            <color indexed="81"/>
            <rFont val="Calibri"/>
          </rPr>
          <t>Microsoft Office User:</t>
        </r>
        <r>
          <rPr>
            <sz val="10"/>
            <color indexed="81"/>
            <rFont val="Calibri"/>
          </rPr>
          <t xml:space="preserve">
check this</t>
        </r>
      </text>
    </comment>
  </commentList>
</comments>
</file>

<file path=xl/comments5.xml><?xml version="1.0" encoding="utf-8"?>
<comments xmlns="http://schemas.openxmlformats.org/spreadsheetml/2006/main">
  <authors>
    <author>Microsoft Office User</author>
  </authors>
  <commentList>
    <comment ref="B33" authorId="0">
      <text>
        <r>
          <rPr>
            <b/>
            <sz val="10"/>
            <color indexed="81"/>
            <rFont val="Calibri"/>
          </rPr>
          <t>Microsoft Office User:</t>
        </r>
        <r>
          <rPr>
            <sz val="10"/>
            <color indexed="81"/>
            <rFont val="Calibri"/>
          </rPr>
          <t xml:space="preserve">
check this</t>
        </r>
      </text>
    </comment>
  </commentList>
</comments>
</file>

<file path=xl/comments6.xml><?xml version="1.0" encoding="utf-8"?>
<comments xmlns="http://schemas.openxmlformats.org/spreadsheetml/2006/main">
  <authors>
    <author>dbishop</author>
  </authors>
  <commentList>
    <comment ref="B33" authorId="0">
      <text>
        <r>
          <rPr>
            <b/>
            <sz val="9"/>
            <color indexed="81"/>
            <rFont val="Tahoma"/>
            <family val="2"/>
          </rPr>
          <t>dbishop:</t>
        </r>
        <r>
          <rPr>
            <sz val="9"/>
            <color indexed="81"/>
            <rFont val="Tahoma"/>
            <family val="2"/>
          </rPr>
          <t xml:space="preserve">
extracted principal components</t>
        </r>
      </text>
    </comment>
    <comment ref="B34" authorId="0">
      <text>
        <r>
          <rPr>
            <b/>
            <sz val="9"/>
            <color indexed="81"/>
            <rFont val="Tahoma"/>
            <family val="2"/>
          </rPr>
          <t>dbishop:</t>
        </r>
        <r>
          <rPr>
            <sz val="9"/>
            <color indexed="81"/>
            <rFont val="Tahoma"/>
            <family val="2"/>
          </rPr>
          <t xml:space="preserve">
principal components presumably not correlated (to check)</t>
        </r>
      </text>
    </comment>
  </commentList>
</comments>
</file>

<file path=xl/comments7.xml><?xml version="1.0" encoding="utf-8"?>
<comments xmlns="http://schemas.openxmlformats.org/spreadsheetml/2006/main">
  <authors>
    <author>dbishop</author>
  </authors>
  <commentList>
    <comment ref="B33" authorId="0">
      <text>
        <r>
          <rPr>
            <b/>
            <sz val="9"/>
            <color indexed="81"/>
            <rFont val="Tahoma"/>
            <family val="2"/>
          </rPr>
          <t>dbishop:</t>
        </r>
        <r>
          <rPr>
            <sz val="9"/>
            <color indexed="81"/>
            <rFont val="Tahoma"/>
            <family val="2"/>
          </rPr>
          <t xml:space="preserve">
Mendelian randomisation</t>
        </r>
      </text>
    </comment>
  </commentList>
</comments>
</file>

<file path=xl/comments8.xml><?xml version="1.0" encoding="utf-8"?>
<comments xmlns="http://schemas.openxmlformats.org/spreadsheetml/2006/main">
  <authors>
    <author>Microsoft Office User</author>
  </authors>
  <commentList>
    <comment ref="F13" authorId="0">
      <text>
        <r>
          <rPr>
            <b/>
            <sz val="10"/>
            <color indexed="81"/>
            <rFont val="Calibri"/>
          </rPr>
          <t>Microsoft Office User:</t>
        </r>
        <r>
          <rPr>
            <sz val="10"/>
            <color indexed="81"/>
            <rFont val="Calibri"/>
          </rPr>
          <t xml:space="preserve">
value provided in paper
</t>
        </r>
      </text>
    </comment>
  </commentList>
</comments>
</file>

<file path=xl/comments9.xml><?xml version="1.0" encoding="utf-8"?>
<comments xmlns="http://schemas.openxmlformats.org/spreadsheetml/2006/main">
  <authors>
    <author>dbishop</author>
  </authors>
  <commentList>
    <comment ref="B33" authorId="0">
      <text>
        <r>
          <rPr>
            <b/>
            <sz val="9"/>
            <color indexed="81"/>
            <rFont val="Tahoma"/>
            <family val="2"/>
          </rPr>
          <t>dbishop:</t>
        </r>
        <r>
          <rPr>
            <sz val="9"/>
            <color indexed="81"/>
            <rFont val="Tahoma"/>
            <family val="2"/>
          </rPr>
          <t xml:space="preserve">
benefit of doubt - did discuss behavioural measures but no analysis of these</t>
        </r>
      </text>
    </comment>
  </commentList>
</comments>
</file>

<file path=xl/sharedStrings.xml><?xml version="1.0" encoding="utf-8"?>
<sst xmlns="http://schemas.openxmlformats.org/spreadsheetml/2006/main" count="6021" uniqueCount="2431">
  <si>
    <t>N</t>
  </si>
  <si>
    <t>O</t>
  </si>
  <si>
    <t>Hovey, D.; Lindstedt, M.; Zettergren, A.; Jonsson, L.; Johansson, A.; Melke, J.; Kerekes, N.; Anckarsater, H.; Lichtenstein, P.; Lundstrom, S.; Westberg, L.</t>
  </si>
  <si>
    <t>Antisocial behavior and polymorphisms in the oxytocin receptor gene: findings in two independent samples</t>
  </si>
  <si>
    <t>healthy sample; degree of substance abuse; reward related electrophysiological activity of ACC</t>
  </si>
  <si>
    <t>Baker, Travis E.; Stockwell, Tim; Barnes, Gordon; Haesevoets, Roderick; Holroyd, Clay B.</t>
  </si>
  <si>
    <t>Reward Sensitivity of ACC as an Intermediate Phenotype between DRD4-521T and Substance Misuse</t>
  </si>
  <si>
    <t>10.1162/jocn_a_00905</t>
  </si>
  <si>
    <t>healthy sample; model-based and model-free learning</t>
  </si>
  <si>
    <t>Doll, Bradley B.; Bath, Kevin G.; Daw, Nathaniel D.; Frank, Michael J.</t>
  </si>
  <si>
    <t>Variability in Dopamine Genes Dissociates Model-Based and Model-Free Reinforcement Learning</t>
  </si>
  <si>
    <t>10.1523/JNEUROSCI.1901-15.2016</t>
  </si>
  <si>
    <t>healthy sample; fMRI; cued and contextual fear conditioning</t>
  </si>
  <si>
    <t>Pohlack, Sebastian T.; Nees, Frauke; Ruttorf, Michaela; Cacciaglia, Raffaele; Winkelmann, Tobias; Schad, Lothar R.; Witt, Stephanie H.; Rietschel, Marcella; Flor, Herta</t>
  </si>
  <si>
    <t>Neural Mechanism of a Sex-Specific Risk Variant for Posttraumatic Stress Disorder in the Type I Receptor of the Pituitary Adenylate Cyclase Activating Polypeptide</t>
  </si>
  <si>
    <t>10.1016/j.biopsych.2014.12.018</t>
  </si>
  <si>
    <t>X</t>
  </si>
  <si>
    <t>clinical</t>
  </si>
  <si>
    <t>smoking - not really clinical?</t>
  </si>
  <si>
    <t>Yang, J.; Wang, S.; Yang, Z.; Hodgkinson, C. A.; Iarikova, P.; Ma, J. Z.; Payne, T. J.; Goldman, D.; Li, M. D.</t>
  </si>
  <si>
    <t>The contribution of rare and common variants in 30 genes to risk nicotine dependence</t>
  </si>
  <si>
    <t>10.1038/mp.2014.156</t>
  </si>
  <si>
    <t>healthy sample; fMRI; anticipatory response to potential threat</t>
  </si>
  <si>
    <t>Klumpers, Floris; Kroes, Marijn C.; Heitland, Ivo; Everaerd, Daphne; Akkermans, Sophie E. A.; Oosting, Ronald S.; van Wingen, Guido; Franke, Barbara; Kenemans, J. Leon; Fernandez, Guillen; Baas, Johanna M. P.</t>
  </si>
  <si>
    <t>Dorsomedial Prefrontal Cortex Mediates the Impact of Serotonin Transporter Linked Polymorphic Region Genotype on Anticipatory Threat Reactions</t>
  </si>
  <si>
    <t>10.1016/j.biopsych.2014.07.034</t>
  </si>
  <si>
    <t>Meloto, Carolina B.; Segall, Samantha K.; Smith, Shad; Parisien, Marc; Shabalina, Svetlana A.; Rizzatti-Barbosa, Celia M.; Gauthier, Josee; Tsao, Douglas; Convertino, Marino; Piltonen, Marjo H.; Slade, Gary Dmitri; Fillingim, Roger B.; Greenspan, Joel D.; Ohrbach, Richard; Knott, Charles; Maixner, William; Zaykin, Dmitri; Dokholyan, Nikolay V.; Reenilae, Ilkka; Mannistoe, Pekka T.; Diatchenko, Luda</t>
  </si>
  <si>
    <t>COMT gene locus: new functional variants</t>
  </si>
  <si>
    <t>10.1097/j.pain.0000000000000273</t>
  </si>
  <si>
    <t xml:space="preserve">elderly sample; 10 genes and polymorphisms; 5 neuropsychological tests; rate of change over 10 years: global cognition; verbal fluency; visual memory; information processing; literacy; </t>
  </si>
  <si>
    <t>Vivot, A.; Glymour, M. M.; Tzourio, C.; Amouyel, P.; Chene, G.; Dufouil, C.</t>
  </si>
  <si>
    <t>Association of Alzheimer's related genotypes with cognitive decline in multiple domains: results from the Three-City Dijon study</t>
  </si>
  <si>
    <t>10.1038/mp.2015.62</t>
  </si>
  <si>
    <t>healty sample; cognitive test scores; cognitive decline after 36 months; dietary patterns; APOE</t>
  </si>
  <si>
    <t>Gardener, S. L.; Rainey-Smith, S. R.; Barnes, M. B.; Sohrabi, H. R.; Weinborn, M.; Lim, Y. Y.; Harrington, K.; Taddei, K.; Gu, Y.; Rembach, A.; Szoeke, C.; Ellis, K. A.; Masters, C. L.; Macaulay, S. L.; Rowe, C. C.; Ames, D.; Keogh, J. B.; Scarmeas, N.; Martins, R. N.</t>
  </si>
  <si>
    <t>Dietary patterns and cognitive decline in an Australian study of ageing</t>
  </si>
  <si>
    <t>10.1038/mp.2014.79</t>
  </si>
  <si>
    <t>? I think include</t>
  </si>
  <si>
    <t>Arloth, Janine; Bogdan, Ryan; Weber, Peter; Frishman, Goar; Menke, Andreas; Wagner, Klaus V.; Balsevich, Georgia; Schmidt, Mathias V.; Karbalai, Nazanin; Czamara, Darina; Altmann, Andre; Truembach, Dietrich; Wurst, Wolfgang; Mehta, Divya; Uhr, Manfred; Klengel, Torsten; Erhardt, Angelika; Carey, Caitlin E.; Conley, Emily Drabant; Ruepp, Andreas; Mueller-Myhsok, Bertram; Hariri, Ahmad R.; Binder, Elisabeth B.</t>
  </si>
  <si>
    <t>Genetic Differences in the Immediate Transcriptome Response to Stress Predict Risk-Related Brain Function and Psychiatric Disorders</t>
  </si>
  <si>
    <t>10.1016/j.neuron.2015.05.034</t>
  </si>
  <si>
    <t>healthy sample; fMRI response so sated vs hungry milkshake predicting weight change;</t>
  </si>
  <si>
    <t>Sun, Xue; Kroemer, Nils B.; Veldhuizen, Maria G.; Babbs, Amanda E.; de Araujo, Ivan E.; Gitelman, Darren R.; Sherwin, Robert S.; Sinha, Rajita; Small, Dana M.</t>
  </si>
  <si>
    <t>Basolateral Amygdala Response to Food Cues in the Absence of Hunger Is Associated with Weight Gain Susceptibility</t>
  </si>
  <si>
    <t>10.1523/JNEUROSCI.3884-14.2015</t>
  </si>
  <si>
    <t>healthy sample; VBM; local grey matter volume hippocampus</t>
  </si>
  <si>
    <t>Dannlowski, U.; Grabe, H. J.; Wittfeld, K.; Klaus, J.; Konrad, C.; Grotegerd, D.; Redlich, R.; Suslow, T.; Opel, N.; Ohrmann, P.; Bauer, J.; Zwanzger, P.; Laeger, I.; Hohoff, C.; Arolt, V.; Heindel, W.; Deppe, M.; Domschke, K.; Hegenscheid, K.; Voelzke, H.; Stacey, D.; Schwabedissen, H. Meyer Zu; Kugel, H.; Baune, B. T.</t>
  </si>
  <si>
    <t>Multimodal imaging of a tescalcin (TESC)-regulating polymorphism (rs7294919)-specific effects on hippocampal gray matter structure</t>
  </si>
  <si>
    <t>10.1038/mp.2014.39</t>
  </si>
  <si>
    <t xml:space="preserve">healthy sample; clinical, cognitive and neuropathological; </t>
  </si>
  <si>
    <t>Replogle, Joseph M.; Chan, Gail; White, Charles C.; Raj, Towfique; Winn, Phoebe A.; Evans, Denis A.; Sperling, Reisa A.; Chibnik, Lori B.; Bradshaw, Elizabeth M.; Schneider, Julie A.; Bennett, David A.; De Jager, Philip L.</t>
  </si>
  <si>
    <t>A TREM1 Variant Alters the Accumulation of Alzheimer-Related Amyloid Pathology</t>
  </si>
  <si>
    <t>10.1002/ana.24337</t>
  </si>
  <si>
    <t>category learning task; operation span task</t>
  </si>
  <si>
    <t>Gorlick, Marissa A.; Worthy, Darrell A.; Knopik, Valerie S.; McGeary, John E.; Beevers, Christopher G.; Maddox, W. Todd</t>
  </si>
  <si>
    <t>DRD4 Long Allele Carriers Show Heightened Attention to High-priority Items Relative to Low-priority Items</t>
  </si>
  <si>
    <t>10.1162/jocn_a_00724</t>
  </si>
  <si>
    <t>(case-control; PD); healthy sample; amygdala volume; task-evoked reactivity to emotional stimuli</t>
  </si>
  <si>
    <t>Smoller, Jordan W.; Gallagher, Patience J.; Duncan, Laramie E.; McGrath, Lauren M.; Haddad, Stephen A.; Holmes, Avram J.; Wolf, Aaron B.; Hilker, Sidney; Block, Stefanie R.; Weill, Sydney; Young, Sarah; Choi, Eun Young; Rosenbaum, Jerrold F.; Biederman, Joseph; Faraone, Stephen V.; Roffman, Joshua L.; Manfro, Gisele G.; Blaya, Carolina; Hirshfeld-Becker, Dina R.; Stein, Murray B.; Van Ameringen, Michael; Tolin, David F.; Otto, Michael W.; Pollack, Mark H.; Simon, Naomi M.; Buckner, Randy L.; Oenguer, Dost; Cohen, Bruce M.</t>
  </si>
  <si>
    <t>The Human Ortholog of Acid-Sensing Ion Channel Gene ASIC1a Is Associated With Panic Disorder and Amygdala Structure and Function</t>
  </si>
  <si>
    <t>10.1016/j.biopsych.2013.12.018</t>
  </si>
  <si>
    <t>healthy sample; thermal pain sensitivity; analgesic efficacy of rTMS; OR neuropathic pain in patients</t>
  </si>
  <si>
    <t>Jaaskelainen, Satu K.; Lindholm, Pauliina; Valmunen, Tanja; Pesonen, Ullamari; Taiminen, Tero; Virtanen, Arja; Lamusuo, Salla; Forssell, Heli; Hagelberg, Nora; Hietala, Jarmo; Pertovaara, Antti</t>
  </si>
  <si>
    <t>Variation in the dopamine D2 receptor gene plays a key role in human pain and its modulation by transcranial magnetic stimulation</t>
  </si>
  <si>
    <t>10.1016/j.pain.2014.08.029</t>
  </si>
  <si>
    <t xml:space="preserve">unaffected relatives BP; MDD; SZ; controls; fMRI; episodic memory task; psychological testing; </t>
  </si>
  <si>
    <t>Erk, Susanne; Meyer-Lindenberg, Andreas; Schmierer, Phoebe; Mohnke, Sebastian; Grimm, Oliver; Garbusow, Maria; Haddad, Leila; Poehland, Lydia; Muehleisen, Thomas W.; Witt, Stephanie H.; Tost, Heike; Kirsch, Peter; Romanczuk-Seiferth, Nina; Schott, Bjoern H.; Cichon, Sven; Noethen, Markus M.; Rietschel, Marcella; Heinz, Andreas; Walter, Henrik</t>
  </si>
  <si>
    <t>Hippocampal and Frontolimbic Function as Intermediate Phenotype for Psychosis: Evidence from Healthy Relatives and a Common Risk Variant in CACNA1C</t>
  </si>
  <si>
    <t>10.1016/j.biopsych.2013.11.025</t>
  </si>
  <si>
    <t>healthy sample; structural MRI</t>
  </si>
  <si>
    <t>Adams, Hieab H. H.; Verhaaren, Benjamin F. J.; Vrooman, Henri A.; Uitterlinden, Andre G.; Hofman, Albert; van Duijn, Cornelia M.; van der Lugt, Aad; Niessen, Wiro J.; Vernooij, Meike W.; Ikram, M. Arfan</t>
  </si>
  <si>
    <t>TMEM106B Influences Volume of Left-Sided Temporal Lobe and Interhemispheric Structures in the General Population</t>
  </si>
  <si>
    <t>10.1016/j.biopsych.2014.03.006</t>
  </si>
  <si>
    <t>marginal clinical?</t>
  </si>
  <si>
    <t>Almeida, O. P.; Hankey, G. J.; Yeap, B. B.; Golledge, J.; Flicker, L.</t>
  </si>
  <si>
    <t>The triangular association of ADH1B genetic polymorphism, alcohol consumption and the risk of depression in older men</t>
  </si>
  <si>
    <t>10.1038/mp.2013.117</t>
  </si>
  <si>
    <t>non-clinical sample; 5 cognitive tasks, Connors ADHD rating scale</t>
  </si>
  <si>
    <t>Cummins, T. D. R.; Jacoby, O.; Hawi, Z.; Nandam, L. S.; Byrne, M. A. V.; Kim, B-N; Wagner, J.; Chambers, C. D.; Bellgrove, M. A.</t>
  </si>
  <si>
    <t>Alpha-2A adrenergic receptor gene variants are associated with increased intra-individual variability in response time</t>
  </si>
  <si>
    <t>10.1038/mp.2013.140</t>
  </si>
  <si>
    <t>healthy sample; stressful life events; fMRI ventral striatum and amygdala to anmiated angry faces; social-affective problems</t>
  </si>
  <si>
    <t>Loth, Eva; Poline, Jean-Baptiste; Thyreau, Benjamin; Jia, Tianye; Tao, Chenyang; Lourdusamy, Anbarasu; Stacey, David; Cattrell, Anna; Desrivieres, Sylvane; Ruggeri, Barbara; Fritsch, Virgile; Banaschewski, Tobias; Barker, Gareth J.; Bokde, Arun L. W.; Buechel, Christian; Carvalho, Fabiana M.; Conrod, Patricia J.; Fauth-Buehler, Mira; Flor, Herta; Gallinat, Jurgen; Garavan, Hugh; Heinz, Andreas; Bruehl, Ruediger; Lawrence, Claire; Mann, Karl; Martinot, Jean-Luc; Nees, Frauke; Paus, Tomas; Pausova, Zdenka; Poustka, Luise; Rietschel, Marcella; Smolka, Michael; Struve, Maren; Feng, Jianfeng; Schumann, Gunter</t>
  </si>
  <si>
    <t>Oxytocin Receptor Genotype Modulates Ventral Striatal Activity to Social Cues and Response to Stressful Life Events</t>
  </si>
  <si>
    <t>10.1016/j.biopsych.2013.07.043</t>
  </si>
  <si>
    <t>healthy parents; children MRI; children beahvioural assessment motor task</t>
  </si>
  <si>
    <t>van der Knaap, Noortje J. F.; El Marroun, Hanan; Klumpers, Floris; Mous, Sabine E.; Jaddoe, Vincent W. V.; Hofman, Albert; Homberg, Judith R.; White, Tonya; Tiemeier, Henning; Fernandez, Guillen</t>
  </si>
  <si>
    <t>Beyond Classical Inheritance: The Influence of Maternal Genotype upon Child's Brain Morphology and Behavior</t>
  </si>
  <si>
    <t>10.1523/JNEUROSCI.0505-14.2014</t>
  </si>
  <si>
    <t>clinical (smoking behaviour)</t>
  </si>
  <si>
    <t>Turner, J. R.; Ray, R.; Lee, B.; Everett, L.; Xiang, J.; Jepson, C.; Kaestner, K. H.; Lerman, C.; Blendy, J. A.</t>
  </si>
  <si>
    <t>Evidence from mouse and man for a role of neuregulin 3 in nicotine dependence</t>
  </si>
  <si>
    <t>10.1038/mp.2013.104</t>
  </si>
  <si>
    <t>healthy sample; fMRI dACC and amygdala after anger control</t>
  </si>
  <si>
    <t>Denson, Thomas F.; Dobson-Stone, Carol; Ronay, Richard; von Hippel, William; Schira, Mark M.</t>
  </si>
  <si>
    <t>A Functional Polymorphism of the MAOA Gene Is Associated with Neural Responses to Induced Anger Control</t>
  </si>
  <si>
    <t>10.1162/jocn_a_00592</t>
  </si>
  <si>
    <t xml:space="preserve">healthy sample; B PiB PET; F18 FDG PET; MRI; </t>
  </si>
  <si>
    <t>Lowe, Val J.; Weigand, Stephen D.; Senjem, Matthew L.; Vemuri, Prashanthi; Jordan, Lennon; Kantarci, Kejal; Boeve, Bradley; Jack, Clifford R., Jr.; Knopman, David; Petersen, Ronald C.</t>
  </si>
  <si>
    <t>Association of hypometabolism and amyloid levels in aging, normal subjects</t>
  </si>
  <si>
    <t>10.1212/WNL.0000000000000467</t>
  </si>
  <si>
    <t>abstinent alcohol-dependent patients; fMRI cue-reactivity task</t>
  </si>
  <si>
    <t>marginal if clinical, but I think OK</t>
  </si>
  <si>
    <t>Jorde, Anne; Bach, Patrick; Witt, Stephanie H.; Becker, Kathleen; Reinhard, Iris; Vollstaedt-Klein, Sabine; Kirsch, Martina; Hermann, Derik; Charlet, Katrin; Beck, Anne; Wimmer, Lioba; Frank, Josef; Treutlein, Jens; Spanagel, Rainer; Mann, Karl; Walter, Henrik; Heinz, Andreas; Rietschel, Marcella; Kiefer, Falk</t>
  </si>
  <si>
    <t>Genetic Variation in the Atrial Natriuretic Peptide Transcription Factor GATA4 Modulates Amygdala Responsiveness in Alcohol Dependence</t>
  </si>
  <si>
    <t>10.1016/j.biopsych.2013.10.020</t>
  </si>
  <si>
    <t xml:space="preserve">elderly sample; volume lateral ventricles 2 year follow up; </t>
  </si>
  <si>
    <t>Roussotte, Florence F.; Gutman, Boris A.; Madsen, Sarah K.; Colby, John B.; Thompson, Paul M.</t>
  </si>
  <si>
    <t>Combined Effects of Alzheimer Risk Variants in the CLU and ApoE Genes on Ventricular Expansion Patterns in the Elderly</t>
  </si>
  <si>
    <t>10.1523/JNEUROSCI.5236-13.2014</t>
  </si>
  <si>
    <t>healthy sample; MRI; brain tissue volumes in neonates; ROI volumetry + tensor-based morphometry</t>
  </si>
  <si>
    <t>Knickmeyer, Rebecca C.; Wang, Jiaping; Zhu, Hongtu; Geng, Xiujuan; Woolson, Sandra; Hamer, Robert M.; Konneker, Thomas; Lin, Weili; Styner, Martin; Gilmore, John H.</t>
  </si>
  <si>
    <t>Common Variants in Psychiatric Risk Genes Predict Brain Structure at Birth</t>
  </si>
  <si>
    <t>10.1093/cercor/bhs401</t>
  </si>
  <si>
    <t>healthy sample; cognitive tests; fMRI + episodic memory task</t>
  </si>
  <si>
    <t>Muse, John; Emery, Matthew; Sambataro, Fabio; Lemaitre, Herve; Tan, Hao-Yang; Chen, Qiang; Kolachana, Bhaskar S.; Das, Saumitra; Callicott, Joseph H.; Weinberger, Daniel R.; Mattay, Venkata S.</t>
  </si>
  <si>
    <t>WWC1 Genotype Modulates Age-Related Decline in Episodic Memory Function Across the Adult Life Span</t>
  </si>
  <si>
    <t>10.1016/j.biopsych.2013.09.036</t>
  </si>
  <si>
    <t>healthy sample; fMRI +  working memory task; non-linear interaction between 2 genes</t>
  </si>
  <si>
    <t>Papaleo, F.; Burdick, M. C.; Callicott, J. H.; Weinberger, D. R.</t>
  </si>
  <si>
    <t>Epistatic interaction between COMT and DTNBP1 modulates prefrontal function in mice and in humans</t>
  </si>
  <si>
    <t>10.1038/mp.2013.133</t>
  </si>
  <si>
    <t>second part; SZ and control; WM and DLPFC activation</t>
  </si>
  <si>
    <t>van Erp, Theo G. M.; Guella, Ilaria; Vawter, Marquis P.; Turner, Jessica; Brown, Gregory G.; McCarthy, Gregory; Greve, Douglas N.; Glover, Gary H.; Calhoun, Vince D.; Lim, Kelvin O.; Bustillo, Juan R.; Belger, Aysenil; Ford, Judith M.; Mathalon, Daniel H.; Diaz, Michele; Preda, Adrian; Nguyen, Dana; Macciardi, Fabio; Potkin, Steven G.</t>
  </si>
  <si>
    <t>Schizophrenia miR-137 Locus Risk Genotype Is Associated with Dorsolateral Prefrontal Cortex Hyperactivation</t>
  </si>
  <si>
    <t>10.1016/j.biopsych.2013.06.016</t>
  </si>
  <si>
    <t xml:space="preserve">sample AD, mild cognitive impairment, healthy controls; MRI HPC; neuropsychological assessment; </t>
  </si>
  <si>
    <t>Kerchner, Geoffrey A.; Berdnik, Daniela; Shen, Jadon C.; Bernstein, Jeffrey D.; Fenesy, Michelle C.; Deutsch, Gayle K.; Wyss-Coray, Tony; Rutt, Brian K.</t>
  </si>
  <si>
    <t>APOE epsilon 4 worsens hippocampal CA1 apical neuropil atrophy and episodic memory</t>
  </si>
  <si>
    <t>10.1212/WNL.0000000000000154</t>
  </si>
  <si>
    <t>healthy controls; SZ; siblings; fMRI + working memory</t>
  </si>
  <si>
    <t>Tost, Heike; Callicott, Joseph H.; Rasetti, Roberta; Vakkalanka, Radhakrishna; Mattay, Venkata S.; Weinberger, Daniel R.; Law, Amanda J.</t>
  </si>
  <si>
    <t>Effects of Neuregulin 3 Genotype on Human Prefrontal Cortex Physiology</t>
  </si>
  <si>
    <t>10.1523/JNEUROSCI.3496-13.2014</t>
  </si>
  <si>
    <t>Haghighi, A.; Melka, M. G.; Bernard, M.; Abrahamowicz, M.; Leonard, G. T.; Richer, L.; Perron, M.; Veillette, S.; Xu, C. J.; Greenwood, C. M. T.; Dias, A.; El-Sohemy, A.; Gaudet, D.; Paus, T.; Pausova, Z.</t>
  </si>
  <si>
    <t>Opioid receptor mu 1 gene, fat intake and obesity in adolescence</t>
  </si>
  <si>
    <t>10.1038/mp.2012.179</t>
  </si>
  <si>
    <t>part; MDD and healthy; fMRI and emotion word task</t>
  </si>
  <si>
    <t>Lohoff, F. W.; Hodge, R.; Narasimhan, S.; Nall, A.; Ferraro, T. N.; Mickey, B. J.; Heitzeg, M. M.; Langenecker, S. A.; Zubieta, J-K; Bogdan, R.; Nikolova, Y. S.; Drabant, E.; Hariri, A. R.; Bevilacqua, L.; Goldman, D.; Doyle, G. A.</t>
  </si>
  <si>
    <t>Functional genetic variants in the vesicular monoamine transporter 1 modulate emotion processing</t>
  </si>
  <si>
    <t>10.1038/mp.2012.193</t>
  </si>
  <si>
    <t>healthy sample; probabilistiv reversal learning</t>
  </si>
  <si>
    <t>den Ouden, Hanneke E. M.; Daw, Nathaniel D.; Fernandez, Guillen; Elshout, Joris A.; Rijpkema, Mark; Hoogman, Martine; Franke, Barbara; Cools, Roshan</t>
  </si>
  <si>
    <t>Dissociable Effects of Dopamine and Serotonin on Reversal Learning</t>
  </si>
  <si>
    <t>10.1016/j.neuron.2013.08.030</t>
  </si>
  <si>
    <t>clinical; opiate abuse</t>
  </si>
  <si>
    <t>Jacobs, M. M.; Okvist, A.; Horvath, M.; Keller, E.; Bannon, M. J.; Morgello, S.; Hurd, Y. L.</t>
  </si>
  <si>
    <t>Dopamine receptor D1 and postsynaptic density gene variants associate with opiate abuse and striatal expression levels</t>
  </si>
  <si>
    <t>10.1038/mp.2012.140</t>
  </si>
  <si>
    <t xml:space="preserve">healthy sample; personality and anxiety traits; pain reaction; fMRI; </t>
  </si>
  <si>
    <t>Farmer, Adam D.; Coen, Steven J.; Kano, Michiko; Paine, Peter A.; Shwahdi, Mustafa; Jafari, Jafar; Kishor, Jessin; Worthen, Sian F.; Rossiter, Holly E.; Kumari, Veena; Williams, Steven C. R.; Brammer, Michael; Giampietro, Vincent P.; Droney, Joanne; Riley, Julia; Furlong, Paul L.; Knowles, Charles H.; Lightman, Stafford L.; Aziz, Qasim</t>
  </si>
  <si>
    <t>Psychophysiological responses to pain identify reproducible human clusters</t>
  </si>
  <si>
    <t>10.1016/j.pain.2013.05.016</t>
  </si>
  <si>
    <t>healthy adolescent boys; fMRI; ADHD symptoms</t>
  </si>
  <si>
    <t>Nymberg, Charlotte; Jia, Tianye; Lubbe, Steven; Ruggeri, Barbara; Desrivieres, Sylvane; Barker, Gareth; Buchel, Christian; Fauth-Buehler, Mira; Cattrell, Anna; Conrod, Patricia; Flor, Herta; Gallinat, Juergen; Garavan, Hugh; Heinz, Andreas; Ittermann, Bernd; Lawrence, Claire; Mann, Karl; Nees, Frauke; Salatino-Oliveira, Angelica; Martinot, Marie-Laure Paillere; Paus, Tomas; Rietschel, Marcella; Robbins, Trevor; Smolka, Michael; Banaschewski, Tobias; Rubia, Katya; Loth, Eva; Schumann, Gunter</t>
  </si>
  <si>
    <t>Neural Mechanisms of Attention-Deficit/Hyperactivity Disorder Symptoms Are Stratified by MAOA Genotype</t>
  </si>
  <si>
    <t>10.1016/j.biopsych.2013.03.027</t>
  </si>
  <si>
    <t>SZ and controls; white matter tract integrity; cognitive performance</t>
  </si>
  <si>
    <t>Voineskos, Aristotle N.; Felsky, Daniel; Kovacevic, Natasa; Tiwari, Arun K.; Zai, Clement; Chakravarty, M. Mallar; Lobaugh, Nancy J.; Shenton, Martha E.; Rajji, Tarek K.; Miranda, Dielle; Pollock, Bruce G.; Mulsant, Benoit H.; McIntosh, Anthony R.; Kennedy, James L.</t>
  </si>
  <si>
    <t>Oligodendrocyte Genes, White Matter Tract Integrity, and Cognition in Schizophrenia</t>
  </si>
  <si>
    <t>10.1093/cercor/bhs188</t>
  </si>
  <si>
    <t>elderly sample; physical activity; serum insulin, glucose, cholesterol, plasma Abeta levles; PET C-11PiB (brain amyloid load)</t>
  </si>
  <si>
    <t>Brown, B. M.; Peiffer, J. J.; Taddei, K.; Lui, J. K.; Laws, S. M.; Gupta, V. B.; Taddei, T.; Ward, V. K.; Rodrigues, M. A.; Burnham, S.; Rainey-Smith, S. R.; Villemagne, V. L.; Bush, A.; Ellis, K. A.; Masters, C. L.; Ames, D.; Macaulay, S. L.; Szoeke, C.; Rowe, C. C.; Martins, R. N.</t>
  </si>
  <si>
    <t>Physical activity and amyloid-beta plasma and brain levels: results from the Australian Imaging, Biomarkers and Lifestyle Study of Ageing</t>
  </si>
  <si>
    <t>10.1038/mp.2012.107</t>
  </si>
  <si>
    <t>case-control; ADHD</t>
  </si>
  <si>
    <t>Spencer, Thomas J.; Biederman, Joseph; Faraone, Stephen V.; Madras, Bertha K.; Bonab, Ali A.; Dougherty, Darin D.; Batchelder, Holly; Clarke, Allison; Fischman, Alan J.</t>
  </si>
  <si>
    <t>Functional Genomics of Attention-Deficit/Hyperactivity Disorder (ADHD) Risk Alleles on Dopamine Transporter Binding in ADHD and Healthy Control Subjects</t>
  </si>
  <si>
    <t>10.1016/j.biopsych.2012.11.010</t>
  </si>
  <si>
    <t>healthy sample; amygdala stress processing; personality trait stress-reactivity</t>
  </si>
  <si>
    <t>I'd missed the human bit!</t>
  </si>
  <si>
    <t>Gunduz-Cinar, O.; MacPherson, K. P.; Cinar, R.; Gamble-George, J.; Sugden, K.; Williams, B.; Godlewski, G.; Ramikie, T. S.; Gorka, A. X.; Alapafuja, S. O.; Nikas, S. P.; Makriyannis, A.; Poulton, R.; Patel, S.; Hariri, A. R.; Caspi, A.; Moffitt, T. E.; Kunos, G.; Holmes, A.</t>
  </si>
  <si>
    <t>Convergent translational evidence of a role for anandamide in amygdala-mediated fear extinction, threat processing and stress-reactivity</t>
  </si>
  <si>
    <t>10.1038/mp.2012.72</t>
  </si>
  <si>
    <t xml:space="preserve">healthy sample; personality traits and resiillience factors; 10 year follow up screening for depressive symptoms; </t>
  </si>
  <si>
    <t>Strohmaier, J.; Amelang, M.; Hothorn, L. A.; Witt, S. H.; Nieratschker, V.; Gerhard, D.; Meier, S.; Wuest, S.; Frank, J.; Loerbroks, A.; Rietschel, M.; Stuermer, T.; Schulze, T. G.</t>
  </si>
  <si>
    <t>The psychiatric vulnerability gene CACNA1C and its sex-specific relationship with personality traits, resilience factors and depressive symptoms in the general population</t>
  </si>
  <si>
    <t>10.1038/mp.2012.53</t>
  </si>
  <si>
    <t>young and old healthy sample; pictorial information retrieval after 1 week</t>
  </si>
  <si>
    <t>Papenberg, Goran; Backman, Lars; Nagel, Irene E.; Nietfeld, Wilfried; Schroeder, Julia; Bertram, Lars; Heekeren, Hauke R.; Lindenberger, Ulman; Li, Shu-Chen</t>
  </si>
  <si>
    <t>Dopaminergic Gene Polymorphisms Affect Long-term Forgetting in Old Age: Further Support for the Magnification Hypothesis</t>
  </si>
  <si>
    <t xml:space="preserve">lumbar disc surgery patients; pain, depression, physical functioning, disability; </t>
  </si>
  <si>
    <t>Lebe, Moritz; Hasenbring, Monika I.; Schmieder, Kirsten; Jetschke, Kathleen; Harders, Albrecht; Epplen, Joerg T.; Hoffjan, Sabine; Koetting, Judith</t>
  </si>
  <si>
    <t>Association of serotonin-1A and -2A receptor promoter polymorphisms with depressive symptoms, functional recovery, and pain in patients 6 months after lumbar disc surgery</t>
  </si>
  <si>
    <t>10.1016/j.pain.2012.11.017</t>
  </si>
  <si>
    <t>inguinal hernia patients; post surgery pain</t>
  </si>
  <si>
    <t>Dominguez, Cecilia A.; Kalliomaki, Maija; Gunnarsson, Ulf; Moen, Aurora; Sandblom, Gabriel; Kockum, Ingrid; Lavant, Ewa; Olsson, Tomas; Nyberg, Fred; Rygh, Lars Jorgen; Roe, Cecilie; Gjerstad, Johannes; Gordh, Torsten; Piehl, Fredrik</t>
  </si>
  <si>
    <t>The DQB1*03:02 HLA haplotype is associated with increased risk of chronic pain after inguinal hernia surgery and lumbar disc herniation</t>
  </si>
  <si>
    <t>10.1016/j.pain.2012.12.003</t>
  </si>
  <si>
    <t>elderly sample; brain amyloid deposition; C-11 PCB PET</t>
  </si>
  <si>
    <t>Thambisetty, Madhav; An, Yang; Nalls, Michael; Sojkova, Jitka; Swaminathan, Shanker; Zhou, Yun; Singleton, Andrew B.; Wong, Dean F.; Ferrucci, Luigi; Saykin, Andrew J.; Resnick, Susan M.</t>
  </si>
  <si>
    <t>Effect of Complement CR1 on Brain Amyloid Burden During Aging and Its Modification by APOE Genotype</t>
  </si>
  <si>
    <t>10.1016/j.biopsych.2012.08.015</t>
  </si>
  <si>
    <t>Papassotiropoulos, A.; Stefanova, E.; Vogler, C.; Gschwind, L.; Ackermann, S.; Spalek, K.; Rasch, B.; Heck, A.; Aerni, A.; Hanser, E.; Demougin, P.; Huynh, K-D; Luechinger, R.; Klarhoefer, M.; Novakovic, I.; Kostic, V.; Boesiger, P.; Scheffler, K.; de Quervain, D. J-F</t>
  </si>
  <si>
    <t>A genome-wide survey and functional brain imaging study identify CTNNBL1 as a memory-related gene</t>
  </si>
  <si>
    <t>10.1038/mp.2011.148</t>
  </si>
  <si>
    <t>G2</t>
  </si>
  <si>
    <t>not accessible?!</t>
  </si>
  <si>
    <t>Shulman, Joshua M.; Chibnik, Lori B.; Leurgans, Sue E.; Wilson, Robert S.; Tran, Dong; Keenan, Brendan T.; Aubin, Cristin; Huentelman, Matthew; Corneveaux, Jason; Reiman, Eric; Bennett, David A.; Evans, Denis; De Jager, Philip L.</t>
  </si>
  <si>
    <t>A Genome-Wide Association Scan for Episodic Memory Decline in Aging</t>
  </si>
  <si>
    <t>A1</t>
  </si>
  <si>
    <t>A2</t>
  </si>
  <si>
    <t xml:space="preserve">young vs old sample; longevity; physical activity; </t>
  </si>
  <si>
    <t>Grady, Deborah L.; Thanos, Panayotis K.; Corrada, Maria M.; Barnett, Jeffrey C., Jr.; Ciobanu, Valentina; Shustarovich, Diana; Napoli, Anthony; Moyzis, Alexandra G.; Grandy, David; Rubinstein, Marcelo; Wang, Gene-Jack; Kawas, Claudia H.; Chen, Chuansheng; Dong, Qi; Wang, Eric; Volkow, Nora D.; Moyzis, Robert K.</t>
  </si>
  <si>
    <t>DRD4 Genotype Predicts Longevity in Mouse and Human</t>
  </si>
  <si>
    <t>U693</t>
  </si>
  <si>
    <t>10.1523/JNEUROSCI.3515-12.2013</t>
  </si>
  <si>
    <t>healthy sample; 6 year change in neuropsychological tests;</t>
  </si>
  <si>
    <t>Bressler, Jan; Fornage, Myriam; Demerath, Ellen W.; Knopman, David S.; Monda, Keri L.; North, Kari E.; Penman, Alan; Mosley, Thomas H.; Boerwinkle, Eric</t>
  </si>
  <si>
    <t>Fat mass and obesity gene and cognitive decline The Atherosclerosis Risk in Communities Study</t>
  </si>
  <si>
    <t>10.1212/WNL.0b013e3182768910</t>
  </si>
  <si>
    <t>elderly sample; flurodeoxyglucose (FDG) PET + raditracer (f-18) florbetapir [glucose metabolism + fibrillar A beta];</t>
  </si>
  <si>
    <t>Jagust, William J.; Landau, Susan M.</t>
  </si>
  <si>
    <t>Apolipoprotein E, Not Fibrillar beta-Amyloid, Reduces Cerebral Glucose Metabolism in Normal Aging</t>
  </si>
  <si>
    <t>10.1523/JNEUROSCI.3266-12.2012</t>
  </si>
  <si>
    <t>check with Di!</t>
  </si>
  <si>
    <t>Cummins, T. D. R.; Hawi, Z.; Hocking, J.; Strudwick, M.; Hester, R.; Garavan, H.; Wagner, J.; Chambers, C. D.; Bellgrove, M. A.</t>
  </si>
  <si>
    <t>Dopamine transporter genotype predicts behavioural and neural measures of response inhibition</t>
  </si>
  <si>
    <t>10.1038/mp.2011.104</t>
  </si>
  <si>
    <t>healthy sample; neuropsychological measures; MRI (DTI)</t>
  </si>
  <si>
    <t>Westlye, Lars T.; Reinvang, Ivar; Rootwelt, Helge; Espeseth, Thomas</t>
  </si>
  <si>
    <t>Effects of APOE on brain white matter microstructure in healthy adults</t>
  </si>
  <si>
    <t>10.1212/WNL.0b013e3182735c9c</t>
  </si>
  <si>
    <t>SZ; case-control; fMRI + working memory task</t>
  </si>
  <si>
    <t>Fatjo-Vilas, Mar; Pomarol-Clotet, Edith; Salvador, Raymond; Monte, Gemma C.; Gomar, Jesus J.; Sarro, Salvador; Ortiz-Gil, Jordi; Aguirre, Candibel; Landin-Romero, Ramon; Guerrero-Pedraza, Amalia; Papiol, Sergi; Blanch, Josep; McKenna, Peter J.; Fananas, Lourdes</t>
  </si>
  <si>
    <t>Effect of the Interleukin-1 beta Gene on Dorsolateral Prefrontal Cortex Function in Schizophrenia: A Genetic Neuroimaging Study</t>
  </si>
  <si>
    <t>10.1016/j.biopsych.2012.04.035</t>
  </si>
  <si>
    <t>healthy sample; age; fMRI + structural</t>
  </si>
  <si>
    <t>Meier, Sandra; Demirakca, Traute; Brusniak, Wencke; Wolf, Isabella; Liebsch, Kristin; Tunc-Skarka, Nuran; Nieratschker, Vanessa; Witt, Stephanie H.; Matthaeus, Franziska; Ende, Gabriele; Flor, Herta; Rietschel, Marcella; Diener, Carsten; Schulze, Thomas G.</t>
  </si>
  <si>
    <t>SCN1A Affects Brain Structure and the Neural Activity of the Aging Brain</t>
  </si>
  <si>
    <t>10.1016/j.biopsych.2012.03.017</t>
  </si>
  <si>
    <t>SZ + controls; case-control; fMRI + memory encoding and retrieval task (healthy); structural MRI (healthy, SZ); cognitive testing; difference mood stabilizer</t>
  </si>
  <si>
    <t>Tan, H. Y.; Chen, A. G.; Chen, Q.; Browne, L. B.; Verchinski, B.; Kolachana, B.; Zhang, F.; Apud, J.; Callicott, J. H.; Mattay, V. S.; Weinberger, D. R.</t>
  </si>
  <si>
    <t>Epistatic interactions of AKT1 on human medial temporal lobe biology and pharmacogenetic implications</t>
  </si>
  <si>
    <t>10.1038/mp.2011.91</t>
  </si>
  <si>
    <t>healthy sample; timing behavioural rhythms of sleep (actigraphy); time of death</t>
  </si>
  <si>
    <t>Lim, Andrew S. P.; Chang, Anne-Marie; Shulman, Joshua M.; Raj, Towfique; Chibnik, Lori B.; Cain, Sean W.; Rothamel, Katherine; Benoist, Christophe; Myers, Amanda J.; Czeisler, Charles A.; Buchman, Aron S.; Bennett, David A.; Duffy, Jeanne F.; Saper, Clifford B.; De Jager, Philip L.</t>
  </si>
  <si>
    <t>A common polymorphism near PER1 and the timing of human behavioral rhythms</t>
  </si>
  <si>
    <t>10.1002/ana.23636</t>
  </si>
  <si>
    <t>Rietschel, M.; Mattheisen, M.; Degenhardt, F.; Muehleisen, T. W.; Kirsch, P.; Esslinger, C.; Herms, S.; Demontis, D.; Steffens, M.; Strohmaier, J.; Haenisch, B.; Breuer, R.; Czerski, P. M.; Giegling, I.; Strengman, E.; Schmael, C.; Mors, O.; Mortensen, P. B.; Hougaard, D. M.; Orntoft, T.; Kapelski, P.; Priebe, L.; Basmanav, F. B.; Forstner, A. J.; Hoffmann, P.; Meier, S.; Nikitopoulos, J.; Moebus, S.; Alexander, M.; Moessner, R.; Wichmann, H-E; Schreiber, S.; Rivandeneira, F.; Hofman, A.; Uitterlinden, A. G.; Wienker, T. F.; Schumacher, J.; Hauser, J.; Maier, W.; Cantor, R. M.; Erk, S.; Schulze, T. G.; Craddock, N.; Owen, M. J.; O'Donovan, M. C.; Borglum, A. D.; Rujescu, D.; Walter, H.; Meyer-Lindenberg, A.; Noethen, M. M.; Ophoff, R. A.; Cichon, S.</t>
  </si>
  <si>
    <t>Association between genetic variation in a region on chromosome 11 and schizophrenia in large samples from Europe</t>
  </si>
  <si>
    <t>10.1038/mp.2011.80</t>
  </si>
  <si>
    <t>healthy sample; PET C-11-AMT (regional serotonin synthesis) in OBFC</t>
  </si>
  <si>
    <t>Booij, L.; Turecki, G.; Leyton, M.; Gravel, P.; De lara, C. Lopez; Diksic, M.; Benkelfat, C.</t>
  </si>
  <si>
    <t>Tryptophan hydroxylase(2) gene polymorphisms predict brain serotonin synthesis in the orbitofrontal cortex in humans</t>
  </si>
  <si>
    <t>10.1038/mp.2011.79</t>
  </si>
  <si>
    <t>healthy sample (parents and infants); plasma oxytocin; parental touch and gaze synchrony + parental care</t>
  </si>
  <si>
    <t>Feldman, Ruth; Zagoory-Sharon, Orna; Weisman, Omri; Schneiderman, Inna; Gordon, Ilanit; Maoz, Rina; Shalev, Idan; Ebstein, Richard P.</t>
  </si>
  <si>
    <t>Sensitive Parenting Is Associated with Plasma Oxytocin and Polymorphisms in the OXTR and CD38 Genes</t>
  </si>
  <si>
    <t>10.1016/j.biopsych.2011.12.025</t>
  </si>
  <si>
    <t>healthy sample; ethnicity; pain sensitivity</t>
  </si>
  <si>
    <t>Hastie, Barbara A.; Riley, Joseph L., III; Kaplan, Lee; Herrera, Dyanne G.; Campbell, Claudia M.; Virtusio, Kathrina; Mogil, Jeffrey S.; Wallace, Margaret R.; Fillingim, Roger B.</t>
  </si>
  <si>
    <t>Ethnicity interacts with the OPRM1 gene in experimental pain sensitivity</t>
  </si>
  <si>
    <t>10.1016/j.pain.2012.03.022</t>
  </si>
  <si>
    <t>healthy sample; PET D2/D3 receptor radio tracer [C-11] raclopride (dopamine); stress (20 min moderate deep muscle pain)</t>
  </si>
  <si>
    <t>Mickey, Brian J.; Sanford, Benjamin J.; Love, Tiffany M.; Shen, Pei-Hong; Hodgkinson, Colin A.; Stohler, Christian S.; Goldman, David; Zubieta, Jon-Kar</t>
  </si>
  <si>
    <t>Striatal Dopamine Release and Genetic Variation of the Serotonin 2C Receptor in Humans</t>
  </si>
  <si>
    <t>10.1523/JNEUROSCI.1260-12.2012</t>
  </si>
  <si>
    <t>MDD; case-control; BMI</t>
  </si>
  <si>
    <t>Rivera, M.; Cohen-Woods, S.; Kapur, K.; Breen, G.; Ng, M. Y.; Butler, A. W.; Craddock, N.; Gill, M.; Korszun, A.; Maier, W.; Mors, O.; Owen, M. J.; Preisig, M.; Bergmann, S.; Tozzi, F.; Rice, J.; Rietschel, M.; Rucker, J.; Schosser, A.; Aitchison, K. J.; Uher, R.; Craig, I. W.; Lewis, C. M.; Farmer, A. E.; McGuffin, P.</t>
  </si>
  <si>
    <t>Depressive disorder moderates the effect of the FTO gene on body mass index</t>
  </si>
  <si>
    <t>10.1038/mp.2011.45</t>
  </si>
  <si>
    <t>healthy; WM change detection task</t>
  </si>
  <si>
    <t>Anderson, David E.; Bell, Theodore A.; Awh, Edward</t>
  </si>
  <si>
    <t>Polymorphisms in the 5-HTTLPR Gene Mediate Storage Capacity of Visual Working Memory (Retracted Article)</t>
  </si>
  <si>
    <t>alcohol dependence; families; alcohol dependence symptom; NEO Personality Inventory-revised impulsivity; subset fMRI monetary incentive delay task</t>
  </si>
  <si>
    <t>Villafuerte, S.; Heitzeg, M. M.; Foley, S.; Yau, W-Y Wendy; Majczenko, K.; Zubieta, J-K; Zucker, R. A.; Burmeister, M.</t>
  </si>
  <si>
    <t>Impulsiveness and insula activation during reward anticipation are associated with genetic variants in GABRA2 in a family sample enriched for alcoholism</t>
  </si>
  <si>
    <t>10.1038/mp.2011.33</t>
  </si>
  <si>
    <t xml:space="preserve">elderly men; total plasma homocysteine; cognitive impairment </t>
  </si>
  <si>
    <t>Ford, A. H.; Flicker, L.; Hankey, G. J.; Norman, P.; van Bockxmeer, F. M.; Almeida, O. P.</t>
  </si>
  <si>
    <t>Homocysteine, methylenetetrahydrofolate reductase C677T polymorphism and cognitive impairment: the health in men study</t>
  </si>
  <si>
    <t>10.1038/mp.2011.18</t>
  </si>
  <si>
    <t>elderly sample; cognitive change over 8 years; verbal memory; abstract reasoning; verbal fluency</t>
  </si>
  <si>
    <t>Schiepers, O. J. G.; Harris, S. E.; Gow, A. J.; Pattie, A.; Brett, C. E.; Starr, J. M.; Deary, I. J.</t>
  </si>
  <si>
    <t>APOE E4 status predicts age-related cognitive decline in the ninth decade: longitudinal follow-up of the Lothian Birth Cohort 1921</t>
  </si>
  <si>
    <t>10.1038/mp.2010.137</t>
  </si>
  <si>
    <t>healthy sample; pair-bonding behaviour; measures of marital status and quality; pair bonding childhood and subsequent behaviour in romantic relationships</t>
  </si>
  <si>
    <t>Walum, Hasse; Lichtenstein, Paul; Neiderhiser, Jenae M.; Reiss, David; Ganiban, Jody M.; Spotts, Erica L.; Pedersen, Nancy L.; Anckarsaeter, Henrik; Larsson, Henrik; Westberg, Lars</t>
  </si>
  <si>
    <t>Variation in the Oxytocin Receptor Gene Is Associated with Pair-Bonding and Social Behavior</t>
  </si>
  <si>
    <t>10.1016/j.biopsych.2011.09.002</t>
  </si>
  <si>
    <t>healthy sample; fMRI + guessing task with monetary reward; actigraphy (sleep)</t>
  </si>
  <si>
    <t>Forbes, Erika E.; Dahl, Ronald E.; Almeida, Jorge R. C.; Ferrell, Robert E.; Nimgaonkar, Vishwajit L.; Mansour, Hader; Sciarrillo, Samantha R.; Holm, Stephanie M.; Rodriguez, Eric E.; Phillips, Mary L.</t>
  </si>
  <si>
    <t>PER2 rs2304672 Polymorphism Moderates Circadian-Relevant Reward Circuitry Activity in Adolescents</t>
  </si>
  <si>
    <t>10.1016/j.biopsych.2011.10.012</t>
  </si>
  <si>
    <t>AD risk and CSF biomarker levels</t>
  </si>
  <si>
    <t>Brouwers, N.; Van Cauwenberghe, C.; Engelborghs, S.; Lambert, J-C; Bettens, K.; Le Bastard, N.; Pasquier, F.; Montoya, A. Gil; Peeters, K.; Mattheijssens, M.; Vandenberghe, R.; De Deyn, P. P.; Cruts, M.; Amouyel, P.; Sleegers, K.; Van Broeckhoven, C.</t>
  </si>
  <si>
    <t>Alzheimer risk associated with a copy number variation in the complement receptor 1 increasing C3b/C4b binding sites</t>
  </si>
  <si>
    <t>10.1038/mp.2011.24</t>
  </si>
  <si>
    <t>SZ; case-control; eyes of the mind task; hinting task; attributional style</t>
  </si>
  <si>
    <t>Hargreaves, A.; Morris, D. W.; Rose, E.; Fahey, C.; Moore, S.; Cummings, E.; Tropea, D.; Gill, M.; Corvin, A.; Donohoe, G.</t>
  </si>
  <si>
    <t>ZNF804A and social cognition in patients with schizophrenia and healthy controls</t>
  </si>
  <si>
    <t>10.1038/mp.2011.102</t>
  </si>
  <si>
    <t xml:space="preserve">elderly sample; A beta  load (C-11 PiB PET); cognitive function; </t>
  </si>
  <si>
    <t>Kantarci, K.; Lowe, V.; Przybelski, S. A.; Weigand, S. D.; Senjem, M. L.; Ivnik, R. J.; Preboske, G. M.; Roberts, R.; Geda, Y. E.; Boeve, B. F.; Knopman, D. S.; Petersen, R. C.; Jack, C. R., Jr.</t>
  </si>
  <si>
    <t>APOE modifies the association between A beta load and cognition in cognitively normal older adults</t>
  </si>
  <si>
    <t>10.1212/WNL.0b013e31824365ab</t>
  </si>
  <si>
    <t>sample?; drug use disorder diagnosis; spousal satisfaction</t>
  </si>
  <si>
    <t>Maher, Brion S.; Vladimirov, Vladimir I.; Latendresse, Shawn J.; Thiselton, Dawn L.; McNamee, Rebecca; Kang, Moonsu; Bigdeli, Tim B.; Chen, Xiangning; Riley, Brien P.; Hettema, John M.; Chilcoat, Howard; Heidbreder, Christian; Muglia, Pierandrea; Murrelle, E. Lenn; Dick, Danielle M.; Aliev, Fazil; Agrawal, Arpana; Edenberg, Howard J.; Kramer, John; Nurnberger, John; Tischfield, Jay A.; Devlin, Bernie; Ferrell, Robert E.; Kirillova, Galina P.; Tarter, Ralph E.; Kendler, Kenneth S.; Vanyukov, Michael M.</t>
  </si>
  <si>
    <t>The AVPR1A Gene and Substance Use Disorders: Association, Replication, and Functional Evidence</t>
  </si>
  <si>
    <t>10.1016/j.biopsych.2011.02.023</t>
  </si>
  <si>
    <t>different samples; PD with/out agrophobia (case-control); dimensional anxiety traits; autonmic arousal level during behavioural avoidance task; processing of fearful faces in PD (fMRI)</t>
  </si>
  <si>
    <t>Domschke, K.; Reif, A.; Weber, H.; Richter, J.; Hohoff, C.; Ohrmann, P.; Pedersen, A.; Bauer, J.; Suslow, T.; Kugel, H.; Heindel, W.; Baumann, C.; Klauke, B.; Jacob, C.; Maier, W.; Fritze, J.; Bandelow, B.; Krakowitzky, P.; Rothermundt, M.; Erhardt, A.; Binder, E. B.; Holsboer, F.; Gerlach, A. L.; Kircher, T.; Lang, T.; Alpers, G. W.; Stroehle, A.; Fehm, L.; Gloster, A. T.; Wittchen, H-U; Arolt, V.; Pauli, P.; Hamm, A.; Deckert, J.</t>
  </si>
  <si>
    <t>Neuropeptide S receptor gene-converging evidence for a role in panic disorder</t>
  </si>
  <si>
    <t>10.1038/mp.2010.81</t>
  </si>
  <si>
    <t>healthy sample; cortical thikness (MRI) longitudinally - rate of cortical thinning</t>
  </si>
  <si>
    <t>Raznahan, A.; Lee, Y.; Long, R.; Greenstein, D.; Clasen, L.; Addington, A.; Rapoport, J. L.; Giedd, J. N.</t>
  </si>
  <si>
    <t>Common functional polymorphisms of DISC1 and cortical maturation in typically developing children and adolescents</t>
  </si>
  <si>
    <t>10.1038/mp.2010.72</t>
  </si>
  <si>
    <t>healthy sample; GABA and GLX (concentration) proton magnetic responance spectroscopy in dorsal anterior cingulate gyrus</t>
  </si>
  <si>
    <t>Marenco, Stefano; Geramita, Matthew; van der Veen, Jan Willem; Barnett, Alan S.; Kolachana, Bhaskar; Shen, Jun; Weinberger, Daniel R.; Law, Amanda J.</t>
  </si>
  <si>
    <t>Genetic Association of ErbB4 and Human Cortical GABA Levels In Vivo</t>
  </si>
  <si>
    <t>10.1523/JNEUROSCI.1529-11.2011</t>
  </si>
  <si>
    <t>SZ; case-control; cognitive performance; degraded-stimulus performance task</t>
  </si>
  <si>
    <t>Morar, B.; Dragovic, M.; Waters, F. A. V.; Chandler, D.; Kalaydjieva, L.; Jablensky, A.</t>
  </si>
  <si>
    <t>Neuregulin 3 (NRG3) as a susceptibility gene in a schizophrenia subtype with florid delusions and relatively spared cognition</t>
  </si>
  <si>
    <t>10.1038/mp.2010.70</t>
  </si>
  <si>
    <t>healthy sample (cross sectional; longitudinal); behavioural and MRI during visuospatial WM task; developmental changes</t>
  </si>
  <si>
    <t>Dumontheil, Iroise; Roggeman, Chantal; Ziermans, Tim; Peyrard-Janvid, Myriam; Matsson, Hans; Kere, Juha; Klingberg, Torkel</t>
  </si>
  <si>
    <t>Influence of the COMT Genotype on Working Memory and Brain Activity Changes During Development</t>
  </si>
  <si>
    <t>10.1016/j.biopsych.2011.02.027</t>
  </si>
  <si>
    <t>healthy sample; reading and language skills</t>
  </si>
  <si>
    <t>Scerri, Tom S.; Morris, Andrew P.; Buckingham, Lyn-Louise; Newbury, Dianne F.; Miller, Laura L.; Monaco, Anthony P.; Bishop, Dorothy V. M.; Paracchini, Silvia</t>
  </si>
  <si>
    <t>DCDC2, KIAA0319 and CMIP Are Associated with Reading-Related Traits</t>
  </si>
  <si>
    <t>10.1016/j.biopsych.2011.02.005</t>
  </si>
  <si>
    <t>healthy sample (children); plasma lipid, IQ, memory, erfromance in school attainment test</t>
  </si>
  <si>
    <t>Taylor, Amy E.; Guthrie, Philip A. I.; Smith, George Davey; Golding, Jean; Sattar, Naveed; Hingorani, Aroon D.; Deanfield, John E.; Day, Ian N. M.</t>
  </si>
  <si>
    <t>IQ, Educational Attainment, Memory and Plasma Lipids: Associations with Apolipoprotein E Genotype in 5995 Children</t>
  </si>
  <si>
    <t>10.1016/j.biopsych.2010.10.033</t>
  </si>
  <si>
    <t>olazapine clearance (antipsychotic drug)</t>
  </si>
  <si>
    <t>Bigos, K. L.; Bies, R. R.; Pollock, B. G.; Lowy, J. J.; Zhang, F.; Weinberger, D. R.</t>
  </si>
  <si>
    <t>Genetic variation in CYP3A43 explains racial difference in olanzapine clearance</t>
  </si>
  <si>
    <t>10.1038/mp.2011.38</t>
  </si>
  <si>
    <t>row</t>
  </si>
  <si>
    <t>AU</t>
  </si>
  <si>
    <t>TI</t>
  </si>
  <si>
    <t>VL</t>
  </si>
  <si>
    <t>IS</t>
  </si>
  <si>
    <t>BP</t>
  </si>
  <si>
    <t>EP</t>
  </si>
  <si>
    <t>DI</t>
  </si>
  <si>
    <t>PY</t>
  </si>
  <si>
    <t>phenotype measure</t>
  </si>
  <si>
    <t>Gene(s)</t>
  </si>
  <si>
    <t>SNPs</t>
  </si>
  <si>
    <t>rs</t>
  </si>
  <si>
    <t>web ref</t>
  </si>
  <si>
    <t>functional?</t>
  </si>
  <si>
    <t>phenotype + effect size prior GWAS</t>
  </si>
  <si>
    <t xml:space="preserve">sample based on power calculation </t>
  </si>
  <si>
    <t>statistical analysis</t>
  </si>
  <si>
    <t>risk gp analysis</t>
  </si>
  <si>
    <t>results in relation to genotype</t>
  </si>
  <si>
    <t>stats measures (odds ratios, means, SD)</t>
  </si>
  <si>
    <t>replication</t>
  </si>
  <si>
    <t>COMT; PPP1R1B</t>
  </si>
  <si>
    <t>ADCYAP1R1</t>
  </si>
  <si>
    <t>ADCYAP1R1 [PAC1-R]</t>
  </si>
  <si>
    <t>rs2267735</t>
  </si>
  <si>
    <t>yes</t>
  </si>
  <si>
    <t>rs75775</t>
  </si>
  <si>
    <t>rs2268498</t>
  </si>
  <si>
    <t>rs4564970</t>
  </si>
  <si>
    <t>rs53576</t>
  </si>
  <si>
    <t>rs2254298</t>
  </si>
  <si>
    <t>rs237887</t>
  </si>
  <si>
    <t>rs1042778</t>
  </si>
  <si>
    <t>rs7632287</t>
  </si>
  <si>
    <t>0.15 (T)</t>
  </si>
  <si>
    <t>0.45 (C)</t>
  </si>
  <si>
    <t>0.06 (C)</t>
  </si>
  <si>
    <t>0.34 (A)</t>
  </si>
  <si>
    <t>0.10 (A)</t>
  </si>
  <si>
    <t>0.41 (G)</t>
  </si>
  <si>
    <t>0.38 (T)</t>
  </si>
  <si>
    <t>0.26 (A)</t>
  </si>
  <si>
    <t>N1</t>
  </si>
  <si>
    <t>N2</t>
  </si>
  <si>
    <t>N3</t>
  </si>
  <si>
    <t>Overt aggression all p=0.015; boys p=NS; girls p=0.039</t>
  </si>
  <si>
    <t>Overt aggression all p=NS; boys p=0.012; girls p=NS</t>
  </si>
  <si>
    <t>Overt aggression all p=NS; boys p=NS; girls p=0.023</t>
  </si>
  <si>
    <t>Cover aggression all p=N; boys p=N; girls=NS</t>
  </si>
  <si>
    <t>Cover aggression all p=0.026; boys p=0.0076; girls=NS</t>
  </si>
  <si>
    <t>autism: Wang et al., 2009</t>
  </si>
  <si>
    <t>empathy: Christ etal., 2014; Laursen et al., 2014; emotion recognition: Melchers et al., 2013</t>
  </si>
  <si>
    <t>aggressive behaviour: Johansson et al., 2012; Johansson et al., 2012b</t>
  </si>
  <si>
    <t>empathy: Rodrigues et al., 2009; prosociality: Tost et al., 2010; parenting: Bakermans-Kranenburg et al., 2008; amygdala activation: Tost et al., 2010</t>
  </si>
  <si>
    <t>prosociality: Israel et al., 2009; autism: LoParo et al., 2014; amygdala size: Inoue et al., 2010; empathy: Wu et al., 2012</t>
  </si>
  <si>
    <t>social recognition: Skuse et al., 2014; empathy: Wu et al., 2012; autism: LoParo et al., 2014</t>
  </si>
  <si>
    <t>prosociality: Israel et al., 2009; autism: Lerer et al., 2008; aggression: Malik et al., 2012</t>
  </si>
  <si>
    <t>pair-bonding: Walum et al., 2012; autism: LoParo et al., 2014</t>
  </si>
  <si>
    <t>comments phenotype measures</t>
  </si>
  <si>
    <t>DRD4; COMT</t>
  </si>
  <si>
    <t>rs1800955</t>
  </si>
  <si>
    <t>rs12720364</t>
  </si>
  <si>
    <t>rs4680</t>
  </si>
  <si>
    <t>DRD4 [C-521T]</t>
  </si>
  <si>
    <t>CC, CT, TT</t>
  </si>
  <si>
    <t>GG, -/G, -/-</t>
  </si>
  <si>
    <t>MM,MV, VV</t>
  </si>
  <si>
    <t xml:space="preserve">CC n=43 </t>
  </si>
  <si>
    <t xml:space="preserve">GG n=75 </t>
  </si>
  <si>
    <t>MM n=54</t>
  </si>
  <si>
    <t>CT n=107</t>
  </si>
  <si>
    <t>MV n=101</t>
  </si>
  <si>
    <t>TT n=45</t>
  </si>
  <si>
    <t>-/- n=29</t>
  </si>
  <si>
    <t>VV n=40</t>
  </si>
  <si>
    <t xml:space="preserve">DRD4 [-127 Indel] </t>
  </si>
  <si>
    <t>PPP1R1B [DARPP-32]</t>
  </si>
  <si>
    <t xml:space="preserve">COMT [Val158Met] </t>
  </si>
  <si>
    <t>rs907094</t>
  </si>
  <si>
    <t xml:space="preserve">two-step sequential learning task (Daw et al., 2011) and transfer phase to measure model-based and model-free learning (goal-directed vs. habitual behaviour);  </t>
  </si>
  <si>
    <t>GG female n=15; male n=19</t>
  </si>
  <si>
    <t>GC female n=18; male=38</t>
  </si>
  <si>
    <t>CC female n=6; male n=16</t>
  </si>
  <si>
    <t>GG female n=9; male n=17</t>
  </si>
  <si>
    <t>GC female n=8; male n=24</t>
  </si>
  <si>
    <t>CC female n=7; male n=7</t>
  </si>
  <si>
    <t>only trend toward significance in right hippocampus (t=2.54, p=.086)</t>
  </si>
  <si>
    <t>5-HTTLPR</t>
  </si>
  <si>
    <t>SS n=16</t>
  </si>
  <si>
    <t>SL n=53</t>
  </si>
  <si>
    <t>LL n=30</t>
  </si>
  <si>
    <t>SS n=15</t>
  </si>
  <si>
    <t>SL n=22</t>
  </si>
  <si>
    <t>LL n=32</t>
  </si>
  <si>
    <t>APOE</t>
  </si>
  <si>
    <t>CR1</t>
  </si>
  <si>
    <t>BIN1</t>
  </si>
  <si>
    <t>CLU</t>
  </si>
  <si>
    <t>PICALM</t>
  </si>
  <si>
    <t>ABCA7</t>
  </si>
  <si>
    <t>MS4A6A</t>
  </si>
  <si>
    <t>CD33</t>
  </si>
  <si>
    <t>MS4A4E</t>
  </si>
  <si>
    <t>CD2AP</t>
  </si>
  <si>
    <t>up to 5 times over 10 years neuropsychological follow up; level and change in 5 neuropsychological tests; global cognition (Mini Mental State Examination), verbal fluency (Isaac's Set Test), visual memory (Benton Visual Retention Test), information processing (Trail Making Test B), literacy (National Adult Reading Test)</t>
  </si>
  <si>
    <t>rs3818361</t>
  </si>
  <si>
    <t>rs11136000</t>
  </si>
  <si>
    <t>rs744373</t>
  </si>
  <si>
    <t>rs541458</t>
  </si>
  <si>
    <t>rs3764650</t>
  </si>
  <si>
    <t>rs670139</t>
  </si>
  <si>
    <t>rs3865444</t>
  </si>
  <si>
    <t>rs610932</t>
  </si>
  <si>
    <t>rs9296559</t>
  </si>
  <si>
    <t>E4+,E4-</t>
  </si>
  <si>
    <t>AA,AG,GG</t>
  </si>
  <si>
    <t>CC,TC,TT</t>
  </si>
  <si>
    <t>TT,CT,CC</t>
  </si>
  <si>
    <t>TT,GT,GG</t>
  </si>
  <si>
    <t>GG,TG,TT</t>
  </si>
  <si>
    <t>AA,AC,CC</t>
  </si>
  <si>
    <t>CC,CT,TT</t>
  </si>
  <si>
    <t>E4+ n=3625</t>
  </si>
  <si>
    <t>E4- n=977</t>
  </si>
  <si>
    <t>AA n=163</t>
  </si>
  <si>
    <t>AG n=1414</t>
  </si>
  <si>
    <t>GG n=3011</t>
  </si>
  <si>
    <t>CC n=1690</t>
  </si>
  <si>
    <t>TC n=2153</t>
  </si>
  <si>
    <t>TT n=676</t>
  </si>
  <si>
    <t>AA n=2315</t>
  </si>
  <si>
    <t>GA n=1852</t>
  </si>
  <si>
    <t>GG n=350</t>
  </si>
  <si>
    <t>TT n=2162</t>
  </si>
  <si>
    <t>CT n=1940</t>
  </si>
  <si>
    <t>CC n=483</t>
  </si>
  <si>
    <t>TT n=3664</t>
  </si>
  <si>
    <t>GT n=753</t>
  </si>
  <si>
    <t>GG n=47</t>
  </si>
  <si>
    <t>GG n=1741</t>
  </si>
  <si>
    <t>TG n=2211</t>
  </si>
  <si>
    <t>TT n=623</t>
  </si>
  <si>
    <t>AA n=438</t>
  </si>
  <si>
    <t>AC n=1926</t>
  </si>
  <si>
    <t>CC n=2217</t>
  </si>
  <si>
    <t>GG n=1341</t>
  </si>
  <si>
    <t>TG n=2331</t>
  </si>
  <si>
    <t>TT n=911</t>
  </si>
  <si>
    <t>CC=330</t>
  </si>
  <si>
    <t>CT n=1813</t>
  </si>
  <si>
    <t>TT n=2352</t>
  </si>
  <si>
    <t>OR= 1.76</t>
  </si>
  <si>
    <t>OR= 1.17</t>
  </si>
  <si>
    <t>OR= 1.14</t>
  </si>
  <si>
    <t>OR= 1.16</t>
  </si>
  <si>
    <t>OR= 1.23</t>
  </si>
  <si>
    <t>OR= 1.08</t>
  </si>
  <si>
    <t>OR= 1.12</t>
  </si>
  <si>
    <t>OR= 1.11</t>
  </si>
  <si>
    <t>OR=1.12</t>
  </si>
  <si>
    <t>no</t>
  </si>
  <si>
    <t>Over aggression GG all M=0.92, SD=2.06; boys M=1.29, SD=2.32; girls M=0.65, SD=1.79</t>
  </si>
  <si>
    <t>covert aggression GG all M=4.96, SD=5.25; boys M=5.57, SD=5.75; girls M=4.51, SD=4.79</t>
  </si>
  <si>
    <t>Over aggression GA all M=1.05, SD=2.21; boys M=1.52, SD=2.71; girls M=0.69, SD=1.67</t>
  </si>
  <si>
    <t>Overt aggression GG all M=0.97, SD=2.17; boys M=1.29, SD=2.29; girls M=0.72, SD=2.04</t>
  </si>
  <si>
    <t>covert aggression GG all M=5.21, Sd=5.42; boys M=5.77, SD=5.61; girls M=4.76, SD=5.23</t>
  </si>
  <si>
    <t>SRD GG all M=5.93, SD=6.77; boys M=7.02, SD=7.54; girls M=5.15, SD=6.03</t>
  </si>
  <si>
    <t>Overt aggression GG all M=0.92, SD=2.07; boys M=1.30, SD=2.35; girls M=0.65, SD=1.79</t>
  </si>
  <si>
    <t>Life History of Aggression (LHA) all p=0.0045; boys p=0.029, girls p=NS</t>
  </si>
  <si>
    <t>Aggression all p=0.029, boys p=NS, girls p=NS</t>
  </si>
  <si>
    <t>LHA all p=0.026; boys p=NS; girls p=0.0073</t>
  </si>
  <si>
    <t>Antisocial/consequences all p=0.032; boys p=NS; girls p=NS</t>
  </si>
  <si>
    <t>LHA all p=0.022; boys p=0.0025; girls p=NS</t>
  </si>
  <si>
    <t>aggression all p=0.047; boys p=0.010; girls p=NS</t>
  </si>
  <si>
    <t>aggression all p=0.039; boys p=0.0025; girls p=NS</t>
  </si>
  <si>
    <t>Antisocial/consequences all p=0.041; boys p=0.0020; girls p=NS</t>
  </si>
  <si>
    <t>MMSE at 77: -0.02 (-0.09; 0.06); after 10: -0.02 (-0.11; 0.08)</t>
  </si>
  <si>
    <t>MMSE at 77: -0.02 (-0.12; 0.08); after 10: -0.09 (-0.21; 0.04)</t>
  </si>
  <si>
    <t>MMSE at 77: 0.02 (-0.05; 0.09); after 10: -0.01 (-0.11; 0.09)</t>
  </si>
  <si>
    <t>MMSE at 77: -0.02 (-0.11; 0.07); after 10: -0.04 (-0.17; 0.08)</t>
  </si>
  <si>
    <t>MMSE at 77: -0.05 (-0.14; 0.04); after 10: -0.08 (-0.19; 0.03)</t>
  </si>
  <si>
    <t>MMSE at 77: -0.012(-0.24; 0.02); after 10: -0.03 (-0.17; 0.11)</t>
  </si>
  <si>
    <t>MMSE at 77: -0.04 (-0.11; 0.03); after 10: -0.00 (-0.09; 0.09)</t>
  </si>
  <si>
    <t>IST at 77: -0.13 (-0.29; 0.03); after 10: 0.00 (-0.14; 0.15)</t>
  </si>
  <si>
    <t>IST at 77: -0.01 (-0.15; 0.13); after 10: -0.08 (-0.19; 0.04)</t>
  </si>
  <si>
    <t>IST at 77: 0.09 (-0.02; 0.21); after 10: -0.04 (-0.15; 0.08)</t>
  </si>
  <si>
    <t>IST at 77: -0.13 (-0.28; 0.03); after 10: 0.09 (-0.07; 0.24)</t>
  </si>
  <si>
    <t>IST at 77: 0.11 (-0.04; 0.03); after 10: 0.04 (-0.11; 0.19)</t>
  </si>
  <si>
    <t>IST at 77: -0.11 (-0.31; 0.08); after 10: -0.17 (-0.37; 0.03)</t>
  </si>
  <si>
    <t>IST at 77: 0.11 (-0.04; 0.25); after 10: -0.00 (-0.15; 0.15)</t>
  </si>
  <si>
    <t>IST at 77: -0.01 (-0.15; 0.12); after 10: 0.05 (-0.07; 0.17)</t>
  </si>
  <si>
    <t>General Cognition Composite score: Chibnik et al., 2011; Attention DSST Sweet et al., 2012; Episodic Memory Composite score Chibnik et al., 2011; Keenan et al., 2012</t>
  </si>
  <si>
    <t>General Cognition MMSE Sweet et al., 2012; 3MS Mengel-From et al., 2013; Attention DSST Pedraza et al., 2014; Episodic Memory Composite score Thambisetty et al., 2013</t>
  </si>
  <si>
    <t>General Cognition 3MS Sweet et al., 2012</t>
  </si>
  <si>
    <t>SEM; examined whether theta power and RP amplitude could account for contribution of polymorphisms to GCR score; indirect effects examined through bootstrapping (1000 times) and model performance assessed with fit criteria</t>
  </si>
  <si>
    <t>ANOVA, post hoc omnibus repeated measures analysis, Whole brain analysis, hierarchical linear regression dmPFC and 5-HTTLPR and threat response</t>
  </si>
  <si>
    <t>Benton at 77: -0.03 (-0.01; 0.04); after 10: -0.09 (-0.19; 0.01)</t>
  </si>
  <si>
    <t>Benton at 77: -0.00(-0.03; 0.03); after 10: -0.00 (-0.08; 0.08)</t>
  </si>
  <si>
    <t>Benton at 77: -0.01 (-0.09; 0.08); after 10: -0.04 (-0.15; 0.08)</t>
  </si>
  <si>
    <t>Benton at 77: -0.01 (-0.07; 0.05); after 10: -0.06 (-0.14; 0.03)</t>
  </si>
  <si>
    <t>Benton at 77: 0.02 (-0.03; 0.08); after 10: 0.02 (-0.07; 0.10)</t>
  </si>
  <si>
    <t>Benton at 77: -0.07 (-0.14; 0.07); after 10: -0.05 (-0.16; 0.05)</t>
  </si>
  <si>
    <t>Benton at 77: 0.04 (-0.03; 0.11); after 10: -0.00 (-0.15; 0.15)</t>
  </si>
  <si>
    <t>Benton at 77: -0.09 (-0.18; 0.01); after 10: 0.03 (-0.10; 0.16)</t>
  </si>
  <si>
    <t>Benton at 77: -0.05 (-0.11; 0.08); after 10: -0.01 (-0.09; 0.08)</t>
  </si>
  <si>
    <t>TMTB at 77: 0.03 (-0.04; 0.11); after 10: -0.02 (-0.12; 0.08)</t>
  </si>
  <si>
    <t>TMTB at 77: -0.02 (-0.12; 0.08); after 10: 0.09 (-0.04; 0.22)</t>
  </si>
  <si>
    <t>TMTB at 77: -0.01 (-0.07; 0.06); after 10: -0.09 (-0.18; 0.00)</t>
  </si>
  <si>
    <t>TMTB at 77: 0.02 (-0.05; 0.09); after 10: -0.08 (-0.17; 0.01)</t>
  </si>
  <si>
    <t>TMTB at 77: -0.06 (-0.16; 0.03); after 10: 0.06 (-0.06; 0.18)</t>
  </si>
  <si>
    <t>TMTB at 77: -0.04 (-0.13; 0.05); after 10: 0.01 (-0.11; 0.12)</t>
  </si>
  <si>
    <t>TMTB at 77: -0.10 (-0.22; 0.02); after 10: -0.04 (-0.19; 0.11)</t>
  </si>
  <si>
    <t>TMTB at 77: 0.00 (-0.05; 0.06); after 10: 0.05 (-0.05; 0.14)</t>
  </si>
  <si>
    <t>National adult reading test (NART) at 77: 0.10 (-0.07; 0.26); after 10: -0.05 (-0.27; 0.17)</t>
  </si>
  <si>
    <t>NART at 77: -0.01 (-0.13; 0.12); after 10: -0.02 (-0.21; 0.17)</t>
  </si>
  <si>
    <t>NART at 77: -0.06 (-0.24; 0.12); after 10: 0.04 (-0.20; 0.28)</t>
  </si>
  <si>
    <t>NART at 77: 0.10 (-0.03; 0.11); after 10: -0.13 (-0.30; 0.05)</t>
  </si>
  <si>
    <t>NART at 77: -0.03 (-0.16; 0.11); after 10: -0.12 (-0.30; 0.05)</t>
  </si>
  <si>
    <t>NART at 77: -0.02 (-0.19; 0.15; after 10: 0.09 (-0.15; 0.31)</t>
  </si>
  <si>
    <t>NART at 77: -0.02 (-0.18; 0.16); after 10: 0.08 (-0.14; 0.30)</t>
  </si>
  <si>
    <t>NART at 77: -0.02 (-0.23; 0.19); after 10: 0.05 (-0.24; 0.35)</t>
  </si>
  <si>
    <t>NART at 77: -0.02 (-0.18; 0.15); after 10: 0.08 (-0.14; 0.30)</t>
  </si>
  <si>
    <t>NART at 77: 0.00 (-0.05; 0.05); after 10: 0.05 (-0.25; 0.26)</t>
  </si>
  <si>
    <t>N=4602</t>
  </si>
  <si>
    <t>N=4588</t>
  </si>
  <si>
    <t>RAF=48.1</t>
  </si>
  <si>
    <t>RAF=21.2</t>
  </si>
  <si>
    <t>RAF=34.3</t>
  </si>
  <si>
    <t>RAF=85.0</t>
  </si>
  <si>
    <t>RAF=52.8</t>
  </si>
  <si>
    <t>RAF=17.9</t>
  </si>
  <si>
    <t>RAF=61.9</t>
  </si>
  <si>
    <t>RAF=90.4</t>
  </si>
  <si>
    <t>RAF=80.1</t>
  </si>
  <si>
    <t>RAF=47.7</t>
  </si>
  <si>
    <t>N=4519</t>
  </si>
  <si>
    <t>N=4577</t>
  </si>
  <si>
    <t>N=4585</t>
  </si>
  <si>
    <t>N=4464</t>
  </si>
  <si>
    <t>N=4575</t>
  </si>
  <si>
    <t>N=4581</t>
  </si>
  <si>
    <t>N=4583</t>
  </si>
  <si>
    <t>N=4495</t>
  </si>
  <si>
    <t xml:space="preserve">APOE </t>
  </si>
  <si>
    <t>APOE e4 carrier n=148</t>
  </si>
  <si>
    <t>APOE e4 non-carrier n=379</t>
  </si>
  <si>
    <t>APOE e4 carrier (e2/4, e3/4 or e4/4) vs. APOE e4 non-carrier</t>
  </si>
  <si>
    <t>Taq1A</t>
  </si>
  <si>
    <t>A1+ n=15</t>
  </si>
  <si>
    <t>A1- n=17</t>
  </si>
  <si>
    <t>A1+ vs. A1- (collapsed across heterozygous and homozygous)</t>
  </si>
  <si>
    <t>fMRI, amygdala response to milkshakes when sated or hungry, weightgain at 1 year follow up</t>
  </si>
  <si>
    <t>two samples; Muenster sample N=503; SHIP-TREND N=721</t>
  </si>
  <si>
    <t>TESC regulating polymorphism</t>
  </si>
  <si>
    <t>rs7294919</t>
  </si>
  <si>
    <t>Muenster sample: C carries (CC and TC) vs. TT</t>
  </si>
  <si>
    <t>n=89 (CC n=3; TC  n=86)</t>
  </si>
  <si>
    <t>TT n=414</t>
  </si>
  <si>
    <t>SHIP-TREND sample: C carries (CC and TC) vs. TT</t>
  </si>
  <si>
    <t>DTI subsample</t>
  </si>
  <si>
    <t>fMRI subsample</t>
  </si>
  <si>
    <t xml:space="preserve">TC n=38 </t>
  </si>
  <si>
    <t>TT n=184</t>
  </si>
  <si>
    <t>TC n=43</t>
  </si>
  <si>
    <t>TT n=221</t>
  </si>
  <si>
    <t>whole brain data: 2 sig. clusters: left temporal pole extending to HPC, parahippocampal gyrus and fusiform gyrus (x = –24, y = 12, z = –35, t(498) = 4.03, k = 509, P&lt;0.0001); second cluster right parahippocampal gyrus extending to right HPC and amygdala (x = 30, y = –12, z = –27, t(498) = 3.42, k = 124, P = 0.0003)</t>
  </si>
  <si>
    <t>whole brain data: 2 sig. clusters: left parts of HPC and parahippocampal gyrus expanding into fusiform gyrus, amgdala and superior temporal pole (x = –26, y = –12, z = –29, t(717) = 4.63, k = 1449, P&lt;0.0001); right HPC and parahippocampal gyrus (x = 30, y = –13, z = –20, t(717) = 3.99, k = 464,
P&lt;0.0001)</t>
  </si>
  <si>
    <t>no sig. association with FA values in either direction, also not in ROI of HPC, fornix, cingulum and uncinate fasciculus fiber tracts</t>
  </si>
  <si>
    <t>emotional face paradigm robustly activated amygdala and HPC formation; but no sig. associations with polymorphism</t>
  </si>
  <si>
    <t>general sample: n=187 (60 men); 18-35 years; University of Texas at Austin introductory participant pool; screened sample n=221 (96 men)</t>
  </si>
  <si>
    <t>DRD4</t>
  </si>
  <si>
    <t>Category learning general sample: DRD4 long (homozygous or heterozygous for allele of 7+ repeats) vs. DRD4 short (both alleles &lt;7 repeats)</t>
  </si>
  <si>
    <t>Category learning screened sample: DRD4 long (homozygous or heterozygous for allele of 7+ repeats) vs. DRD4 short (both alleles &lt;7 repeats)</t>
  </si>
  <si>
    <t>Memory Span: DRD4 long (homozygous or heterozygous for allele of 7+ repeats) vs. DRD4 short (both alleles &lt;7 repeats)</t>
  </si>
  <si>
    <t>long n=49</t>
  </si>
  <si>
    <t>short n=138</t>
  </si>
  <si>
    <t>long n=31</t>
  </si>
  <si>
    <t>short n=170</t>
  </si>
  <si>
    <t>long n=32</t>
  </si>
  <si>
    <t>short n=161</t>
  </si>
  <si>
    <t>ANOVAs; independent samples t tests</t>
  </si>
  <si>
    <t>rs685012</t>
  </si>
  <si>
    <t>rs10875995</t>
  </si>
  <si>
    <t>amygdala volume (n=1048)</t>
  </si>
  <si>
    <t>fMRI (n=103)</t>
  </si>
  <si>
    <t>amygdala volume (n=1048); c carriers vs T/T homozygotes</t>
  </si>
  <si>
    <t>fMRI (n=103)c carriers vs T/T homozygotes</t>
  </si>
  <si>
    <t>C carriers n=546</t>
  </si>
  <si>
    <t>T/T n=502</t>
  </si>
  <si>
    <t>C carriers n=56</t>
  </si>
  <si>
    <t>T/T n=47</t>
  </si>
  <si>
    <t>not significant</t>
  </si>
  <si>
    <t>957C&gt;T</t>
  </si>
  <si>
    <t>heathly n=29; neuropathic orofacial pain n=16</t>
  </si>
  <si>
    <t>DRD2</t>
  </si>
  <si>
    <t>COMT</t>
  </si>
  <si>
    <t>Val158Met</t>
  </si>
  <si>
    <t>TT, TC, CC</t>
  </si>
  <si>
    <t>MM, MV, VV</t>
  </si>
  <si>
    <t>TT healthy n=9; case n=8</t>
  </si>
  <si>
    <t>TC healthy n=14; case n=3</t>
  </si>
  <si>
    <t>CC healthy n=6; case n=5</t>
  </si>
  <si>
    <t>MM helathy n=7; case n=6</t>
  </si>
  <si>
    <t>MV healthy n=13; case n=3</t>
  </si>
  <si>
    <t>VV healthy n=9; case n=5</t>
  </si>
  <si>
    <t>fMRI during episodic memory task and psychological testing</t>
  </si>
  <si>
    <t>rs1006737</t>
  </si>
  <si>
    <t>CACNA1C</t>
  </si>
  <si>
    <t>1st degree relative GG, AG, AA</t>
  </si>
  <si>
    <t>conrol group GG vs AG+AA</t>
  </si>
  <si>
    <t>regional brain volumes; 150 brain structures and 6 commissural regions MRI</t>
  </si>
  <si>
    <t>TMEM106B</t>
  </si>
  <si>
    <t>rs1990622</t>
  </si>
  <si>
    <t>AA, AG, GG</t>
  </si>
  <si>
    <t>alcohol use and after 3.2-8.2 years the presene of current depression or history of depression</t>
  </si>
  <si>
    <t>ADH1B</t>
  </si>
  <si>
    <t>rs1229984</t>
  </si>
  <si>
    <t>AA, GA, GG</t>
  </si>
  <si>
    <t>AA N=17</t>
  </si>
  <si>
    <t>GA n=262</t>
  </si>
  <si>
    <t>GG n=3594</t>
  </si>
  <si>
    <t>Connoer's adult ADHD rating Scale - Principle component analysis two factors: response selection variability vs. selective attention variability</t>
  </si>
  <si>
    <t>single-step linear regressio, multiple comparisons controlled using permutation analysis</t>
  </si>
  <si>
    <t>n=1445</t>
  </si>
  <si>
    <t>n=76</t>
  </si>
  <si>
    <t>children heterozygous; mothers homozygous - MRI brain morphology as function of maternal genotype; neuropsychological assessement (attention &amp; EF, sensorimotor, memory &amp; learning, language, visual-spatial processing)</t>
  </si>
  <si>
    <t>mother ss, mother ll</t>
  </si>
  <si>
    <t>smokers, 2 independent samples</t>
  </si>
  <si>
    <t>MAOA</t>
  </si>
  <si>
    <t>independent t tests, X2, Mann-Whitney U test, Spearman's rho,</t>
  </si>
  <si>
    <t>MAOA-L (3 repeat allele); MAOA-H (4 repeat allele)</t>
  </si>
  <si>
    <t>ROI mask bilateral dACC and amygdala; postprovocative vs. baseline as function of MAOA; separate random effects between-group general linear model analyses for 3 bilateral ROIs; separate analyses for relevant ROI in each hemisphere; Pearson's correlations BOLD response anger control and anger; indirect effects analysis dACC/amygdala mediate MAOA and anger control bootstrap indirect effect estimates; strength og connectivity coefficient (r) and genotype ANOVA</t>
  </si>
  <si>
    <t>fMRI cue-reactivity task; alcohol containing and neutral images</t>
  </si>
  <si>
    <t>GATA4</t>
  </si>
  <si>
    <t>rs13273672</t>
  </si>
  <si>
    <t>AA vs AG, GG</t>
  </si>
  <si>
    <t xml:space="preserve">change of volume of lateral ventricles at 1 year and 2 year follow up </t>
  </si>
  <si>
    <t>rs1532278</t>
  </si>
  <si>
    <t>MAF(T)= 0.385</t>
  </si>
  <si>
    <t>MAF(T)= 0.281</t>
  </si>
  <si>
    <t>N0= 283; N12=234; N24=184</t>
  </si>
  <si>
    <t>N0=342; N12=289;N24=223</t>
  </si>
  <si>
    <t>N0=111; N12=99; N24=72</t>
  </si>
  <si>
    <t>N0= 284; N12=235; N24=186</t>
  </si>
  <si>
    <t>N0=340; N12=287; N24=217</t>
  </si>
  <si>
    <t>N0=112; N12=100; N24=76</t>
  </si>
  <si>
    <t>CC vs CT, TT</t>
  </si>
  <si>
    <t>differences in brain tissue volumes in neonates; automated ROI volumetry and tensor based morphometry</t>
  </si>
  <si>
    <t>DISC1</t>
  </si>
  <si>
    <t>rs821616</t>
  </si>
  <si>
    <t>rs6675281</t>
  </si>
  <si>
    <t>NRG1</t>
  </si>
  <si>
    <t>rs35753505</t>
  </si>
  <si>
    <t>rs6994992</t>
  </si>
  <si>
    <t>ESR1</t>
  </si>
  <si>
    <t>rs9340799</t>
  </si>
  <si>
    <t>rs2234693</t>
  </si>
  <si>
    <t>BDNF</t>
  </si>
  <si>
    <t>rs6265</t>
  </si>
  <si>
    <t>GAD1</t>
  </si>
  <si>
    <t>rs2270335</t>
  </si>
  <si>
    <t>n=232</t>
  </si>
  <si>
    <t>WWC1</t>
  </si>
  <si>
    <t>rs17070145</t>
  </si>
  <si>
    <t>CC vs. CT/TT</t>
  </si>
  <si>
    <t>Wechsler Memory scale (WMS) Logical Memory (LM-1 and LM-2); Trails A/B; WaIS-R IQ; Letter-Number Sequencing (LNS); and Category and Letter (FAS) Fluency; fMRI during EPISODIC MEMORY encoding and retrieval of aversive and neutral complex scenes from International Affective Picture System</t>
  </si>
  <si>
    <t>CC n=120</t>
  </si>
  <si>
    <t>CT/TT n=113</t>
  </si>
  <si>
    <t xml:space="preserve">activity fMRI: </t>
  </si>
  <si>
    <t>DTNBP1</t>
  </si>
  <si>
    <t>Val/Met</t>
  </si>
  <si>
    <t>rs2619538-rs3213207-rs1047631</t>
  </si>
  <si>
    <t>ANOVA</t>
  </si>
  <si>
    <t>fMRi during Sternberg Item Response Paradigm with memory loads of 1,3,5 numbers</t>
  </si>
  <si>
    <t>rs1625579</t>
  </si>
  <si>
    <t>SZ GG/GT vs. TT</t>
  </si>
  <si>
    <t>control GG/GT vs. TT</t>
  </si>
  <si>
    <t>GG n=0; GT n=9</t>
  </si>
  <si>
    <t>TT n=39</t>
  </si>
  <si>
    <t>GG n=2; GT n=15</t>
  </si>
  <si>
    <t>TT n=46</t>
  </si>
  <si>
    <t>exploratory whole brain comparison 2 sig. clusters with TT genotype higher activation compared to GG/TG</t>
  </si>
  <si>
    <t>MRI HPC; neuropsychological assesment (episodic memory; working memory; global intellectual function; language; visuospatial function; executive function); Episodic memory was assessed using the Hopkins Verbal Learning
Test–Revised,the Brief Visuospatial Memory Test–Revised, and the Logical Memory subtest of the Wechsler Memory Scale, third edition</t>
  </si>
  <si>
    <t>APOE e4 vs. rest</t>
  </si>
  <si>
    <t>NRG3</t>
  </si>
  <si>
    <t>rs10748842</t>
  </si>
  <si>
    <t>sample 2 SZ TT vs TC/CC</t>
  </si>
  <si>
    <t>sample 2 unaffected siblings TT vs TC/CC</t>
  </si>
  <si>
    <t>TT n=326</t>
  </si>
  <si>
    <t>C n=84</t>
  </si>
  <si>
    <t>TT n=64</t>
  </si>
  <si>
    <t>C n=14</t>
  </si>
  <si>
    <t>TT n=102</t>
  </si>
  <si>
    <t>C n=21</t>
  </si>
  <si>
    <t>OPRM1</t>
  </si>
  <si>
    <t>rs2281617</t>
  </si>
  <si>
    <t>CC vs.TC/TT</t>
  </si>
  <si>
    <t>rs1390938</t>
  </si>
  <si>
    <t>n=810</t>
  </si>
  <si>
    <t>Probabilistic reversal learning task</t>
  </si>
  <si>
    <t>DAT1</t>
  </si>
  <si>
    <t>SERT</t>
  </si>
  <si>
    <t>.</t>
  </si>
  <si>
    <t>n=489 opiate abusers and controls</t>
  </si>
  <si>
    <t>11 SNPs</t>
  </si>
  <si>
    <t>n=120</t>
  </si>
  <si>
    <t>5HTTLPR</t>
  </si>
  <si>
    <t>baseline personality and anxiety traits; real time autonomic nervous system parameters and serum cortisol at baseline and after visceral and somatic pain; fMRI pain reaction (n=29)</t>
  </si>
  <si>
    <t>Search rating C</t>
  </si>
  <si>
    <t>Search rating D</t>
  </si>
  <si>
    <t xml:space="preserve">Search rating agreement </t>
  </si>
  <si>
    <t>comment search C</t>
  </si>
  <si>
    <t>comment search D</t>
  </si>
  <si>
    <t>comment after full study C</t>
  </si>
  <si>
    <t>sample size</t>
  </si>
  <si>
    <t>study sample description</t>
  </si>
  <si>
    <t>SRD all p=NS; boys p=NS; girls p=NS</t>
  </si>
  <si>
    <t>SRD all p=0.0065; boys p=0.00031; girls p=NS</t>
  </si>
  <si>
    <t>SRD (self reported delinquery) all p=0.015; boys p=0.019;  girls p=NS</t>
  </si>
  <si>
    <t>comment statistical analysis</t>
  </si>
  <si>
    <t>Open questions</t>
  </si>
  <si>
    <t>LHA GG all M=6.75, SD=5.66; boys M=7.51, SD=6.09; girls M=6.20, SD=5.27</t>
  </si>
  <si>
    <t>Antisocial/consequences GG all M=0.47, SD=1.29; boys M=0.56, SD=1.39; girls M=0.41, SD=1.21</t>
  </si>
  <si>
    <t>Antisocial/consequences GA all M=0.42, SD=1.09; boys M=0.40, SD=1.04; girls M=0.43, SD=1.13</t>
  </si>
  <si>
    <t>Antisocial/consequences GG all M=0.54, SD=1.46; boys M=0.67, SD=1.64; girls M=0.45, SD=1.33</t>
  </si>
  <si>
    <t>replication sample</t>
  </si>
  <si>
    <t>CC/CG n=62</t>
  </si>
  <si>
    <t>GG n=443</t>
  </si>
  <si>
    <t>AA n=71</t>
  </si>
  <si>
    <t>GA n=233</t>
  </si>
  <si>
    <t>GG n=203</t>
  </si>
  <si>
    <t>AA n=31</t>
  </si>
  <si>
    <t>GA n=200</t>
  </si>
  <si>
    <t>SRD p=NS</t>
  </si>
  <si>
    <t>SRD p=0.055</t>
  </si>
  <si>
    <t>SRD p=0.019</t>
  </si>
  <si>
    <t>SRD AA M=4.01, SD=7.17</t>
  </si>
  <si>
    <t>SRD GA M=4.06, SD=6.70</t>
  </si>
  <si>
    <t>SRD GA M=3.49, SD=6.00</t>
  </si>
  <si>
    <t>SRD GG M=3.97, SD=6.71</t>
  </si>
  <si>
    <t>antisocial behaviour as continuous traits measured through self assessment questionnaired (Life History of aggression LHA for CATSS; self-reported delinquency SRD in both samples); measures: 1 Self reported delinquency (SRD, overt aggression, covert aggression); 2 Life history of aggression (LHA, aggression, antisocial/consequence)</t>
  </si>
  <si>
    <t>linear mixed effect model</t>
  </si>
  <si>
    <t>n=196</t>
  </si>
  <si>
    <t>Undergraduate students University of Victoria (psychology course)</t>
  </si>
  <si>
    <t>substance misuse (questionnaire); EEG(Theta power, reward positivity ERP amplitude) + Virtual T-Maze reward-based choice task (experimental task)</t>
  </si>
  <si>
    <t>SEM</t>
  </si>
  <si>
    <t>n=171</t>
  </si>
  <si>
    <t>healthy subjects (98 females, mean age= 22.6, SD = 4.7) recruited from the Brown University and Providence, Rhose Island community</t>
  </si>
  <si>
    <t xml:space="preserve">model-based and model free learning in two-step sequential learning task (experimental task) </t>
  </si>
  <si>
    <t>VV vs.  VM vs. MM</t>
  </si>
  <si>
    <t>VV n=56; caucasian subset: n=31</t>
  </si>
  <si>
    <t>VM n=80; caucasian subset: n=49</t>
  </si>
  <si>
    <t>MM n=33; caucasian subset: n=24</t>
  </si>
  <si>
    <t>CC vs. CT vs. TT</t>
  </si>
  <si>
    <t xml:space="preserve">CC n=27; caucasian subset: n=7 </t>
  </si>
  <si>
    <t>CT n=71; caucasian subset: n=40</t>
  </si>
  <si>
    <t>TT n= 68; caucasian subset: n=55</t>
  </si>
  <si>
    <t>multilevel logistic regressions</t>
  </si>
  <si>
    <t>multilevel logistic regression assessing tendency to stay with or switch from the previous first-stage choice as a function of events in the previous trial, capturing the core dustinguishing features of model-based and model-free strategies - effects of previosu reward (model free choice) whether rewar effects are moderated by previous transition type (model-based choice) and moderation by genotype; 5 different regression models</t>
  </si>
  <si>
    <t>Logistic 1(regression model of stay/switch behaviour in sequential task): MB effect, effect size=0.08, z=2.4, p=0.01; MF effect, effect size=0.001, z-0.05, p=0.96</t>
  </si>
  <si>
    <t>Logistic 1(regression model of stay/switch behaviour in sequential task) MB effect, effect size=-.0.06, t(135)=-1.7, p=0.1; MF effect, effect size=0.01, z=0.4, p=0.7</t>
  </si>
  <si>
    <t>RL2(regression model of RL parameter beta(MF)): effect size=0.04, t(153)=1.7, p=0.1</t>
  </si>
  <si>
    <t>RL2(regression model of RL parameter beta(MF)): effect size=0.01, t(153)=0.5, p=0.6</t>
  </si>
  <si>
    <t>Logistic 2(model of transfer phase accuracy -putative model free in transfer phase): effect size=-0.05, z=-.04, p=0.7</t>
  </si>
  <si>
    <t>Cross task(regression of stay/switch estimates reflecting model based RL relative to estimates reflecting transfer phase accuracy): effect size=0.25, t(152)=1.9, p=0.06</t>
  </si>
  <si>
    <t>nd=122; nr=72</t>
  </si>
  <si>
    <t>discovery sample (39 female) training schools of rescue  workers M=22.23, SD=4.07 age; replication sample (24 female) M=21.43, SD=2.37 age</t>
  </si>
  <si>
    <t>GG vs.GC vs. CC (discovery sample)</t>
  </si>
  <si>
    <t>GG vs. GC vs. CC (replication sample)</t>
  </si>
  <si>
    <t>exclude: tests for 30 genes (100+ variants)</t>
  </si>
  <si>
    <t>nd=-99; nr=69</t>
  </si>
  <si>
    <t>sample 1  (all male); sample 2  (21 male); 18-30 years</t>
  </si>
  <si>
    <t>fMRI + aversive anticipation (experimental task; skin conductance and startle data)</t>
  </si>
  <si>
    <t>Sample1 SS,SL,LL</t>
  </si>
  <si>
    <t>Sample2 SS,SL,LL</t>
  </si>
  <si>
    <t>ANOVA, post hoc, hierarchical linear regression</t>
  </si>
  <si>
    <t>whole brain analysis sample1: greater activity to threat cues in S-allele carries than LL homozygotes in the threat responsive regions in the dmPFC and anterior insula (5-HTTLPR x threat ps&lt;.05, family wise error corrected at the cluster level - see Table S2 in SUpplement 1)</t>
  </si>
  <si>
    <t>exclude: phenotype tested is chronic facial pain</t>
  </si>
  <si>
    <t>all 9 SNPs within COMT gene locus (rs2020917, rs737865, rs1544325, rs6269,
rs4633, rs165774, rs174697, rs9332381, and rs165599)</t>
  </si>
  <si>
    <t>nd controls=198; nd patients=200; nr controls=859; nd patients=106</t>
  </si>
  <si>
    <t>caucasian females 18-55</t>
  </si>
  <si>
    <t>nonlinear mixed models</t>
  </si>
  <si>
    <t>neuropsychological tests/cognitive assesment</t>
  </si>
  <si>
    <t>n=527</t>
  </si>
  <si>
    <t>age 60+</t>
  </si>
  <si>
    <t>n=32</t>
  </si>
  <si>
    <t xml:space="preserve">right handed; 15 male M=25.3 years, SD=5.6, range 18-40; greater New Haven area; were enrolled based on BMI and genotype matching  age, sex, genotype </t>
  </si>
  <si>
    <t>Linear mixed model analyses examining relationship between diet scores and cognitive change; t-test for continous variables and X2 for categorical variables; stratification of data by genotype</t>
  </si>
  <si>
    <t>Linear mixed model</t>
  </si>
  <si>
    <t>fMRI; experimental task</t>
  </si>
  <si>
    <t>To examine sex- or genotype-specific
relationships between brain response to food cues and weight change, full
factorial ANOVAs for the contrasts ofM
T and F
Ol were performed
in which sex or TaqIA allele status (A1 or A1 ) was entered as a group
variable that interacted with the regression against  BMI; bootstrapped correlation coefficients
of contrast estimates with  BMI for A1  and A1  individuals; predicted  BMI using stepwise regression analysis (step 1: TaqIA; step 2:
brain activation; step 3: interaction terms, TaqIA brain activation; step
4: ghrelin changes).</t>
  </si>
  <si>
    <t>ANOVA; bootstapped correlation coefficients; stepwise regression</t>
  </si>
  <si>
    <t>nd=503; nr=721</t>
  </si>
  <si>
    <t>Voxel based morphometry, local gray matter volume; subsample white matter fiber structure (DTI) (N=220); subsample fMRI limbic areas facial emotion processing (N=264); gene x environment (childhood maltreatment) and gene x gene interactions with (FKBP5, Reelin, IL-6, TNF-α, BDNF and 5-HTTLPR/rs25531)</t>
  </si>
  <si>
    <t>MRI (VBM, DTI); fMRI + experimental task (facial emotions)</t>
  </si>
  <si>
    <t>t-tests; ANCOVA</t>
  </si>
  <si>
    <t>genotype group as between subjects factor; ANCOVA for gene x gene interaction and gene x environment interactions</t>
  </si>
  <si>
    <t>Gx E not significant right hippocampus, F(1,650)=1.01, p=.32; left hippocampus: F(1,650)=2.68, p=.1</t>
  </si>
  <si>
    <t>n1=187; n2=221</t>
  </si>
  <si>
    <t>experimental tasks</t>
  </si>
  <si>
    <t>n=414 cases; n=846 controls</t>
  </si>
  <si>
    <t>case control analysis Panic disorder but only second part relevant</t>
  </si>
  <si>
    <t>MRI; fMRI + experimental task (facial emotions)</t>
  </si>
  <si>
    <t>trend toward a main effect of genotype F(1,97)=2.90, p= .09, ηp 2=.03], driven by heightened bilateral amygdala response in C allele carriers (.65+-.04) relative to T/T homozygotes (.54+-5). After partialing out left and right amygdala volume (corrected for intracranial volume), there was no significant association between rs685012
genotype and amygdala reactivity F(1,94)=2.13, p=.14,
ηp2=.02</t>
  </si>
  <si>
    <t>thermal pain sensitivity before and after rTMS and analgesic efficacy or rTMS (S1/M1 cortex); or suspectibility to neuropathic pain in patients with neurophysiologically confirmed diagnosis</t>
  </si>
  <si>
    <t>experimental task(pain sensitivity); rTMS efficacy</t>
  </si>
  <si>
    <t>main and interaction effects of polymorphisms on traditional thermal sensory and pain thresholds and on discriminative capacity and subjective response criterion at baseline by ANOVA; effect of rTMS on psychophysical data ba rmANOVA with time as within factor, sex and genotype as between subjects factor, age as fixed covariate and vigilance as varying covariate; Turkey Kramer methos used to adjust p values; post hoc with students t test and Bonferroni correction</t>
  </si>
  <si>
    <t>ANOVAs</t>
  </si>
  <si>
    <t>n=187 healthy 1st degree relatives; n=110 controls</t>
  </si>
  <si>
    <t>fMRI + experimental task</t>
  </si>
  <si>
    <t>multivariate analyses of variance with site, age and gender as covariates by planned contrast; individual contrat images were analysed using the general linear model oin a second-level random effects analysis with site, age, gender as covariates (full factorial model including 5 groups: 1 healthy controls with GG, 2 healthy controls with GA=AA, 3 realtives of patients with BPD, 4 relatives of patients with MDD, 5 relatives of patients with SZ); second analysis general linear model in second level two way analysis of variance group and genotype as factors and site, age and gender as covariates</t>
  </si>
  <si>
    <t>n=4413</t>
  </si>
  <si>
    <t>MRI</t>
  </si>
  <si>
    <t>Linear regression</t>
  </si>
  <si>
    <t>ANOVAs; general linear model; random effects analysis</t>
  </si>
  <si>
    <t xml:space="preserve"> 65-83 years</t>
  </si>
  <si>
    <t>n=3873</t>
  </si>
  <si>
    <t>alcohol consumption + depression status at follow up</t>
  </si>
  <si>
    <t xml:space="preserve">Pearson's X2 compare distribution of exposures to genotype and depressive status; t-tests contrasting age according to genotype and depressive status; Mann-Whitney ranked compare alcohol consumption according to genotype; </t>
  </si>
  <si>
    <t>Person's X2; t-tests; Mann-Whitney ranked test; Logistic Regression</t>
  </si>
  <si>
    <t>The rs1229984 A allele was present in 45 (7.4%) and 234 (7.2%) of men with and without current or past history of depression (X22(1)=0.03, P=0.857).presence of current or past
depression was not associated with the presence of the rs1229984
A allele (P=0.946), nor was there an interaction between
presence of the A allele and alcohol consumption (P=0.725).</t>
  </si>
  <si>
    <t>(201 males; mean age=21.2, s.d = 5.1 years)</t>
  </si>
  <si>
    <t xml:space="preserve">n=381 </t>
  </si>
  <si>
    <t>Exclude: tests 151 SNPs on 22 genes</t>
  </si>
  <si>
    <t>Exclude: tested 23 SNPs</t>
  </si>
  <si>
    <t>MRI + neuropsychological tests/cognitive assessment</t>
  </si>
  <si>
    <t>Table 1 Descriptives of participants</t>
  </si>
  <si>
    <t xml:space="preserve">Table 2 Overview subtests neuropsychological assessment </t>
  </si>
  <si>
    <t>Exclude: tested 93 SNPs</t>
  </si>
  <si>
    <t xml:space="preserve"> (male undergraduates)</t>
  </si>
  <si>
    <t>n=38</t>
  </si>
  <si>
    <t>state version
of the Positive and Negative Affect Schedule-X (PANAS-X;
Watson &amp; Clark, 1994) as measure of baseline mood, hostility subscale; provocation procedure (Denson et al., 2009); baseline period fMRI and postprovocation period; self reported anger control (5 items) and 2nd PANAS-X and hostility subscale; dorsal ACC and amygdala reactivity</t>
  </si>
  <si>
    <t>fMRI + experimental procedure; questionnaire</t>
  </si>
  <si>
    <t>general linear model; Pearson's correlations; indirect effects analysis; ANOVA</t>
  </si>
  <si>
    <t>n=81</t>
  </si>
  <si>
    <t>general linear model ; t-tests; Cox regression; X2</t>
  </si>
  <si>
    <t>N=736</t>
  </si>
  <si>
    <t>APOE e4(0); APOE e4(1); APOE e4(2) rs11136000</t>
  </si>
  <si>
    <t>APOE e4(0); APOE e4(1); APOE e4(2) rs1 532278</t>
  </si>
  <si>
    <t>Carrying 2 C alleles was still associated with greater overall ventricular expansion after introducing ApoE genotype as an additional covariate in addition to sex, age, and dementia status, both at 1-year (p  =0.003, F-ratio=9.170 for rs11136000; p=0.002, F-ratio=9.449 for rs1532278) and 2-year follow-ups (p=0.018, F-ratio=5.587 for rs11136000; p=0.027, F-ratio=4.937 for rs1532278).no significant interaction between
genotypes at these CLU loci and ApoE- 4 loading (p=0.772 and p=0.610 for rs11136000; p=0.731 and p=0.660 for rs1532278, at 1- and 2-year follow-ups, respectively).</t>
  </si>
  <si>
    <t>Analysis comparing carriers of at least one protective allele at both loci (zero or one ApoE- 4 allele and zero or one C allele at rs11136000/rs1532278), carriers of at least one protective allele at either locus (zero or one ApoE- 4 allele or zero or one C allele at rs11136000/rs1532278), and participants with two
risk alleles at both loci (two ApoE- 4 alleles and two C alleles at rs11136000/rs1532278)Carrying more risk alleles was associated with greater overall ventricular expansion at the 12 month follow-up (p=0.001, F-ratio=7.421 for rs11136000; p=0.001, F-ratio=7.515 for rs1532278) and the 24 month follow-up (p=0.004, F-ratio= 5.629 for rs11136000; p=0.006, F-ratio=5.236 for rs1532278)</t>
  </si>
  <si>
    <t>post hoc analyses to determine whether
genotype at the rs11136000 and rs1532278 loci related to the trajectory of ventricular volume expansion within each hemisphere. Carrying two C alleles at these loci was associated with greater expansion in the left and right ventricles at 1- and 2-year follow-ups, after controlling for sex, age, and dementia status. These results remained significant after introducing ApoE genotype as an additional covariate. Finally, in our analyses of the combined effects of CLU and ApoE genotypes, we found that carrying more risk alleles was associated with greater ventricular expansion within each hemisphere at the 1- and 2-year follow-ups, after controlling for sex, age, and dementia status</t>
  </si>
  <si>
    <t>General linear models; multiple regression</t>
  </si>
  <si>
    <t>APOE genotype introduced in psot hoc analyses</t>
  </si>
  <si>
    <t>?</t>
  </si>
  <si>
    <t>n=272</t>
  </si>
  <si>
    <t>Mixed models; multiscale adaptive generalizes estimation equation model;linear model</t>
  </si>
  <si>
    <t>AA vs. Other</t>
  </si>
  <si>
    <t>CC vs. Other</t>
  </si>
  <si>
    <t>GG vs. Other</t>
  </si>
  <si>
    <t>TT vs. Other</t>
  </si>
  <si>
    <t>Additive</t>
  </si>
  <si>
    <t>e3e3 vs. e3e4</t>
  </si>
  <si>
    <t>TT n=141</t>
  </si>
  <si>
    <t>CC n=191</t>
  </si>
  <si>
    <t>GG n=69</t>
  </si>
  <si>
    <t>CC n=93</t>
  </si>
  <si>
    <t>TT n=112</t>
  </si>
  <si>
    <t>AA n=110</t>
  </si>
  <si>
    <t>TT n=76</t>
  </si>
  <si>
    <t>GG n=182</t>
  </si>
  <si>
    <t>GG n=133</t>
  </si>
  <si>
    <t>e3e3 n=156</t>
  </si>
  <si>
    <t>TC n=75</t>
  </si>
  <si>
    <t>GA n=137</t>
  </si>
  <si>
    <t>CT n=126</t>
  </si>
  <si>
    <t>TC n=115</t>
  </si>
  <si>
    <t>GA n=129</t>
  </si>
  <si>
    <t>TC n=143</t>
  </si>
  <si>
    <t>GA n=77</t>
  </si>
  <si>
    <t>GA n=116</t>
  </si>
  <si>
    <t>e3e4 n=66</t>
  </si>
  <si>
    <t>AT n=102</t>
  </si>
  <si>
    <t>Aa n=28</t>
  </si>
  <si>
    <t>TT n=5</t>
  </si>
  <si>
    <t>AA n=61</t>
  </si>
  <si>
    <t>TT n=52</t>
  </si>
  <si>
    <t>CC n=44</t>
  </si>
  <si>
    <t>GG n=32</t>
  </si>
  <si>
    <t>CC n=52</t>
  </si>
  <si>
    <t>AA n=12</t>
  </si>
  <si>
    <t>AA n=22</t>
  </si>
  <si>
    <t>Other n=47</t>
  </si>
  <si>
    <t>Results in Table 5 (5 pages long)</t>
  </si>
  <si>
    <t>rs9340799 predicted ICV; AA 3.7% larger ICV than G carriers (P=0.0028), remained sig. when only including 1 from each MZ twins (P=0.0011) and when including birthweight as covariate (P=0.0037)</t>
  </si>
  <si>
    <t>rs821616 areas of reduced volume in SS in frontal lobe, SMA, paracentral locules and right medial superior frontal gyrus, occipital lobes and lateral temporal cortex</t>
  </si>
  <si>
    <t>COMT areas of reduced volume in VV in temporal coretx, including portion sof right HPC, right parahippocampus, right fusiform and bilateral middle and superior temporal gyri; right occipital lobe, mostly calcerine and lingual areas; right parietal lobe overlapping with posterior cingulate; increased volume in VV in SMA and parietal and occipital areas</t>
  </si>
  <si>
    <t>rs35753505 5 clusters reduced volume TT: temporal, parietal and occipital regions;</t>
  </si>
  <si>
    <t>rs6994992  7 clusters TT greater volume primarily frontal and temporal lobes; 20 clusters reduced volume widely distributed 2 large clusters in left temporal cortex</t>
  </si>
  <si>
    <t>APOE e3e4 reduced volume temporal regions, including bilateral HPC, parahippocampus, fusiform and middle and inferior temporal gyri compared to e3e3 and reduced  in frontal and parietal lobes. E3e4 greater volume parietal lobe and frontal and occipital cortex</t>
  </si>
  <si>
    <t>rs9340799 decreased volume AA frontal lobes (bilateral) particular frontal superior and middle gyri; right parietal coretx, primarily supramarginal gyrus; smaller clusters across brain increased volume</t>
  </si>
  <si>
    <t>BDNF increased volume VV, right occipital cortex and left hippocampus, parahippocampus, fusiform gyrus and inferior temporal gyrus; decreased volume inprimary motor and somatsensory cortex</t>
  </si>
  <si>
    <t>fMRI + experimental task (episodic memory)</t>
  </si>
  <si>
    <t xml:space="preserve">task fMRI: no effect of genotype on accuracy or response time during encoding (p=0.6) or retrieval (p=0.9); correltaion between age and retrieval response time sig. p=0.03; </t>
  </si>
  <si>
    <t>calculated effect size</t>
  </si>
  <si>
    <t>reported effect size</t>
  </si>
  <si>
    <t>d=0.2</t>
  </si>
  <si>
    <t>d=0.37</t>
  </si>
  <si>
    <t>d=0.39</t>
  </si>
  <si>
    <t>prior GWAS (SNP + GWAS)</t>
  </si>
  <si>
    <t>MAF / RAF reported in study</t>
  </si>
  <si>
    <t>http://www.ncbi.nlm.nih.gov/projects/SNP/snp_ref.cgi?rs=75775</t>
  </si>
  <si>
    <t>NA</t>
  </si>
  <si>
    <t>dbSNP/1000Genome etc.</t>
  </si>
  <si>
    <t>Chromosome: 3:8779046;
RefSNP Alleles: G/T;
Ancestral Allele: G;
GMAF: T=0.18(1000 Genomes); MAF: T=0.16 (1000, Genomes, Phase 3, European)</t>
  </si>
  <si>
    <t>http://snpedia.com/index.php/Rs4564970</t>
  </si>
  <si>
    <t>http://snpedia.com/index.php/Rs2268498</t>
  </si>
  <si>
    <t xml:space="preserve">Chromosome: 3:8770725;
RefSNP Alleles: C/T; Ancestral Allele: T; GMAF: C=0.39  (1000 Genomes); MAF: C=0.46 (1000 Genomes, Phase 3, European)
</t>
  </si>
  <si>
    <t xml:space="preserve">Chromosome: 3:8768722;
 RefSNP Alleles: C/G; 
Ancestral Allele: C;
GMAF: C=0.14 (1000 Genomes); MAF: C=0.09 (1000 Genomes, Phase 3, European) </t>
  </si>
  <si>
    <t>Chromosome: 3:8762685;
RefSNP Alleles: A/G; Ancestral Allele: G; GMAF: A=0.39; MAF: A=0.35 (1000 Genomes, Phase 3, European)</t>
  </si>
  <si>
    <t>http://snpedia.com/index.php/Rs53576</t>
  </si>
  <si>
    <t>Chromosome: 3:8760542; RefSNP Alleles: A/G; Ancestral Allele: G; GMAF: A=0.21; MAF: A=0.11 (1000 Genomes, Phase 3, European)</t>
  </si>
  <si>
    <t>http://snpedia.com/index.php/Rs2254298</t>
  </si>
  <si>
    <t>Chromosome: 3:8755356; RefSNP Alleles: A/G; Ancestral Allele: A; GMAF: G=0.40; MAF: G=0.46 (1000 Genomes, Phase 3, European)</t>
  </si>
  <si>
    <t>http://snpedia.com/index.php/Rs237887</t>
  </si>
  <si>
    <t>Chromosome: 3:8752859; RefSNP Alleles: G/T; Ancestral Allele: T;
GMAF: T=0.41, MAF: T=0.38 (1000 Genomes, Phase 3, European)</t>
  </si>
  <si>
    <t>http://snpedia.com/index.php/Rs1042778</t>
  </si>
  <si>
    <t>http://snpedia.com/index.php/Rs7632287</t>
  </si>
  <si>
    <t>Chromosome: 3:8749760; RefSNP Alleles: A/G; Ancestral Allele: A; GMAF: A=0.24; MAF: A=0.25 (1000 Genomes, Phase 3, European)</t>
  </si>
  <si>
    <t>cited: prior studies</t>
  </si>
  <si>
    <t>Chromosome: 11:636784; RefSNP Alleles: C/T; Ancestral Allele: T; GMAF: C=0.41; MAF=0.41 (1000 Genomes, Phase 3, European)</t>
  </si>
  <si>
    <t>http://snpedia.com/index.php/Rs1800955</t>
  </si>
  <si>
    <t>prior systematic reviews/ meta-analyses</t>
  </si>
  <si>
    <t>http://www.ncbi.nlm.nih.gov/projects/SNP/snp_ref.cgi?rs=12720364</t>
  </si>
  <si>
    <t>Chromosome: 11:636088; RefSNP Alleles: -/G; Ancestral Allele: G; no frequency data</t>
  </si>
  <si>
    <t>http://snpedia.com/index.php/Rs4680</t>
  </si>
  <si>
    <t>Chromosome 22:19951271; RefSNP Alleles: A/G; Ancestral Allele: G; Clinical Significance: With drug-response allele; GMAF: A=0.37; MAF: A=0.50 (1000 Genomes, Phase 3, European)</t>
  </si>
  <si>
    <t>LHA all p=0.022; boys p=0.00069; girls=NS</t>
  </si>
  <si>
    <t>ACC function: Fan et al., 2003; Oak et al., 2000; electrophysiological markers of feedback processinf: Agam et al., 2014; Manoach &amp; Agam, 2013; Marco-Pallares et al., 2010; Marco-Pallares et al., 2009)</t>
  </si>
  <si>
    <t>cognitive flexibility and WM related to frontal cortex: Dickinson &amp; Elvevag, 2009</t>
  </si>
  <si>
    <t>effect size=0.18</t>
  </si>
  <si>
    <t>effect size=-0.23</t>
  </si>
  <si>
    <t>effect size=0.44</t>
  </si>
  <si>
    <t>effect size=0.54</t>
  </si>
  <si>
    <t>behavioural + neural measures WM (Egan et al., 2001; Tunbridge et al., 2004; de Frias et al., 2010)</t>
  </si>
  <si>
    <t>putatively model-free RL tasks learning to select rewarding stimuli relative to avoiding nonrewarding ones (Frank et al., 2007; Doll et al., 2011; Cockburn et al., 2014)</t>
  </si>
  <si>
    <t>http://snpedia.com/index.php/Rs907094</t>
  </si>
  <si>
    <t xml:space="preserve">Chromosome: 17:39634118; RefSNP Alleles: C/T; Ancestral Allele: G; GMAF: A=0.52; MAF: A=0.78 (1000 Genomes, Phase 3, European) </t>
  </si>
  <si>
    <t>http://snpedia.com/index.php/Rs2267735</t>
  </si>
  <si>
    <t>Chromosome: 7:31095890; RefSNP Alleles: C/G; Ancestral Allele: C; GMAF: G=0.45; MAF: G=0.52 (1000 Genomes, Phase 3,European)</t>
  </si>
  <si>
    <t xml:space="preserve">PTSD symptoms in females + fear discrimination: : Ressler et al., 2011; </t>
  </si>
  <si>
    <t>Chromosome: 1:207611623; RefSNP Alleles: C/T; Ancestral Allele: C; GMAF: A=0.25; MAF: A=0.18 (1000 Genomes, Phase 3, European)</t>
  </si>
  <si>
    <t>Lambert et al., 2009 AD; Hollingworth et al., 2011 AD</t>
  </si>
  <si>
    <t>http://snpedia.com/index.php/Rs3818361</t>
  </si>
  <si>
    <t>http://snpedia.com/index.php/Rs11136000</t>
  </si>
  <si>
    <t>http://snpedia.com/index.php/Rs744373</t>
  </si>
  <si>
    <t>Chromosome: 8:27607002; RefSNP Alleles: C/T; RefSNP Alleles: C/T; GMAF: T=0.38; MAF: T=0.39 (1000 Genomes, Phase 3, European)</t>
  </si>
  <si>
    <t>Chromosome: 2:127137039; RefSNP Alleles: C/T; Ancestral Allele: T; GMAF: G= 0.36; MAF: G=0.27 (1000 Genomes, Phase 3, European)</t>
  </si>
  <si>
    <t>1000 Genomes about this variant</t>
  </si>
  <si>
    <t xml:space="preserve"> 6 citations (e.g.emotion recognition, emotionality, moral judgements, social perception)</t>
  </si>
  <si>
    <t xml:space="preserve"> (e.g. aggressive behaviour, social value and prosocial behaviour)</t>
  </si>
  <si>
    <t>86 citations - (e.g. emotional support seeking, empathy, stress reactivity, parenting, affect, loneliness, hearing, grey matter volume hypothalamus, amygdala activation, reward dependency, autism, social cognition, aggression, "mind-reading", SZ, social exclusion)</t>
  </si>
  <si>
    <t>69 citations (e.g. autism, affect, loneliness, attachement style, amygdala volume, empathy, prosociality, "mind reading", social cognition, amygdala response)</t>
  </si>
  <si>
    <t>19 citations (e.g. SZ, empathy, diabetes, social recognition, autism, prosociality)</t>
  </si>
  <si>
    <t>32 citations (prosociality, empathy, aggression, autism)</t>
  </si>
  <si>
    <t>14 citations (e.g. empathy, pair-bonding, autism)</t>
  </si>
  <si>
    <t xml:space="preserve">41 citations (e.g. personality, error processing, dependency, executive functions, SZ) </t>
  </si>
  <si>
    <t xml:space="preserve">15 citations (e.g. PTSD, MD, asthma) </t>
  </si>
  <si>
    <t>478 citations</t>
  </si>
  <si>
    <t>17 citations (e.g. nicotine dependence, SZ, BP, prefrontal cortex volume in suicide victims, anger, amygdala volume, susceptibility confirmation bias, connectivity during associative emoorional learning, attentional control (auditory), feedback-realted brain potentials, explicit memory sequence learning)</t>
  </si>
  <si>
    <t>33 citations (e.g. AD)</t>
  </si>
  <si>
    <t>85 citations (e.g. AD; cognitive decline)</t>
  </si>
  <si>
    <t>http://snpedia.com/index.php/Rs541458</t>
  </si>
  <si>
    <t>42 citations (e.g. AD)</t>
  </si>
  <si>
    <t>Chromosome: 11:86077309; RefSNP Alleles: C/T; Ancestral Allele: T; GMAF: C=0.35; MAF: C=0.32 (1000 Genome, Phase 3, European)</t>
  </si>
  <si>
    <t>15 citations  (e.g. AD)</t>
  </si>
  <si>
    <t>http://snpedia.com/index.php/Rs3764650</t>
  </si>
  <si>
    <t>Chromosome: 19:1046521; RefSNP Alleles: G/T; Ancestral Allele: T; GMAF: G=0.20; MAF: G=0.11 (1000 Genome, Phase 3, European)</t>
  </si>
  <si>
    <t>23 citations (e.g. AD)</t>
  </si>
  <si>
    <t>http://snpedia.com/index.php/Rs670139#</t>
  </si>
  <si>
    <t>Chromosome: 11:60204322; RefSNP Alleles: G/T Ancestral Allele: G; GMAF: T=0.38; MAF: T=0.39 (1000 Genome, Phase 3, European)</t>
  </si>
  <si>
    <t>8 citations (e.g. AD)</t>
  </si>
  <si>
    <t>http://snpedia.com/index.php/Rs3865444</t>
  </si>
  <si>
    <t>Chromosome: 19:51224706; RefSNP Alleles: C/A; Ancestral Allele: C; GMAF: A=0.21; MAF: A=0.31 (1000 Genome, Phase 3, European)</t>
  </si>
  <si>
    <t>22 citations (e.g. AD)</t>
  </si>
  <si>
    <t>http://snpedia.com/index.php/Rs610932</t>
  </si>
  <si>
    <t xml:space="preserve">Chromosome: 11:60171834; RefSNP Alleles: T/G; Ancestral Allele: T; GMAF: T=0.45; MAF: T=0.44 (1000 Genome, Phase 3, European) </t>
  </si>
  <si>
    <t>15 citations (e.g. AD, cognitive decline)</t>
  </si>
  <si>
    <t>http://www.ncbi.nlm.nih.gov/snp</t>
  </si>
  <si>
    <t>Chromosome: 6:47484534; RefSNP Alleles: C/T; Ancestral Allele: T; GMAF: C=0.19; MAF: C=0.25 (1000 Genome, Phase 3, European)</t>
  </si>
  <si>
    <t>3 citations (e.g.AD)</t>
  </si>
  <si>
    <t>standardised beta=-0.17</t>
  </si>
  <si>
    <t>ANKK1</t>
  </si>
  <si>
    <t>rs1800497</t>
  </si>
  <si>
    <t>http://snpedia.com/index.php/Rs1800497</t>
  </si>
  <si>
    <t>193 citations (e.g. addiction, WM, obesity)</t>
  </si>
  <si>
    <t>caudate response to milkshake when fasted and weight gain (Stice et al., 2008a, 2010b); substance abuse, overeating and obesity (Comings et al., 1993; Noble et al., 1994; Blum et al., 1996; Jenkinson et al., 2000; Klein et al., 2007; Esposito-Smythers et al., 2009); reinforcing value of food and energy intake (Epstein et al., 2004; 3007); reward processinf and formation of stimulus-cue associations during learning (Cohen et al., 2005: Klein et al., 200-7: Jocham et al., 2007; Felsted et al., 2010)</t>
  </si>
  <si>
    <t>yes (A1+ 30% decrease in DRD2 density - Pohjalainen et al., 1998: Joennson et al., 1999; Ritchie &amp; Noble, 2003)</t>
  </si>
  <si>
    <t>Stice et al., 2008a effect opposite direction!</t>
  </si>
  <si>
    <t>http://snpedia.com/index.php/Rs7294919</t>
  </si>
  <si>
    <t>Chromosome: 12:116889787; RefSNP Alleles: C/T; Ancestral Allele: T; GMAF: C= 0.21; MAF: C=0.10 (1000 Genome, Phase 3, European)</t>
  </si>
  <si>
    <t>10 citations (e.g. Hippocampal volume reduction)</t>
  </si>
  <si>
    <t>Bis et al., 2012; Stein et al., 2012 -  reduced HPC volume</t>
  </si>
  <si>
    <t>Bis et al., 2012; Stein et al., 2012</t>
  </si>
  <si>
    <t>TT n=570</t>
  </si>
  <si>
    <t>n=151 (CC/CT)</t>
  </si>
  <si>
    <t>neuritic plaque pathology + neuropsychological tests/ cognitive assessment</t>
  </si>
  <si>
    <t xml:space="preserve">clinical, cognitive (n=3421)and neuropathological phenotypes (n=1001) </t>
  </si>
  <si>
    <t>3 prospective cohorts on ageing n=3421; mixed heritage (European American, African American)</t>
  </si>
  <si>
    <t>SNP and rate of cognitive decline adjusted for age, education, and sex; in regression analyses cohort, age at death, sex used as covariates; tested for mediation of relationship between variants and cognitive decline by pathological phenotypes</t>
  </si>
  <si>
    <t>general linear mixed models; linear regression, logistic regression or ordinal regression; model-based causal mediation analysis (linear regression models)</t>
  </si>
  <si>
    <t>exclude: tests for 36 SNPs</t>
  </si>
  <si>
    <t>A 48-base pair VNTR in exon 3 (not assayed on most DNA chips) &lt;7 repeats vs. 7+ repeats</t>
  </si>
  <si>
    <t>(e.g. ADHD, SZ)</t>
  </si>
  <si>
    <t>http://www.ncbi.nlm.nih.gov/gene/1815</t>
  </si>
  <si>
    <t>ADHD (Gizer&amp; Waldman, 2012; Bidwell et al., 2011; Gizer et al., 2009; Munafo et al., 2008; Laucht et al., 2007; Laucht et al., 2005; Langley et al., 2004; Hutchison et al., 2003; Kustanovich et al., 2003; Manor et al., 2001; Swanson et al., 2000); heightened executive attetnion for emotional stimuli (Wells er al., 2012) smoking related cues (Munafo et al., 2008; Laucht et al., 2005, 2007: Hutchison et al., 2003)</t>
  </si>
  <si>
    <t>n2=.01</t>
  </si>
  <si>
    <t>n2=.04</t>
  </si>
  <si>
    <t>n2=.02</t>
  </si>
  <si>
    <t>Gene:ASIC1; ACCN2 locus</t>
  </si>
  <si>
    <t>http://www.ncbi.nlm.nih.gov/projects/SNP/snp_ref.cgi?rs=10875995</t>
  </si>
  <si>
    <t>Smoller et al., 2001; Hattema et al., 2008</t>
  </si>
  <si>
    <t>association with PD: rs685012 OR©=1.32; rs10875995 OR©=1.26</t>
  </si>
  <si>
    <t>np2=.08</t>
  </si>
  <si>
    <t>np2=.01</t>
  </si>
  <si>
    <t>rs6277</t>
  </si>
  <si>
    <t>http://snpedia.com/index.php/Rs685012</t>
  </si>
  <si>
    <t>http://snpedia.com/index.php/Rs6277</t>
  </si>
  <si>
    <t>http://snpedia.com/index.php/Rs1006737</t>
  </si>
  <si>
    <t>n=187 healthy first degree relatives (patients BP n=59, MD n=73, SZ n=56) and n=110 comparison subjects (European)</t>
  </si>
  <si>
    <t>Chromosome: 12:2236129; RefSNP Alleles: A/G; Ancestral Allele: G; GMAF: A=0.30; MAF: A=0.32 (1000 Genome, Phase 3, European)</t>
  </si>
  <si>
    <t>74 citations (e.g. BP, MD)</t>
  </si>
  <si>
    <t>panic disorder; only second part relevant: amygdala volume (n=1048); task-evoked reactivity to emotional stimuli (n=103) in healthy (European Ancestry)</t>
  </si>
  <si>
    <t>Chromosome: 12:50068355; RefSNP Alleles: C/T; Ancestral Allele: T; GMAF: C=0.21; MAF: C=0.33 (1000 Genome, Phase 3, European)</t>
  </si>
  <si>
    <t>no citations, no Snpedia site</t>
  </si>
  <si>
    <t>Chromosome: 12:50052620; RefSNP Alleles: C/T; Ancestral Allele: C; MAF: C=0.33; MAF: C=0.34 (1000 Genome, Phase 3, European)</t>
  </si>
  <si>
    <t>no citations, (e.g. PD)</t>
  </si>
  <si>
    <t>European</t>
  </si>
  <si>
    <t>Chromosome: 11:113412737; RefSNP Alleles: C/T; Ancestral Allele: C; Clinical Significance: With Benign allele; GMAF: A=0.24; MAF: A=0.54 (1000 Genome, Phase 3, European)</t>
  </si>
  <si>
    <t>83 citations (e.g. SZ, PTST, learning, addiction)</t>
  </si>
  <si>
    <t xml:space="preserve"> healthy nondemented stroke-free, M=64.7 (SD=10.8) aged over 45 (European)</t>
  </si>
  <si>
    <t>http://snpedia.com/index.php/Rs1990622</t>
  </si>
  <si>
    <t>Chromosome: 7:12244161; RefSNP Alleles: A/G; Ancestral Allele: A; GMAF: A=0.39; MAF: A=0.59 (1000 Genome, Phase 3, European)</t>
  </si>
  <si>
    <t>24 citations (e.g. frontotemporal dementia, AD)</t>
  </si>
  <si>
    <t>http://snpedia.com/index.php/Rs1229984</t>
  </si>
  <si>
    <t xml:space="preserve">Chromosome: 4:99318162; RefSNP Alleles: A/G; Ancestral Allele: G; Clinical Significance: other; GMAF: T=0.16; </t>
  </si>
  <si>
    <t>110 citations (e.g. alcohol )</t>
  </si>
  <si>
    <t>healthy sample</t>
  </si>
  <si>
    <t>PET, MRI, neuropschological tests/cognitive assessment</t>
  </si>
  <si>
    <t>n=600</t>
  </si>
  <si>
    <t xml:space="preserve">[F]-flurodeoxyglucose (FDG)-PET + Pittsburgh compound B (PiB)-PET, MRI </t>
  </si>
  <si>
    <t>linear regression analysis differences in regional FDG by APOE e4 carrier status (after accounting for age, sex and PiB)</t>
  </si>
  <si>
    <t>linear regression, X2</t>
  </si>
  <si>
    <t>FDG was not lower among APOE e4 carriers compared  with noncarriers after accounting for PiB; exception: posterior cingulum, carriers average lower FDG by approximately 0.03 SUVR units ; but not sig. after false positive discovery rate adjustment</t>
  </si>
  <si>
    <t>http://snpedia.com/index.php/Rs13273672</t>
  </si>
  <si>
    <t>; abstinent, alcohol-dependent (57 men); European</t>
  </si>
  <si>
    <t>Chromosome: 8:11754872; RefSNP Alleles: C/T; Ancestral Allele: C; GMAF: C=0.41; MAF: C=0.30 (1000 Genome, Phase 3, European)</t>
  </si>
  <si>
    <t>6 citations (e.g. alcohol dependence)</t>
  </si>
  <si>
    <t xml:space="preserve"> (at baseline), elderly sample (European Ancestry)</t>
  </si>
  <si>
    <t>http://snpedia.com/index.php/Rs1532278</t>
  </si>
  <si>
    <t>Chromosome: 8:27608798; RefSNP Alleles: C/T; Ancestral Allele: C; GMAF: T=0.26; MAF: T=0.39 (1000 Genome, Phase 3, European)</t>
  </si>
  <si>
    <t>11 citations (e.g. AD)</t>
  </si>
  <si>
    <t>http://snpedia.com/index.php/Rs821616</t>
  </si>
  <si>
    <t>Chromosome: 1:232008852; RefSNP Alleles: A/T; Ancestral Allele: T; GMAF: T=0.75; MAF: T=0.29 (1000 Genome, Phase 3, European)</t>
  </si>
  <si>
    <t>62 citations (e.g. SZ, psychosis, BP)</t>
  </si>
  <si>
    <t>http://snpedia.com/index.php/Rs6675281</t>
  </si>
  <si>
    <t>Chromosome: 1:231818355; RefSNP Alleles: C/T; Ancestral Allele: C; Clinical Significance: With untested allele; GMAF: T=0.10; MAF: T=0.12 (1000 Genome, Phase 3, European)</t>
  </si>
  <si>
    <t>31 citations (e.g. SZ, psychosis, BP)</t>
  </si>
  <si>
    <t>[Val158Met]</t>
  </si>
  <si>
    <t>http://snpedia.com/index.php/Rs6994992</t>
  </si>
  <si>
    <t>Chromosome: 8:31638065; RefSNP Alleles: C/T; Ancestral Allele: C; GMAF: T=0.44; MAF: T=0.38 (1000 Genome, Phase 3, European)</t>
  </si>
  <si>
    <t>36 citations (e.g. SZ, BP, crativity)</t>
  </si>
  <si>
    <t>http://snpedia.com/index.php/Rs35753505</t>
  </si>
  <si>
    <t>Chromosome: 8:31616625; RefSNP Alleles: C/T; Ancestral Allele: T; GMAF: C=0.31; MAF: C=0.35 (1000 Genome, Phase 3, European)</t>
  </si>
  <si>
    <t>http://snpedia.com/index.php/Rs9340799</t>
  </si>
  <si>
    <t>25 citations (e.g. Neuroticism, affective disorder, psychosis, SZ, verbal fluency)</t>
  </si>
  <si>
    <t>Chromosome: 6:151842246; RefSNP Alleles: A/G; Ancestral Allele: A; GMAF: G=0.28; MAF: G=0.31 (1000 Genome, Phase 3, European)</t>
  </si>
  <si>
    <t>166 citations (e.g. cognitive impairment ageing, cancer, SZ)</t>
  </si>
  <si>
    <t>http://snpedia.com/index.php/Rs2234693</t>
  </si>
  <si>
    <t>Chromosome: 6:151842200; RefSNP Alleles: C/T; Ancestral Allele: C; GMAF: C=0.45; MAF: C=0.42 (1000 Genome, Phase 3, European)</t>
  </si>
  <si>
    <t>224 citations (e.g. SZ, cancer)</t>
  </si>
  <si>
    <t>http://snpedia.com/index.php/Rs6265</t>
  </si>
  <si>
    <t>Chromosome: 11:27658369; RefSNP Alleles: A/G; Ancestral Allele: G</t>
  </si>
  <si>
    <t>348 citations</t>
  </si>
  <si>
    <t>http://www.ncbi.nlm.nih.gov/projects/SNP/snp_ref.cgi?rs=2270335</t>
  </si>
  <si>
    <t xml:space="preserve">Chromosome: 2:170818186; RefSNP Alleles: A/G; Ancestral Allele: G; </t>
  </si>
  <si>
    <t>5 citations (e.g. SZ, BP)</t>
  </si>
  <si>
    <t>http://snpedia.com/index.php/Rs17070145</t>
  </si>
  <si>
    <t>Chromosome: 5:168418786; RefSNP Alleles: C/T; Ancestral Allele: C; Clinical Significance: other; GMAF: C=0.48; MAF: C=0.65 (1000 Genome, Phase 3, European)</t>
  </si>
  <si>
    <t>48 citations (e.g. memory)</t>
  </si>
  <si>
    <t xml:space="preserve">MIR137HG
</t>
  </si>
  <si>
    <t>33 citations (e.g. SZ, BP)</t>
  </si>
  <si>
    <t>http://snpedia.com/index.php/Rs1625579</t>
  </si>
  <si>
    <t>http://snpedia.com/index.php/Rs10748842</t>
  </si>
  <si>
    <t>Chromosome: 10:81889983; RefSNP Alleles: C/T; Ancestral Allele: T; GMAF: C=0.14; MAF: C=0.10 (1000 Genome, Phase 3, European)</t>
  </si>
  <si>
    <t>3 citations (e.g. SZ)</t>
  </si>
  <si>
    <t>http://snpedia.com/index.php/Rs2281617</t>
  </si>
  <si>
    <t xml:space="preserve">caucasian </t>
  </si>
  <si>
    <t>n=176</t>
  </si>
  <si>
    <t>healthy volunteers; caucasian</t>
  </si>
  <si>
    <t>n=111</t>
  </si>
  <si>
    <t>n=39</t>
  </si>
  <si>
    <t>n1= 410, n2=201</t>
  </si>
  <si>
    <t xml:space="preserve">sample1 n=410 (controls); sample 2 n=78 SZ and n=123 unaffected siblings; caucasian/European </t>
  </si>
  <si>
    <t xml:space="preserve"> aged 12-18</t>
  </si>
  <si>
    <t>n=598</t>
  </si>
  <si>
    <t>Chromosome: 6:154166286; RefSNP Alleles: C/T; Ancestral Allele: C; GMAF: T=0.25; MAF: T=0.14 (1000 Genome, Phase 3, European)</t>
  </si>
  <si>
    <t>4 citations (e.g. stimulant reaction)</t>
  </si>
  <si>
    <t>http://snpedia.com/index.php/Rs1390938</t>
  </si>
  <si>
    <t>Chromosome: 8:20179202; RefSNP Alleles: A/G; Ancestral Allele: T; MAF: A=0.26 (1000 Genome, Phase 3)</t>
  </si>
  <si>
    <t>healthy, caucasian</t>
  </si>
  <si>
    <t>n1= 102; n2=298</t>
  </si>
  <si>
    <t>functional (first half of same paper)</t>
  </si>
  <si>
    <t>ANOVA, linear regression</t>
  </si>
  <si>
    <t>prefrontal AA+GA vs. GG</t>
  </si>
  <si>
    <t>amygdala AA+GA vs. GG</t>
  </si>
  <si>
    <t>GG n= 63</t>
  </si>
  <si>
    <t>AA n=31; AG n=8</t>
  </si>
  <si>
    <t xml:space="preserve">GG n=177 </t>
  </si>
  <si>
    <t>AAn=25; GA n=96</t>
  </si>
  <si>
    <t>5 citations (e.g. BP)</t>
  </si>
  <si>
    <t xml:space="preserve">SZ (Richards et al., 2006; Bly 2005; Chen et al., 2007; Lohoff et al., 2008), BP (Lohoff et al., 2006), anxiety related personality traits (Lohoff et al., 2008), cognitive phenotype in SZ (Need et al., 2009) </t>
  </si>
  <si>
    <t>VMAT1 (SLC18A1 or CGAT)</t>
  </si>
  <si>
    <t>MRI, fat intake, body weight, BMI, body-fat mass</t>
  </si>
  <si>
    <t>yes (but not successful)</t>
  </si>
  <si>
    <t>GWAS same study</t>
  </si>
  <si>
    <t>fat intake, effect size= -3.69 (p=5.2 x 10^-6)</t>
  </si>
  <si>
    <t>MAF= 0.23 (European American)</t>
  </si>
  <si>
    <t xml:space="preserve">multivariate linear model (adjusting for age and sex) energy, carbohydrate and protein in take and adiposity and amygdala volume; </t>
  </si>
  <si>
    <t>only in T carriers amygdala volume correlated inversly with fat intake (T-carriers: r=-0.13, p=0.02; CC: r=-0.01, p=0.66)</t>
  </si>
  <si>
    <t>multivariate linear model</t>
  </si>
  <si>
    <t>fMRI working memory performance; N-back task; PFC</t>
  </si>
  <si>
    <t>multiple regression model using age, sex and n-back performance as covariates; ANCOVA including diagnosis</t>
  </si>
  <si>
    <t>multiple regression, ANCOVA</t>
  </si>
  <si>
    <t>sample 1 controls TT vs TC/CC</t>
  </si>
  <si>
    <t>2 back correct: TT M=84, SD=15; C carriers M=80, SD=19, p=0.11; 2-back RT (sec): TT=0.49, SD=0.23; C carriers M=0.50, SD=0.24; p=0.54</t>
  </si>
  <si>
    <t>2 back correct: TT M=69, SD=20; C carriers M=70, SD=18, p=0.74; 2-back RT (sec): TT=0.61, SD=0.24; C carriers M=0.63, SD=0.29; p=0.79</t>
  </si>
  <si>
    <t>2 back correct: TT M=76, SD=20; C carriers M=77, SD=13, p=0.81; 2-back RT (sec): TT=0.53, SD=0.28; C carriers M=0.54, SD=0.26; p=0.86</t>
  </si>
  <si>
    <t xml:space="preserve">delusion severity (Chen et al., 2009); SZ (Kao et al., 2010); </t>
  </si>
  <si>
    <t>e4 carriers: n=21 (OC n=5, aMCI n=9, AD dementia n=7)</t>
  </si>
  <si>
    <t>e4 non carriers n=18 (OC n=9, aMCI n=5, AD dementia n=4)</t>
  </si>
  <si>
    <t>ANOVAS with APOE e4 carrier status and diagnostic group as factors; 1 way ANOVA for dose dependence; linear regression (using CDR-Sum of Boxes, MINI, or Functional activities questionnaire score as covariates); hierarchical linear regression to study predictors of delayed recall memory performance; statsistical mediation model (diagnosis-adjusted delayed recall composite score as dependent, APOE e4 status as indepent and diagnosis-adjusted CA1-SRLM as proposed mediator)</t>
  </si>
  <si>
    <t>ANOVA, linear regression, hierarchical linear regression, mediation model</t>
  </si>
  <si>
    <t>dose-dependence: effects of APOE e4 allele dose on hippocampal size and CA1-SRLM width</t>
  </si>
  <si>
    <t>SZ (Green et al., 2012); SZ (Decoster et al., 2012; brain function high risk SZ (Whalley et al., 2012); mood and cognition (Cummings et al., 2012)</t>
  </si>
  <si>
    <t xml:space="preserve">Mixed model regression analyses effects of diagnosis and genotype on WM performance and DLPFC activation; group and genotype effects on left DLPFC SIRP load 3 activation four univariate mixed model regression analyses - DLPFC probe 3 activationpredicted with 1 diagnosis, 2 genotype, 3 diagnosis and genotype, 4 diagnosis, genotype and diagnosis x genotype interaction; similar analyses for working memory perfromance and response time; </t>
  </si>
  <si>
    <t>mixed model regression</t>
  </si>
  <si>
    <t xml:space="preserve">fMRI during working memory paradigm  (N-back task) </t>
  </si>
  <si>
    <t>Bray haplotype</t>
  </si>
  <si>
    <t>yes (COMT enzyme activity: VV&gt;VM&gt;MM)</t>
  </si>
  <si>
    <t>yes  (DTNBP1 mRNA expression --&gt;+-&gt;++)</t>
  </si>
  <si>
    <t>Bray -/-</t>
  </si>
  <si>
    <t>Bray +/-</t>
  </si>
  <si>
    <t>Bray +/+</t>
  </si>
  <si>
    <t>VV</t>
  </si>
  <si>
    <t>VM</t>
  </si>
  <si>
    <t>MM</t>
  </si>
  <si>
    <t xml:space="preserve">However, controlling for performance across genotype groups during the N-back task allowed the physiological data to be interpreted in terms of how the information is processed in brain circuits independent of the potentially confounding effects of performance. As predicted, we found epistatic effects within dorsolateral PFC analogous to those in mice. Specifically, the effect of the COMT Val-Met genotype depended on the DTNBP1 Bray haplotype background. Individuals homozygous for COMT Met alleles having no Bray DTNBP1 haplotypes were more efficient than other COMT genotypes. In contrast, the relatively increased inefficiency associated with COMT Val-Val genotype was not apparent in individuals heterozygous for the dys Bray haplotype. Finally, individuals with COMT Met/Met genotypes who were also homozygous for the Bray low dys expression-associated haplotype were now the most inefficient compared with other COMT genotypes. </t>
  </si>
  <si>
    <t>CC/CG vs. GG (boys)</t>
  </si>
  <si>
    <t>(girls)</t>
  </si>
  <si>
    <t>(boys)</t>
  </si>
  <si>
    <t>AA vs. GA vs. GG (boys)</t>
  </si>
  <si>
    <t>AA/AG vs. GG (boys)</t>
  </si>
  <si>
    <t>AA vs.GA/GG (recessive) (boys)</t>
  </si>
  <si>
    <t>Murphy et al., 2013</t>
  </si>
  <si>
    <t xml:space="preserve">amygdala (Hariri et al., 2010; Murphy et al., 2013); stress response (Drabant et al., 2012; fear acquisition and extinction (Hermann et al., 2012); stress (Klucken et al., 2013) </t>
  </si>
  <si>
    <t>prior GWAS (Lambert et al., 2009; Bertram et al., 2007; Hrold et al., 2009; Seshadri et al., 2010; Naj et al., 2011; Jun et al., 2010; Hollingworth et al., 2011); cognitive decline (Caselli et al., 2009; Small et al., 2004; Anstey et al., 2000; Hamilton et al., 2011; Chibnik et al., 2011; Verhaaren et al., 2013; Barral et al., 2012; Sweet et al., 2012)</t>
  </si>
  <si>
    <t>exclude: more than 10 SNPs</t>
  </si>
  <si>
    <t>same study</t>
  </si>
  <si>
    <t>pathogenic, yes</t>
  </si>
  <si>
    <t xml:space="preserve"> no sig. decrease in hippocampal or
pgACC activation in risk allele carriers either in the combined relatives group or within the separate relative groups (i.e., for BPDrel(GG [AG AA]), MDDrel(GG [AG AA]), SCZrel(GG [AG AA])), carriers of the risk variant in the combined group as well as in each single relatives group exhibited significantly diminished activation in hippocampus and pgACC compared with the control group bearing no risk allele, indicating an additive contribution of the rs1006737 risk allele on familial risk for BPD, MDD and SCZ; p&lt;0.05</t>
  </si>
  <si>
    <t xml:space="preserve">GWAS BPD (Ferreira et al., 2008; Green et al., 2013; Sklar et al., 2008); MDD (Green et al., 2010; Liu et al., 2011); SCZ (Green et al., 2010; Hamshere et al., 2013; Nyegaard et al., 2010) pletropic action (Smoller et al., 2013) </t>
  </si>
  <si>
    <t>beta=-88.8</t>
  </si>
  <si>
    <t>bonferroni corrected</t>
  </si>
  <si>
    <t>n2=.14</t>
  </si>
  <si>
    <r>
      <t xml:space="preserve">Antisocial/consequences </t>
    </r>
    <r>
      <rPr>
        <sz val="11"/>
        <color rgb="FFFF0000"/>
        <rFont val="Calibri"/>
        <family val="2"/>
        <scheme val="minor"/>
      </rPr>
      <t>all p=0.00013*; boys p=0.00063*</t>
    </r>
    <r>
      <rPr>
        <sz val="11"/>
        <color theme="1"/>
        <rFont val="Calibri"/>
        <family val="2"/>
        <scheme val="minor"/>
      </rPr>
      <t>; girls p=NS</t>
    </r>
  </si>
  <si>
    <r>
      <t>Antisocial/consequences</t>
    </r>
    <r>
      <rPr>
        <sz val="11"/>
        <color rgb="FFFF0000"/>
        <rFont val="Calibri"/>
        <family val="2"/>
        <scheme val="minor"/>
      </rPr>
      <t xml:space="preserve"> GG all M=0.47, SD=1.29; boys M=0.53, SD=1.36;</t>
    </r>
    <r>
      <rPr>
        <sz val="11"/>
        <color theme="1"/>
        <rFont val="Calibri"/>
        <family val="2"/>
        <scheme val="minor"/>
      </rPr>
      <t xml:space="preserve"> girls M=0.42, SD=1.24</t>
    </r>
  </si>
  <si>
    <r>
      <t xml:space="preserve">SRD all p=0.021; </t>
    </r>
    <r>
      <rPr>
        <sz val="11"/>
        <color rgb="FFFF0000"/>
        <rFont val="Calibri"/>
        <family val="2"/>
        <scheme val="minor"/>
      </rPr>
      <t>boys p=0.00052*</t>
    </r>
    <r>
      <rPr>
        <sz val="11"/>
        <color theme="1"/>
        <rFont val="Calibri"/>
        <family val="2"/>
        <scheme val="minor"/>
      </rPr>
      <t>; girls p=NS</t>
    </r>
  </si>
  <si>
    <r>
      <t xml:space="preserve">Overt aggression all p=0.00097; </t>
    </r>
    <r>
      <rPr>
        <sz val="11"/>
        <color rgb="FFFF0000"/>
        <rFont val="Calibri"/>
        <family val="2"/>
        <scheme val="minor"/>
      </rPr>
      <t>boys p=6.2x10</t>
    </r>
    <r>
      <rPr>
        <sz val="11"/>
        <color rgb="FFFF0000"/>
        <rFont val="Calibri"/>
        <family val="2"/>
      </rPr>
      <t>^-7*</t>
    </r>
    <r>
      <rPr>
        <sz val="11"/>
        <color theme="1"/>
        <rFont val="Calibri"/>
        <family val="2"/>
        <scheme val="minor"/>
      </rPr>
      <t>; girls p=NS</t>
    </r>
  </si>
  <si>
    <r>
      <t xml:space="preserve">SRD GG all M=6.02, SD=6.51; </t>
    </r>
    <r>
      <rPr>
        <sz val="11"/>
        <color rgb="FFFF0000"/>
        <rFont val="Calibri"/>
        <family val="2"/>
        <scheme val="minor"/>
      </rPr>
      <t>boys M=7.21, SD=7.60</t>
    </r>
    <r>
      <rPr>
        <sz val="11"/>
        <color theme="1"/>
        <rFont val="Calibri"/>
        <family val="2"/>
        <scheme val="minor"/>
      </rPr>
      <t>; girls M=5.19, SD=5.47</t>
    </r>
  </si>
  <si>
    <r>
      <t xml:space="preserve">Overt aggression GG all M=0.94, SD=1.92; </t>
    </r>
    <r>
      <rPr>
        <sz val="11"/>
        <color rgb="FFFF0000"/>
        <rFont val="Calibri"/>
        <family val="2"/>
        <scheme val="minor"/>
      </rPr>
      <t xml:space="preserve">boys M=1.36, SD=2.39; </t>
    </r>
    <r>
      <rPr>
        <sz val="11"/>
        <color theme="1"/>
        <rFont val="Calibri"/>
        <family val="2"/>
        <scheme val="minor"/>
      </rPr>
      <t>girls M=0.65, SD=1.44</t>
    </r>
  </si>
  <si>
    <r>
      <t xml:space="preserve">Overt aggression all p=0.00021; </t>
    </r>
    <r>
      <rPr>
        <sz val="11"/>
        <color rgb="FFFF0000"/>
        <rFont val="Calibri"/>
        <family val="2"/>
        <scheme val="minor"/>
      </rPr>
      <t>boys p=1.5x10</t>
    </r>
    <r>
      <rPr>
        <sz val="11"/>
        <color rgb="FFFF0000"/>
        <rFont val="Calibri"/>
        <family val="2"/>
      </rPr>
      <t>^-7*</t>
    </r>
    <r>
      <rPr>
        <sz val="11"/>
        <color theme="1"/>
        <rFont val="Calibri"/>
        <family val="2"/>
        <scheme val="minor"/>
      </rPr>
      <t>; girls p=NS</t>
    </r>
  </si>
  <si>
    <r>
      <t>RL1 (linear regression model of RL parameter beta(MB) estimated from computational model fits to subject behaviour):</t>
    </r>
    <r>
      <rPr>
        <sz val="11"/>
        <color rgb="FFFF0000"/>
        <rFont val="Calibri"/>
        <family val="2"/>
        <scheme val="minor"/>
      </rPr>
      <t xml:space="preserve"> effect size=0.18, t(153)=2.1, p=0.03</t>
    </r>
  </si>
  <si>
    <r>
      <t>RL1 (linear regression model of RL parameter beta(MB) estimated from computational model fits to subject behaviour):</t>
    </r>
    <r>
      <rPr>
        <sz val="11"/>
        <color rgb="FFFF0000"/>
        <rFont val="Calibri"/>
        <family val="2"/>
        <scheme val="minor"/>
      </rPr>
      <t xml:space="preserve"> effect size=-0.23, t(153)=-2.2, p=0.03</t>
    </r>
  </si>
  <si>
    <r>
      <t xml:space="preserve">Logistic 2(model of transfer phase accuracy -putative model free in transfer phase): </t>
    </r>
    <r>
      <rPr>
        <sz val="11"/>
        <color rgb="FFFF0000"/>
        <rFont val="Calibri"/>
        <family val="2"/>
        <scheme val="minor"/>
      </rPr>
      <t>effect size=0.44, z=3.2, p=0.001</t>
    </r>
  </si>
  <si>
    <r>
      <t xml:space="preserve">Cross task(regression of stay/switch estimates reflecting model based RL relative to estimates reflecting transfer phase accuracy): </t>
    </r>
    <r>
      <rPr>
        <sz val="11"/>
        <color rgb="FFFF0000"/>
        <rFont val="Calibri"/>
        <family val="2"/>
        <scheme val="minor"/>
      </rPr>
      <t>effect size=-0.54, t(152)=-2.3, p=0.001</t>
    </r>
  </si>
  <si>
    <r>
      <t xml:space="preserve">female C carriers sig. reduced gene-dose-dependent activation in the left HPC during late acquisition </t>
    </r>
    <r>
      <rPr>
        <sz val="11"/>
        <color rgb="FFFF0000"/>
        <rFont val="Calibri"/>
        <family val="2"/>
        <scheme val="minor"/>
      </rPr>
      <t>(t=4.06, p=.038);</t>
    </r>
    <r>
      <rPr>
        <sz val="11"/>
        <color theme="1"/>
        <rFont val="Calibri"/>
        <family val="2"/>
        <scheme val="minor"/>
      </rPr>
      <t xml:space="preserve"> no sig. assocaition  with amygdalar activation during contextual conditioning in females; no sig. effect of genotype for females during early acquisition and extinction</t>
    </r>
  </si>
  <si>
    <r>
      <t xml:space="preserve">male C carriers showed sig. increased dose-dependent right sided HPC activation during late acquisition </t>
    </r>
    <r>
      <rPr>
        <sz val="11"/>
        <color rgb="FFFF0000"/>
        <rFont val="Calibri"/>
        <family val="2"/>
        <scheme val="minor"/>
      </rPr>
      <t>(t=3.85; p=.036)</t>
    </r>
    <r>
      <rPr>
        <sz val="11"/>
        <color theme="1"/>
        <rFont val="Calibri"/>
        <family val="2"/>
        <scheme val="minor"/>
      </rPr>
      <t>; no sig. assocation with amygdalar activation during contextual conditioning in male participants; no sig. effects of genotype during early acquisition and extinction; no significant influence on amygdalar or hippocampal activity during fear conditioing</t>
    </r>
  </si>
  <si>
    <r>
      <t xml:space="preserve">clinical; smoking status rare and common variants; </t>
    </r>
    <r>
      <rPr>
        <sz val="11"/>
        <color rgb="FFFF0000"/>
        <rFont val="Calibri"/>
        <family val="2"/>
        <scheme val="minor"/>
      </rPr>
      <t>tests 30 genes</t>
    </r>
  </si>
  <si>
    <r>
      <t xml:space="preserve">psychophysiological responses to threat: analyses on each experiment seperately did not establish significant genotype effects (5-HTTLPR[S-carrier, LL] x threat [threat,safe] interaction; sample 1 p=.13, sample 2 p=.10); but mean intensity of psychophisological responses increased consistently with number of S alleles - post hoc omnibus repeated measures analysis across both sampled with experiment as factor p&lt;.05 (5-HTTLPR x threat </t>
    </r>
    <r>
      <rPr>
        <sz val="11"/>
        <color rgb="FFFF0000"/>
        <rFont val="Calibri"/>
        <family val="2"/>
        <scheme val="minor"/>
      </rPr>
      <t>F (1,163) = 4.9, p= .028</t>
    </r>
    <r>
      <rPr>
        <sz val="11"/>
        <color theme="1"/>
        <rFont val="Calibri"/>
        <family val="2"/>
        <scheme val="minor"/>
      </rPr>
      <t>)</t>
    </r>
  </si>
  <si>
    <r>
      <t>hierarchical linear regression: S carriers showed increased dmPFC activity to threat (path a:</t>
    </r>
    <r>
      <rPr>
        <sz val="11"/>
        <color rgb="FFFF0000"/>
        <rFont val="Calibri"/>
        <family val="2"/>
        <scheme val="minor"/>
      </rPr>
      <t xml:space="preserve"> t(98)=3.97, p&lt;.001)</t>
    </r>
    <r>
      <rPr>
        <sz val="11"/>
        <color theme="1"/>
        <rFont val="Calibri"/>
        <family val="2"/>
        <scheme val="minor"/>
      </rPr>
      <t xml:space="preserve">, </t>
    </r>
    <r>
      <rPr>
        <sz val="11"/>
        <color rgb="FFFF0000"/>
        <rFont val="Calibri"/>
        <family val="2"/>
        <scheme val="minor"/>
      </rPr>
      <t>a=0.24 (0.06)</t>
    </r>
    <r>
      <rPr>
        <sz val="11"/>
        <color theme="1"/>
        <rFont val="Calibri"/>
        <family val="2"/>
        <scheme val="minor"/>
      </rPr>
      <t xml:space="preserve"> greater dmPFC activity predicted greater psychophysiological reactions (path b:</t>
    </r>
    <r>
      <rPr>
        <sz val="11"/>
        <color rgb="FFFF0000"/>
        <rFont val="Calibri"/>
        <family val="2"/>
        <scheme val="minor"/>
      </rPr>
      <t xml:space="preserve"> t(97)=3.50, p&lt;.001) b=0.22 (0.07)</t>
    </r>
    <r>
      <rPr>
        <sz val="11"/>
        <color theme="1"/>
        <rFont val="Calibri"/>
        <family val="2"/>
        <scheme val="minor"/>
      </rPr>
      <t>and dmPFC activity sig. mediated 5HTTLPR effects on psychophysiological reactions (path ab:</t>
    </r>
    <r>
      <rPr>
        <sz val="11"/>
        <color rgb="FFFF0000"/>
        <rFont val="Calibri"/>
        <family val="2"/>
        <scheme val="minor"/>
      </rPr>
      <t>t(98)=2.47, p=.009) ab=0.05 (0.02)</t>
    </r>
  </si>
  <si>
    <r>
      <t xml:space="preserve">whole brain analysis no genotype effect in sample 2; but mean activity of dmPFC region was genotype sensitive (5-HTTLPR x threat sample 2 </t>
    </r>
    <r>
      <rPr>
        <sz val="11"/>
        <color rgb="FFFF0000"/>
        <rFont val="Calibri"/>
        <family val="2"/>
        <scheme val="minor"/>
      </rPr>
      <t xml:space="preserve">F(1,69) = 6.16, p = .015); </t>
    </r>
    <r>
      <rPr>
        <sz val="11"/>
        <color theme="1"/>
        <rFont val="Calibri"/>
        <family val="2"/>
        <scheme val="minor"/>
      </rPr>
      <t xml:space="preserve">bilateral insular similar but not significant; exploratory ROI analyses on BNST and amygdala not sig. </t>
    </r>
  </si>
  <si>
    <r>
      <t xml:space="preserve">hierarchical linear regression: S carriers showed increased dmPFC activity to threat (path a: </t>
    </r>
    <r>
      <rPr>
        <sz val="11"/>
        <color rgb="FFFF0000"/>
        <rFont val="Calibri"/>
        <family val="2"/>
        <scheme val="minor"/>
      </rPr>
      <t>t(69)=2.24, p=.009) a=1.23 (0.6)</t>
    </r>
    <r>
      <rPr>
        <sz val="11"/>
        <color theme="1"/>
        <rFont val="Calibri"/>
        <family val="2"/>
        <scheme val="minor"/>
      </rPr>
      <t>, greater dmPFC activity predicted greater psychophysiological reactions (path b:</t>
    </r>
    <r>
      <rPr>
        <sz val="11"/>
        <color rgb="FFFF0000"/>
        <rFont val="Calibri"/>
        <family val="2"/>
        <scheme val="minor"/>
      </rPr>
      <t xml:space="preserve"> t(68)=3.01, p=.002) b=0.06 (0.02)</t>
    </r>
    <r>
      <rPr>
        <sz val="11"/>
        <color theme="1"/>
        <rFont val="Calibri"/>
        <family val="2"/>
        <scheme val="minor"/>
      </rPr>
      <t xml:space="preserve"> and dmPFC activity significantly mediated 5HTTLPR effects on psychophysiological reactions (path ab:</t>
    </r>
    <r>
      <rPr>
        <sz val="11"/>
        <color rgb="FFFF0000"/>
        <rFont val="Calibri"/>
        <family val="2"/>
        <scheme val="minor"/>
      </rPr>
      <t>t(68)=1.69, p=.011) ab=0.08 (0.05)</t>
    </r>
  </si>
  <si>
    <r>
      <t xml:space="preserve">nonlinear mixed models; model has two parts standard linear mixed model with latent cognitive process as dependent variable, second model for link between latent cognitive process and neuropsychological test ; measures are estimated simultaneously by maximum likelihood; </t>
    </r>
    <r>
      <rPr>
        <sz val="11"/>
        <color rgb="FFFF0000"/>
        <rFont val="Calibri"/>
        <family val="2"/>
        <scheme val="minor"/>
      </rPr>
      <t>estimated effects computed are standardized betas</t>
    </r>
  </si>
  <si>
    <r>
      <t xml:space="preserve">Mini-mental state examination (MMSE), </t>
    </r>
    <r>
      <rPr>
        <sz val="11"/>
        <color rgb="FFFF0000"/>
        <rFont val="Calibri"/>
        <family val="2"/>
        <scheme val="minor"/>
      </rPr>
      <t>at 77: -0.17*** (-0.26; -0.09); after 10: -0.14* (-0.25: -0.02)</t>
    </r>
  </si>
  <si>
    <r>
      <t xml:space="preserve">Isaac set Test (IST) </t>
    </r>
    <r>
      <rPr>
        <sz val="11"/>
        <color rgb="FFFF0000"/>
        <rFont val="Calibri"/>
        <family val="2"/>
        <scheme val="minor"/>
      </rPr>
      <t>at 77: -0.19* (-0.33; -0.05), after 10: -0.22** (-0.37; -0.07)</t>
    </r>
  </si>
  <si>
    <r>
      <t>Trail making test B (TMTB)</t>
    </r>
    <r>
      <rPr>
        <sz val="11"/>
        <color rgb="FFFF0000"/>
        <rFont val="Calibri"/>
        <family val="2"/>
        <scheme val="minor"/>
      </rPr>
      <t xml:space="preserve"> at 77: -0.15* (-0.23; -0.06)</t>
    </r>
    <r>
      <rPr>
        <sz val="11"/>
        <color theme="1"/>
        <rFont val="Calibri"/>
        <family val="2"/>
        <scheme val="minor"/>
      </rPr>
      <t>; after 10: -0.07 (-0.19; 0.04)</t>
    </r>
  </si>
  <si>
    <r>
      <t xml:space="preserve">IST at 77: 0.04 (-0.08; 0.16); </t>
    </r>
    <r>
      <rPr>
        <sz val="11"/>
        <color rgb="FFFF0000"/>
        <rFont val="Calibri"/>
        <family val="2"/>
        <scheme val="minor"/>
      </rPr>
      <t>after 10: -0.15* (-0.27; -0.02)</t>
    </r>
  </si>
  <si>
    <r>
      <t xml:space="preserve">MMSE at 77: 0.01 (-0.06; 0.08); </t>
    </r>
    <r>
      <rPr>
        <sz val="11"/>
        <color rgb="FFFF0000"/>
        <rFont val="Calibri"/>
        <family val="2"/>
        <scheme val="minor"/>
      </rPr>
      <t>after 10: -0.10* (-0.19; -0.01)</t>
    </r>
  </si>
  <si>
    <r>
      <t xml:space="preserve">Descriptive stats based on stratification by APOE e4 status: (APOE genotype difference) age: p=0.054; sex p=0.689; country of birth p=0.490; baseline BMI p=0.340; baseline energy intake p=0.644; diabetes p=0.383; hypertension p=0.277; angina p=0.510; heart attack p=0.447; stroke p=0.892; past smoker p=0.700; education p=0.070; baseline western diet p=0.113; </t>
    </r>
    <r>
      <rPr>
        <sz val="11"/>
        <color rgb="FFFF0000"/>
        <rFont val="Calibri"/>
        <family val="2"/>
        <scheme val="minor"/>
      </rPr>
      <t>baseline prudent diet p=0.017;</t>
    </r>
    <r>
      <rPr>
        <sz val="11"/>
        <color theme="1"/>
        <rFont val="Calibri"/>
        <family val="2"/>
        <scheme val="minor"/>
      </rPr>
      <t xml:space="preserve"> baseline AusMedDI p=0.164</t>
    </r>
  </si>
  <si>
    <r>
      <t xml:space="preserve">Model 1 (fully adjusted model includes age, sex, years of education, country of birth, baseline BMI, baseline energy intake kCal, past smoking status, history of hypertension, angina, stroke, heart attack, and diabetes covariates) change in cognitive domain standardised beta values, portion of variance explained by diet score: </t>
    </r>
    <r>
      <rPr>
        <b/>
        <sz val="11"/>
        <color theme="1"/>
        <rFont val="Calibri"/>
        <family val="2"/>
        <scheme val="minor"/>
      </rPr>
      <t>AusMeDi non carriers</t>
    </r>
    <r>
      <rPr>
        <sz val="11"/>
        <color theme="1"/>
        <rFont val="Calibri"/>
        <family val="2"/>
        <scheme val="minor"/>
      </rPr>
      <t xml:space="preserve"> verbal memory 0.0149, visual memory -0.0164, executive function 0.0077, language -0.0069, attention 0.0014, visuospatial -0.0110, global cognitive score -0.0023; </t>
    </r>
    <r>
      <rPr>
        <b/>
        <sz val="11"/>
        <color theme="1"/>
        <rFont val="Calibri"/>
        <family val="2"/>
        <scheme val="minor"/>
      </rPr>
      <t>AusMeDi carriers</t>
    </r>
    <r>
      <rPr>
        <sz val="11"/>
        <color theme="1"/>
        <rFont val="Calibri"/>
        <family val="2"/>
        <scheme val="minor"/>
      </rPr>
      <t xml:space="preserve"> verbal memory 0.0368, visual memory 0.0213, </t>
    </r>
    <r>
      <rPr>
        <sz val="11"/>
        <color rgb="FFFF0000"/>
        <rFont val="Calibri"/>
        <family val="2"/>
        <scheme val="minor"/>
      </rPr>
      <t>executive function 0.0772 (8.1%) p&lt;0.01</t>
    </r>
    <r>
      <rPr>
        <sz val="11"/>
        <color theme="1"/>
        <rFont val="Calibri"/>
        <family val="2"/>
        <scheme val="minor"/>
      </rPr>
      <t>, language 0.0272, attention 0.0427, visuospatial -0.0584, global cognitive score 0.0252</t>
    </r>
  </si>
  <si>
    <r>
      <t xml:space="preserve">Model 1: </t>
    </r>
    <r>
      <rPr>
        <b/>
        <sz val="11"/>
        <color theme="1"/>
        <rFont val="Calibri"/>
        <family val="2"/>
        <scheme val="minor"/>
      </rPr>
      <t>Prudent non carriers</t>
    </r>
    <r>
      <rPr>
        <sz val="11"/>
        <color theme="1"/>
        <rFont val="Calibri"/>
        <family val="2"/>
        <scheme val="minor"/>
      </rPr>
      <t xml:space="preserve"> verbal memory 0.0000, visual memory -0.0000, executive function 0.0000, language 0.0001, attention -0.0000, visuospatial 0.0004, global cognitive score 0.0001; </t>
    </r>
    <r>
      <rPr>
        <b/>
        <sz val="11"/>
        <color theme="1"/>
        <rFont val="Calibri"/>
        <family val="2"/>
        <scheme val="minor"/>
      </rPr>
      <t>Pr</t>
    </r>
    <r>
      <rPr>
        <b/>
        <sz val="11"/>
        <rFont val="Calibri"/>
        <family val="2"/>
        <scheme val="minor"/>
      </rPr>
      <t>udent carriers</t>
    </r>
    <r>
      <rPr>
        <sz val="11"/>
        <rFont val="Calibri"/>
        <family val="2"/>
        <scheme val="minor"/>
      </rPr>
      <t xml:space="preserve"> verbal memory 0.0003, visual memory -0.0001, executive function -0.0001</t>
    </r>
    <r>
      <rPr>
        <sz val="11"/>
        <color theme="1"/>
        <rFont val="Calibri"/>
        <family val="2"/>
        <scheme val="minor"/>
      </rPr>
      <t>, language 0.0004, attention -0.0000, visuospatial 0.0001, global cognitive score 0.0001</t>
    </r>
  </si>
  <si>
    <r>
      <t xml:space="preserve">Model 1: </t>
    </r>
    <r>
      <rPr>
        <b/>
        <sz val="11"/>
        <color theme="1"/>
        <rFont val="Calibri"/>
        <family val="2"/>
        <scheme val="minor"/>
      </rPr>
      <t>Western non carriers</t>
    </r>
    <r>
      <rPr>
        <sz val="11"/>
        <color theme="1"/>
        <rFont val="Calibri"/>
        <family val="2"/>
        <scheme val="minor"/>
      </rPr>
      <t xml:space="preserve"> verbal memory -0.0001, visual memory -0.0003, executive function -0.0001, language -0.0002, attention -0.0003,</t>
    </r>
    <r>
      <rPr>
        <sz val="11"/>
        <color rgb="FFFF0000"/>
        <rFont val="Calibri"/>
        <family val="2"/>
        <scheme val="minor"/>
      </rPr>
      <t xml:space="preserve"> visuospatial -0.0006 (3.6%) p&lt;0.01</t>
    </r>
    <r>
      <rPr>
        <sz val="11"/>
        <color theme="1"/>
        <rFont val="Calibri"/>
        <family val="2"/>
        <scheme val="minor"/>
      </rPr>
      <t xml:space="preserve">, global cognitive score -0.0003; </t>
    </r>
    <r>
      <rPr>
        <b/>
        <sz val="11"/>
        <color theme="1"/>
        <rFont val="Calibri"/>
        <family val="2"/>
        <scheme val="minor"/>
      </rPr>
      <t>Western</t>
    </r>
    <r>
      <rPr>
        <b/>
        <sz val="11"/>
        <rFont val="Calibri"/>
        <family val="2"/>
        <scheme val="minor"/>
      </rPr>
      <t xml:space="preserve"> carriers</t>
    </r>
    <r>
      <rPr>
        <sz val="11"/>
        <rFont val="Calibri"/>
        <family val="2"/>
        <scheme val="minor"/>
      </rPr>
      <t xml:space="preserve"> verbal memory -0.0003, visual memory 0.0005, executive function 0.0003</t>
    </r>
    <r>
      <rPr>
        <sz val="11"/>
        <color theme="1"/>
        <rFont val="Calibri"/>
        <family val="2"/>
        <scheme val="minor"/>
      </rPr>
      <t>, language -0.0000, attention 0.0004, visuospatial 0.0001, global cognitive score 0.0002</t>
    </r>
  </si>
  <si>
    <r>
      <t xml:space="preserve">Model 2(adjusted model without CVD risk factors, same covariates as fully adjusted model without past smoking status, history of hypertension, angina, stroke, heart attack and diabetes) change in cognitive domain standardised beta values, portion of variance explained by diet score: </t>
    </r>
    <r>
      <rPr>
        <b/>
        <sz val="11"/>
        <color theme="1"/>
        <rFont val="Calibri"/>
        <family val="2"/>
        <scheme val="minor"/>
      </rPr>
      <t>AusMeDi non carriers</t>
    </r>
    <r>
      <rPr>
        <sz val="11"/>
        <color theme="1"/>
        <rFont val="Calibri"/>
        <family val="2"/>
        <scheme val="minor"/>
      </rPr>
      <t xml:space="preserve"> verbal memory 0.0170, visual memory -0.0142, executive function 0.0101, language -0.0041, attention 0.0026, visuospatial -0.0090, global cognitive score -0.002; </t>
    </r>
    <r>
      <rPr>
        <b/>
        <sz val="11"/>
        <color theme="1"/>
        <rFont val="Calibri"/>
        <family val="2"/>
        <scheme val="minor"/>
      </rPr>
      <t>AusMeDi carriers</t>
    </r>
    <r>
      <rPr>
        <sz val="11"/>
        <color theme="1"/>
        <rFont val="Calibri"/>
        <family val="2"/>
        <scheme val="minor"/>
      </rPr>
      <t xml:space="preserve"> verbal memory 0.0297, visual memory 0.0119, </t>
    </r>
    <r>
      <rPr>
        <sz val="11"/>
        <color rgb="FFFF0000"/>
        <rFont val="Calibri"/>
        <family val="2"/>
        <scheme val="minor"/>
      </rPr>
      <t>executive function 0.0815 (8.6%) p&lt;0.01,</t>
    </r>
    <r>
      <rPr>
        <sz val="11"/>
        <color theme="1"/>
        <rFont val="Calibri"/>
        <family val="2"/>
        <scheme val="minor"/>
      </rPr>
      <t xml:space="preserve"> language 0.0276, attention 0.0289, visuospatial -0.0690, global cognitive score 0.0200</t>
    </r>
  </si>
  <si>
    <r>
      <t xml:space="preserve">Model 2: </t>
    </r>
    <r>
      <rPr>
        <b/>
        <sz val="11"/>
        <color theme="1"/>
        <rFont val="Calibri"/>
        <family val="2"/>
        <scheme val="minor"/>
      </rPr>
      <t>Prudent non carriers</t>
    </r>
    <r>
      <rPr>
        <sz val="11"/>
        <color theme="1"/>
        <rFont val="Calibri"/>
        <family val="2"/>
        <scheme val="minor"/>
      </rPr>
      <t xml:space="preserve"> verbal memory 0.0001, visual memory -0.0000, executive function 0.0001, language 0.0001, attention -0.0000, visuospatial 0.0004, global cognitive score 0.0001; </t>
    </r>
    <r>
      <rPr>
        <b/>
        <sz val="11"/>
        <color theme="1"/>
        <rFont val="Calibri"/>
        <family val="2"/>
        <scheme val="minor"/>
      </rPr>
      <t>Pr</t>
    </r>
    <r>
      <rPr>
        <b/>
        <sz val="11"/>
        <rFont val="Calibri"/>
        <family val="2"/>
        <scheme val="minor"/>
      </rPr>
      <t>udent carriers</t>
    </r>
    <r>
      <rPr>
        <sz val="11"/>
        <rFont val="Calibri"/>
        <family val="2"/>
        <scheme val="minor"/>
      </rPr>
      <t xml:space="preserve"> verbal memory 0.0003, visual memory -0.0001, executive function -0.0001</t>
    </r>
    <r>
      <rPr>
        <sz val="11"/>
        <color theme="1"/>
        <rFont val="Calibri"/>
        <family val="2"/>
        <scheme val="minor"/>
      </rPr>
      <t>, language 0.0003, attention -0.0000, visuospatial 0.0001, global cognitive score 0.0001</t>
    </r>
  </si>
  <si>
    <r>
      <t xml:space="preserve">Model 2: </t>
    </r>
    <r>
      <rPr>
        <b/>
        <sz val="11"/>
        <color theme="1"/>
        <rFont val="Calibri"/>
        <family val="2"/>
        <scheme val="minor"/>
      </rPr>
      <t>Western non carriers</t>
    </r>
    <r>
      <rPr>
        <sz val="11"/>
        <color theme="1"/>
        <rFont val="Calibri"/>
        <family val="2"/>
        <scheme val="minor"/>
      </rPr>
      <t xml:space="preserve"> verbal memory -0.0001, visual memory -0.0003, executive function -0.0001, language -0.0002, attention -0.0003,</t>
    </r>
    <r>
      <rPr>
        <sz val="11"/>
        <color rgb="FFFF0000"/>
        <rFont val="Calibri"/>
        <family val="2"/>
        <scheme val="minor"/>
      </rPr>
      <t xml:space="preserve"> visuospatial -0.0006 (3.4%) p&lt;0.01</t>
    </r>
    <r>
      <rPr>
        <sz val="11"/>
        <color theme="1"/>
        <rFont val="Calibri"/>
        <family val="2"/>
        <scheme val="minor"/>
      </rPr>
      <t xml:space="preserve">, global cognitive score -0.0003; </t>
    </r>
    <r>
      <rPr>
        <b/>
        <sz val="11"/>
        <color theme="1"/>
        <rFont val="Calibri"/>
        <family val="2"/>
        <scheme val="minor"/>
      </rPr>
      <t>Western</t>
    </r>
    <r>
      <rPr>
        <b/>
        <sz val="11"/>
        <rFont val="Calibri"/>
        <family val="2"/>
        <scheme val="minor"/>
      </rPr>
      <t xml:space="preserve"> carriers</t>
    </r>
    <r>
      <rPr>
        <sz val="11"/>
        <rFont val="Calibri"/>
        <family val="2"/>
        <scheme val="minor"/>
      </rPr>
      <t xml:space="preserve"> verbal memory -0.0003, visual memory 0.0005, executive function 0.0003</t>
    </r>
    <r>
      <rPr>
        <sz val="11"/>
        <color theme="1"/>
        <rFont val="Calibri"/>
        <family val="2"/>
        <scheme val="minor"/>
      </rPr>
      <t>, language -0.0000, attention 0.0003, visuospatial 0.0001, global cognitive score 0.0002</t>
    </r>
  </si>
  <si>
    <r>
      <t xml:space="preserve">carriers (n=148) Baseline western diet score M=160.8; SD=152.2; </t>
    </r>
    <r>
      <rPr>
        <sz val="11"/>
        <color rgb="FFFF0000"/>
        <rFont val="Calibri"/>
        <family val="2"/>
        <scheme val="minor"/>
      </rPr>
      <t>Baseline prudent diet score M=285.9; SD=116.1</t>
    </r>
    <r>
      <rPr>
        <sz val="11"/>
        <color theme="1"/>
        <rFont val="Calibri"/>
        <family val="2"/>
        <scheme val="minor"/>
      </rPr>
      <t>; Baseline AusMeDi score M=4.7; SD=1.5</t>
    </r>
  </si>
  <si>
    <r>
      <t xml:space="preserve">non-carrirs (n=379) Baseline western diet score M=137.9; SD=147.3; </t>
    </r>
    <r>
      <rPr>
        <sz val="11"/>
        <color rgb="FFFF0000"/>
        <rFont val="Calibri"/>
        <family val="2"/>
        <scheme val="minor"/>
      </rPr>
      <t xml:space="preserve">Baseline prudent diet score M=316.0; SD=134.3; </t>
    </r>
    <r>
      <rPr>
        <sz val="11"/>
        <color theme="1"/>
        <rFont val="Calibri"/>
        <family val="2"/>
        <scheme val="minor"/>
      </rPr>
      <t>Baseline AusMeDi score M=4.5; SD=1.7</t>
    </r>
  </si>
  <si>
    <r>
      <t>Chromosome: 11:113400106; RefSNP Alleles: G/A; ncestral Allele: A;</t>
    </r>
    <r>
      <rPr>
        <sz val="11"/>
        <color rgb="FFFF0000"/>
        <rFont val="Calibri"/>
        <family val="2"/>
        <scheme val="minor"/>
      </rPr>
      <t xml:space="preserve"> Clinical Significance: With Pathogenic allele</t>
    </r>
    <r>
      <rPr>
        <sz val="11"/>
        <color theme="1"/>
        <rFont val="Calibri"/>
        <family val="2"/>
        <scheme val="minor"/>
      </rPr>
      <t>; GMAF: A=0.33; MAF: A=0.19 (1000 Genome, Phase 3, European)</t>
    </r>
  </si>
  <si>
    <r>
      <rPr>
        <b/>
        <sz val="11"/>
        <color theme="1"/>
        <rFont val="Calibri"/>
        <family val="2"/>
        <scheme val="minor"/>
      </rPr>
      <t>Ratings &amp; Intake:</t>
    </r>
    <r>
      <rPr>
        <sz val="11"/>
        <color theme="1"/>
        <rFont val="Calibri"/>
        <family val="2"/>
        <scheme val="minor"/>
      </rPr>
      <t xml:space="preserve"> Nosignificant interactions with or main effects of genotype were found for postscan caloric intake (main effect of genotype F(1,30)=0.21, p=0.65; genotype x condition interaction
F(1,30)=1.58, p=0.22) or subjective satiation (main effect of genotype F(1,29)=2.05, p=0.16, genotype x condition interaction F(1,29)=0.54, genotype x time interaction F(8,232)=0.97, genotype x time x condition interaction F(8,232)=0.68)</t>
    </r>
  </si>
  <si>
    <r>
      <rPr>
        <b/>
        <sz val="11"/>
        <color theme="1"/>
        <rFont val="Calibri"/>
        <family val="2"/>
        <scheme val="minor"/>
      </rPr>
      <t>Weight change</t>
    </r>
    <r>
      <rPr>
        <sz val="11"/>
        <color theme="1"/>
        <rFont val="Calibri"/>
        <family val="2"/>
        <scheme val="minor"/>
      </rPr>
      <t xml:space="preserve">: no effect of genotype on BMI change ((A1-: M=0.09, SD=1.21; A1+: M=0.31, SD=1.32; t=-0.48, p=0.64); time elapsed between initial and follow up weight measures (A1- : M=53.91, SD=3.16; A1+ : M=53.13, SD=2.94; t=0.72, p=0.48); genotype-specific relationships between  BMI and sex (A1- : t=0.53, p=0.60, A1+ : t=1.03, p=0.32), initial BMI (A1- : r =0.04, p=0.88, A1+ : r =0.39, p=0.15), age (A1- : r=0.04, p=0.87, A1+ : r=0.49, p=0.06), elapsed time between initial and follow-up weight measurements (A1- : r=0.26, p=0.31, A1+ : r=0.26, p=0.35); stimulus intensity (A1- : food odors r=0.29, p=0.30, milkshake r=0.26, p=0.32; A1+ : food odors r=0.38, p=0.18, milkshake r=0.11, p=0.70), wanting (A1- : food odors r=0.02, p=0.94, milkshake r=0.29, p=0.27; A1+ : food odors r=0.43, p=0.12, milkshake r=0.10, p=0.73); or caloric intake at the postscan ad libitum meals (A1- : hungry r=0.03, p=0.89, sated r=0.06, p=0.82; A1+ : hungry r=0.17, p=0.54, sated
r=0.12, p=0.66). Statistically significant genotype-specific relationships were also not found between  BMI and food odor liking (A1- : r=0.48, p=0.07, A1+ : r=0.40, p=0.16), edibility (A1- : r=0.03, p=0.91, A1+ : r=0.32, p=0.26), and familiarity (A1- : r=0.26, p=0.35, A1+ : r=0.53, p=0.53). change in BMI was </t>
    </r>
    <r>
      <rPr>
        <sz val="11"/>
        <color rgb="FFFF0000"/>
        <rFont val="Calibri"/>
        <family val="2"/>
        <scheme val="minor"/>
      </rPr>
      <t>positively correlated in A1- , but not A1+ , individuals with milkshake liking (A1- : r=0.73, p=0.001, A1+ : r=0.10, p=0.73), edibility (A1- : r=0.50, p=0.043, A1+ : r=0.13, p=0.65), and familiarity (A1-: r=0.49, p=0.046, A1+ : r=0.06, p=0.84),</t>
    </r>
    <r>
      <rPr>
        <sz val="11"/>
        <color theme="1"/>
        <rFont val="Calibri"/>
        <family val="2"/>
        <scheme val="minor"/>
      </rPr>
      <t xml:space="preserve"> although only liking survived correction for multiple comparisons.</t>
    </r>
  </si>
  <si>
    <r>
      <rPr>
        <b/>
        <sz val="11"/>
        <color theme="1"/>
        <rFont val="Calibri"/>
        <family val="2"/>
        <scheme val="minor"/>
      </rPr>
      <t>Weight change and amygdala response</t>
    </r>
    <r>
      <rPr>
        <sz val="11"/>
        <color theme="1"/>
        <rFont val="Calibri"/>
        <family val="2"/>
        <scheme val="minor"/>
      </rPr>
      <t xml:space="preserve">: No wig. sex interactions were observed with  BMI and food taste or smell reactivity in the whole brain or within our amygdala
ROIs. However, we found that when A1 allele carrier status was considered, </t>
    </r>
    <r>
      <rPr>
        <sz val="11"/>
        <color rgb="FFFF0000"/>
        <rFont val="Calibri"/>
        <family val="2"/>
        <scheme val="minor"/>
      </rPr>
      <t xml:space="preserve">right BLA </t>
    </r>
    <r>
      <rPr>
        <sz val="11"/>
        <color theme="1"/>
        <rFont val="Calibri"/>
        <family val="2"/>
        <scheme val="minor"/>
      </rPr>
      <t>reactivity to milkshake at the sated scan, but not at the hungry scan, was positively associated with  BMI in</t>
    </r>
    <r>
      <rPr>
        <sz val="11"/>
        <color rgb="FFFF0000"/>
        <rFont val="Calibri"/>
        <family val="2"/>
        <scheme val="minor"/>
      </rPr>
      <t xml:space="preserve"> A1- , but not in A1+  (ROI analysis of M&gt;T Sated, A1-&gt;A1+ ; pFWE-peak=0.007).</t>
    </r>
    <r>
      <rPr>
        <sz val="11"/>
        <color theme="1"/>
        <rFont val="Calibri"/>
        <family val="2"/>
        <scheme val="minor"/>
      </rPr>
      <t xml:space="preserve"> This interaction remained significant after adding milkshake liking, edibility, and familiarity as covariates of no interest (because they also correlated with  BMI in A1- ). Conversely, reactivity to food odors in the hungry, but not sated, scan was negatively correlated with weight change in the</t>
    </r>
    <r>
      <rPr>
        <sz val="11"/>
        <color rgb="FFFF0000"/>
        <rFont val="Calibri"/>
        <family val="2"/>
        <scheme val="minor"/>
      </rPr>
      <t xml:space="preserve"> right BLA (ROI analysis of F&gt;Ol Hungry, again in A1- but not A1+  (pFWE-peak=0.027)</t>
    </r>
    <r>
      <rPr>
        <sz val="11"/>
        <color theme="1"/>
        <rFont val="Calibri"/>
        <family val="2"/>
        <scheme val="minor"/>
      </rPr>
      <t xml:space="preserve">. A similar effect was observed in the </t>
    </r>
    <r>
      <rPr>
        <sz val="11"/>
        <color rgb="FFFF0000"/>
        <rFont val="Calibri"/>
        <family val="2"/>
        <scheme val="minor"/>
      </rPr>
      <t>right SFA (ROI analysis of F&gt;Ol Hungry, A1-&gt;A1+ ; pFWE-peak=0.028).</t>
    </r>
    <r>
      <rPr>
        <sz val="11"/>
        <color theme="1"/>
        <rFont val="Calibri"/>
        <family val="2"/>
        <scheme val="minor"/>
      </rPr>
      <t xml:space="preserve">No interactions among genotype, weight change, and brain response to either tastes or smells were observed in CMA. Stepwise regression analyses: TaqIA (step 1) and parameter estimates from the </t>
    </r>
    <r>
      <rPr>
        <sz val="11"/>
        <color rgb="FFFF0000"/>
        <rFont val="Calibri"/>
        <family val="2"/>
        <scheme val="minor"/>
      </rPr>
      <t>right BLA</t>
    </r>
    <r>
      <rPr>
        <sz val="11"/>
        <color theme="1"/>
        <rFont val="Calibri"/>
        <family val="2"/>
        <scheme val="minor"/>
      </rPr>
      <t xml:space="preserve"> forM&gt;T Sated and F&gt;Ol Hungry (step 2) were regressed together against  BMI and, consistent with the SPM results, did not predict weight change (R2=0.06; p&gt;0.4 for both steps). However, the addition of the</t>
    </r>
    <r>
      <rPr>
        <sz val="11"/>
        <color rgb="FFFF0000"/>
        <rFont val="Calibri"/>
        <family val="2"/>
        <scheme val="minor"/>
      </rPr>
      <t xml:space="preserve"> genotype x BLA</t>
    </r>
    <r>
      <rPr>
        <sz val="11"/>
        <color theme="1"/>
        <rFont val="Calibri"/>
        <family val="2"/>
        <scheme val="minor"/>
      </rPr>
      <t xml:space="preserve"> response interaction term as a third step in the regression significantly improved model fit </t>
    </r>
    <r>
      <rPr>
        <sz val="11"/>
        <color rgb="FFFF0000"/>
        <rFont val="Calibri"/>
        <family val="2"/>
        <scheme val="minor"/>
      </rPr>
      <t>(R2=0.44; R2=0.38, F(2,23)=7.82, p=0.003).</t>
    </r>
  </si>
  <si>
    <r>
      <t xml:space="preserve">Association with circulating ghrelin: </t>
    </r>
    <r>
      <rPr>
        <sz val="11"/>
        <color theme="1"/>
        <rFont val="Calibri"/>
        <family val="2"/>
        <scheme val="minor"/>
      </rPr>
      <t xml:space="preserve">(n=25) At the hungry scan, average total ghrelin was not correlated with amygdala response to either the taste or smell of milkshake, nor were there interactions with TaqIA allele status. Average total ghrelin when hungry was also not correlated with  BMI in the whole group (r=0.30, p=0.15), or as a function of genotype (A1- : r=0.02,p=0.94, p=0.64; A1+ : r=0.46, p=0.13). Including
postprandial ghrelin response as a covariate in the analysis of the interaction among genotype,  BMI, and brain response to milkshake at the sated scan resulted in the significance of correlation in
BLA being reduced to trend level (ROI
analysis of M&gt;T Sated, A1-&gt;A1+ ; pFWE-peak=0.058). However, postprandial change in total ghrelin did not itself correlate with  BMI in either the whole sample (r=0.04, p=0.86) or as a function of genotype (A1- r=0.14, p=0.64; A1+ r=0.15, p=0.64). stepwise regression
analyses using extracted BLA parameter estimates showed that the interactions of TaqIA x BLA were still significant if ghrelin change was added (step4) </t>
    </r>
  </si>
  <si>
    <r>
      <rPr>
        <b/>
        <sz val="11"/>
        <color theme="1"/>
        <rFont val="Calibri"/>
        <family val="2"/>
        <scheme val="minor"/>
      </rPr>
      <t>Weight change and caudate response:</t>
    </r>
    <r>
      <rPr>
        <sz val="11"/>
        <color theme="1"/>
        <rFont val="Calibri"/>
        <family val="2"/>
        <scheme val="minor"/>
      </rPr>
      <t xml:space="preserve"> effect of genotype on relationship between caudate response to milkshake and weight gain, hungry scan; positive correlation with right caudate response and  BMI change in A1 carriers, but not noncarriers (</t>
    </r>
    <r>
      <rPr>
        <sz val="11"/>
        <color rgb="FFFF0000"/>
        <rFont val="Calibri"/>
        <family val="2"/>
        <scheme val="minor"/>
      </rPr>
      <t>ROI analysis of M&gt;T Hungry,
A1+&gt;A1- ; pFWE-peak=0.044</t>
    </r>
    <r>
      <rPr>
        <sz val="11"/>
        <color theme="1"/>
        <rFont val="Calibri"/>
        <family val="2"/>
        <scheme val="minor"/>
      </rPr>
      <t>).</t>
    </r>
  </si>
  <si>
    <r>
      <t>ROI analysis of HPC: strong genotype effect on bilateral hippocampus gray matter volumes - TT sig. decreased volumes (l</t>
    </r>
    <r>
      <rPr>
        <sz val="11"/>
        <color rgb="FFFF0000"/>
        <rFont val="Calibri"/>
        <family val="2"/>
        <scheme val="minor"/>
      </rPr>
      <t>eft: x = –24, y=6, z = –33, t(498) = 3.54, k = 188, P = 0.0002; right: x = 30, y = –12, z = –27, t(498) = 3.42, k = 1102, P = 0.0003</t>
    </r>
    <r>
      <rPr>
        <sz val="11"/>
        <color theme="1"/>
        <rFont val="Calibri"/>
        <family val="2"/>
        <scheme val="minor"/>
      </rPr>
      <t>)</t>
    </r>
  </si>
  <si>
    <r>
      <t xml:space="preserve">G x E (childhood maltreatment) not significant right hippocampus, F(1,302)=1.77, p=.18; left hippocampus: F(1,302)=.71, p=.40; G x G </t>
    </r>
    <r>
      <rPr>
        <sz val="11"/>
        <color rgb="FFFF0000"/>
        <rFont val="Calibri"/>
        <family val="2"/>
        <scheme val="minor"/>
      </rPr>
      <t>epistasis in Reelin gene</t>
    </r>
    <r>
      <rPr>
        <sz val="11"/>
        <color theme="1"/>
        <rFont val="Calibri"/>
        <family val="2"/>
        <scheme val="minor"/>
      </rPr>
      <t xml:space="preserve"> with rs7294919, rest not significant; just one SNP of the Reelin gene (rs2299403) reached the corrected significance level (r</t>
    </r>
    <r>
      <rPr>
        <sz val="11"/>
        <color rgb="FFFF0000"/>
        <rFont val="Calibri"/>
        <family val="2"/>
        <scheme val="minor"/>
      </rPr>
      <t>ight cluster; F(1,487)=12.72, p=.0004)</t>
    </r>
    <r>
      <rPr>
        <sz val="11"/>
        <color theme="1"/>
        <rFont val="Calibri"/>
        <family val="2"/>
        <scheme val="minor"/>
      </rPr>
      <t>. The main effect of TESC rs7294919 was only found in the group of rs2299403 GG homozygotes (N=346) and not in carriers of one or two T-alleles (N=147)</t>
    </r>
  </si>
  <si>
    <r>
      <t>ROI analysis of HPC: same direction (l</t>
    </r>
    <r>
      <rPr>
        <sz val="11"/>
        <color rgb="FFFF0000"/>
        <rFont val="Calibri"/>
        <family val="2"/>
        <scheme val="minor"/>
      </rPr>
      <t>eft: x = –26, y = –12, z = –29, t(717) = 4.63, k = 2233, P&lt;0.0001; right: x = 30, y = –13, z = –20, t(717) = 3.99, k = 1328, P&lt;0.0001</t>
    </r>
    <r>
      <rPr>
        <sz val="11"/>
        <color theme="1"/>
        <rFont val="Calibri"/>
        <family val="2"/>
        <scheme val="minor"/>
      </rPr>
      <t>)</t>
    </r>
  </si>
  <si>
    <r>
      <rPr>
        <b/>
        <sz val="11"/>
        <color theme="1"/>
        <rFont val="Calibri"/>
        <family val="2"/>
        <scheme val="minor"/>
      </rPr>
      <t>Block 1 overall accuracy</t>
    </r>
    <r>
      <rPr>
        <sz val="11"/>
        <color theme="1"/>
        <rFont val="Calibri"/>
        <family val="2"/>
        <scheme val="minor"/>
      </rPr>
      <t xml:space="preserve">: (screened, general)x(long, short) x (similar, dissimilar) </t>
    </r>
    <r>
      <rPr>
        <sz val="11"/>
        <color rgb="FFFF0000"/>
        <rFont val="Calibri"/>
        <family val="2"/>
        <scheme val="minor"/>
      </rPr>
      <t>main effect of DRD4 F(1,381)-4.26, p=.04, n2=.01</t>
    </r>
    <r>
      <rPr>
        <sz val="11"/>
        <color theme="1"/>
        <rFont val="Calibri"/>
        <family val="2"/>
        <scheme val="minor"/>
      </rPr>
      <t>, long (M</t>
    </r>
    <r>
      <rPr>
        <sz val="11"/>
        <rFont val="Calibri"/>
        <family val="2"/>
        <scheme val="minor"/>
      </rPr>
      <t>=73, SD=.11) more accurate than short (M=.70, SD=.12), main effect of Similarity F(1,381)=3.73, p&lt;.001, n2=.24</t>
    </r>
    <r>
      <rPr>
        <sz val="11"/>
        <color theme="1"/>
        <rFont val="Calibri"/>
        <family val="2"/>
        <scheme val="minor"/>
      </rPr>
      <t>, accuracy higher for similar (M=.78, SD=.15) vs. dissimilar exemplars (M.62, SD=.12); no effects of sample et</t>
    </r>
    <r>
      <rPr>
        <sz val="11"/>
        <rFont val="Calibri"/>
        <family val="2"/>
        <scheme val="minor"/>
      </rPr>
      <t>c.; main effect of DRD4 not significant within each sample; main effect of similarity</t>
    </r>
    <r>
      <rPr>
        <sz val="11"/>
        <color theme="1"/>
        <rFont val="Calibri"/>
        <family val="2"/>
        <scheme val="minor"/>
      </rPr>
      <t xml:space="preserve"> significant in DRD4 x Similarity ANOVA within general </t>
    </r>
    <r>
      <rPr>
        <sz val="11"/>
        <rFont val="Calibri"/>
        <family val="2"/>
        <scheme val="minor"/>
      </rPr>
      <t>F(1,185)=191.45, p&lt;.001, n2=.25; and screened F(1,196)=191.3,p&lt;.001, n2=.24</t>
    </r>
  </si>
  <si>
    <r>
      <rPr>
        <b/>
        <sz val="11"/>
        <color theme="1"/>
        <rFont val="Calibri"/>
        <family val="2"/>
        <scheme val="minor"/>
      </rPr>
      <t>Block 1computational modelling (salience and attention)</t>
    </r>
    <r>
      <rPr>
        <sz val="11"/>
        <color theme="1"/>
        <rFont val="Calibri"/>
        <family val="2"/>
        <scheme val="minor"/>
      </rPr>
      <t>: (long,short)x(screened, general)x(salient,minor); main effect of Feature f(1,381)=7.55, p&lt;.001, n2=.1; salient higher attentional weight than minor (Msalient=.15, Sdsalient=.19; Mminor=.05, Sdmnor=.08); main effect of Feature also in ANOVA in general F(1,185)=44.92, p&lt;.001, n2=.11; and screened F(1.196)=32.94, p&lt;0.001, n2=.09</t>
    </r>
  </si>
  <si>
    <r>
      <rPr>
        <b/>
        <sz val="11"/>
        <rFont val="Calibri"/>
        <family val="2"/>
        <scheme val="minor"/>
      </rPr>
      <t>Block 2 accuracy:</t>
    </r>
    <r>
      <rPr>
        <sz val="11"/>
        <color theme="1"/>
        <rFont val="Calibri"/>
        <family val="2"/>
        <scheme val="minor"/>
      </rPr>
      <t xml:space="preserve"> long (M.75, SD=.09) more accurace than short(M=.71, SD=.12); </t>
    </r>
    <r>
      <rPr>
        <sz val="11"/>
        <color rgb="FFFF0000"/>
        <rFont val="Calibri"/>
        <family val="2"/>
        <scheme val="minor"/>
      </rPr>
      <t>t(199)=2.05, p=.04, n2=.02</t>
    </r>
  </si>
  <si>
    <r>
      <rPr>
        <b/>
        <sz val="11"/>
        <rFont val="Calibri"/>
        <family val="2"/>
        <scheme val="minor"/>
      </rPr>
      <t>Block 2 computational modelling</t>
    </r>
    <r>
      <rPr>
        <b/>
        <sz val="11"/>
        <color theme="1"/>
        <rFont val="Calibri"/>
        <family val="2"/>
        <scheme val="minor"/>
      </rPr>
      <t xml:space="preserve">: </t>
    </r>
    <r>
      <rPr>
        <sz val="11"/>
        <color theme="1"/>
        <rFont val="Calibri"/>
        <family val="2"/>
        <scheme val="minor"/>
      </rPr>
      <t xml:space="preserve">(long, short)x(salient,minor), sig. main effect of Feature F(1,199)=40.20, p&lt;.001, n2=.11; </t>
    </r>
    <r>
      <rPr>
        <sz val="11"/>
        <color rgb="FFFF0000"/>
        <rFont val="Calibri"/>
        <family val="2"/>
        <scheme val="minor"/>
      </rPr>
      <t>sig. interaction feature and DRD4 - long more polarized attention than short: F(1,199)=4.23, p=.04, n2=.01;</t>
    </r>
    <r>
      <rPr>
        <sz val="11"/>
        <color theme="1"/>
        <rFont val="Calibri"/>
        <family val="2"/>
        <scheme val="minor"/>
      </rPr>
      <t xml:space="preserve"> t tests within feature type between DRD4 not sig. for salient features but sig. for minor features t(199)=2.18, p=.03, n2=.02</t>
    </r>
  </si>
  <si>
    <r>
      <t>errors result in span score of 0 long (M=50.00, SD=12.97)  better than short (M=41.94, SD=16.31),</t>
    </r>
    <r>
      <rPr>
        <sz val="11"/>
        <color rgb="FFFF0000"/>
        <rFont val="Calibri"/>
        <family val="2"/>
        <scheme val="minor"/>
      </rPr>
      <t xml:space="preserve"> t(191)=2.63, p=.009, n2=.04; </t>
    </r>
    <r>
      <rPr>
        <sz val="11"/>
        <color theme="1"/>
        <rFont val="Calibri"/>
        <family val="2"/>
        <scheme val="minor"/>
      </rPr>
      <t xml:space="preserve">proportion of coorect recall letters long (M=.85, SD=.15) than short (M=.80, SD=.08), </t>
    </r>
    <r>
      <rPr>
        <sz val="11"/>
        <color rgb="FFFF0000"/>
        <rFont val="Calibri"/>
        <family val="2"/>
        <scheme val="minor"/>
      </rPr>
      <t>t(191)=2.09, p=.04, n2=.02</t>
    </r>
  </si>
  <si>
    <r>
      <t xml:space="preserve">ANOVA main effect of genotype </t>
    </r>
    <r>
      <rPr>
        <sz val="11"/>
        <color rgb="FFFF0000"/>
        <rFont val="Calibri"/>
        <family val="2"/>
        <scheme val="minor"/>
      </rPr>
      <t>F(1,1040)=4.46, p=.04, np2=.01;</t>
    </r>
    <r>
      <rPr>
        <sz val="11"/>
        <color theme="1"/>
        <rFont val="Calibri"/>
        <family val="2"/>
        <scheme val="minor"/>
      </rPr>
      <t xml:space="preserve"> bilateral greater amygdala volume in C allele carriers (1808.81+-7.11mm3) vs. TT (1787.10+-7.41mm3; absence genotype-hemisphere interaction </t>
    </r>
    <r>
      <rPr>
        <sz val="11"/>
        <rFont val="Calibri"/>
        <family val="2"/>
        <scheme val="minor"/>
      </rPr>
      <t xml:space="preserve">F(1,1040=.81, p=.37,np2&lt;.01; </t>
    </r>
    <r>
      <rPr>
        <sz val="11"/>
        <color theme="1"/>
        <rFont val="Calibri"/>
        <family val="2"/>
        <scheme val="minor"/>
      </rPr>
      <t>right amygdala F(1,1040)=5.12,p=.02,np2=.01 not sig. for left amygdala F(1,1040)=2.56,p=.11,np2&lt;.01; caudate, GP, nucleus accumbens, putamen, and thalamus did not display relations with genotype all F&lt;2,56 and p&gt;.07</t>
    </r>
  </si>
  <si>
    <r>
      <t xml:space="preserve">Amygdala Left F(1,1040)=2.56; np2&lt; 0.01; p=0.11; </t>
    </r>
    <r>
      <rPr>
        <sz val="11"/>
        <color rgb="FFFF0000"/>
        <rFont val="Calibri"/>
        <family val="2"/>
        <scheme val="minor"/>
      </rPr>
      <t>Amygdala Right F(1,1040)=5.12, np2=0.01; p=0.02</t>
    </r>
    <r>
      <rPr>
        <sz val="11"/>
        <color theme="1"/>
        <rFont val="Calibri"/>
        <family val="2"/>
        <scheme val="minor"/>
      </rPr>
      <t>; HPC Left F(1,1040)&lt;0.01; np2&lt;0,01; p=0.97; HPC Right F(1,1040)&lt;0.01;np2&lt;0.01; p=0.96; Thalamus Left F(1,1040)=2.70;np2&lt;0.01;p=0.10; Thalamus Right F(1,1040)=0.50;np2&lt;0.01;p=0.48; Caudate Left F(1,1040)=1.31;np2&lt;0.01;p=0.25;Caudate Right F(1,1040)=2.91;np2&lt;0.01;p=0.09; Putamen Left F(1,1040)=0.13;np2&lt;0.01; p=0.72; Putamen Right F(1,1040)=0.07;np2&lt;0.01; p=0.79; Globus Pallidus Left F(1,1040)=0.16;np2&lt;0.01;p=0.69; Globus Pallidus Right F(1,1040)=0.31;np2&lt;0.01; p=0.58; Nucleus Accumbens Left F(1,1040)=0.30;np2&lt;0.01; p=0.59; Nucleus Accumbens Right F(1,1040)=0.91;mp2&lt;0.01; p=0.34</t>
    </r>
  </si>
  <si>
    <r>
      <t>ANOVA main effect of genotype</t>
    </r>
    <r>
      <rPr>
        <sz val="11"/>
        <color rgb="FFFF0000"/>
        <rFont val="Calibri"/>
        <family val="2"/>
        <scheme val="minor"/>
      </rPr>
      <t xml:space="preserve"> F(1,98)=8.31,p=.0048, np2=.08;</t>
    </r>
    <r>
      <rPr>
        <sz val="11"/>
        <color theme="1"/>
        <rFont val="Calibri"/>
        <family val="2"/>
        <scheme val="minor"/>
      </rPr>
      <t xml:space="preserve"> higher bilateral amygdala activity in C allele carriers (.68+-.04) vs TT (.51+-.05); absence genotype-hemisphere interaction F(1,98)=.61,p=.44,np2=.006;</t>
    </r>
    <r>
      <rPr>
        <sz val="11"/>
        <color rgb="FFFF0000"/>
        <rFont val="Calibri"/>
        <family val="2"/>
        <scheme val="minor"/>
      </rPr>
      <t xml:space="preserve"> sig in right amygdala F(1,98)=7.91,p=.006,np2=.08; and left amygdala F(1,98)=6.31,p=.01,np2=.06</t>
    </r>
    <r>
      <rPr>
        <sz val="11"/>
        <color theme="1"/>
        <rFont val="Calibri"/>
        <family val="2"/>
        <scheme val="minor"/>
      </rPr>
      <t xml:space="preserve">; after partialling out left and righht amygdala volume main effect of genotype still </t>
    </r>
    <r>
      <rPr>
        <sz val="11"/>
        <color rgb="FFFF0000"/>
        <rFont val="Calibri"/>
        <family val="2"/>
        <scheme val="minor"/>
      </rPr>
      <t>sig. F(1,95)=6.93,p=.01,np2=.07;</t>
    </r>
    <r>
      <rPr>
        <sz val="11"/>
        <color theme="1"/>
        <rFont val="Calibri"/>
        <family val="2"/>
        <scheme val="minor"/>
      </rPr>
      <t xml:space="preserve"> </t>
    </r>
  </si>
  <si>
    <r>
      <rPr>
        <b/>
        <sz val="11"/>
        <color theme="1"/>
        <rFont val="Calibri"/>
        <family val="2"/>
        <scheme val="minor"/>
      </rPr>
      <t>healthy:</t>
    </r>
    <r>
      <rPr>
        <sz val="11"/>
        <color theme="1"/>
        <rFont val="Calibri"/>
        <family val="2"/>
        <scheme val="minor"/>
      </rPr>
      <t xml:space="preserve">  Thermal sensory detection thresholds depend on DRD2 gene 957C&gt;T polymorphism in healthy subjects (significant main effect of genotype [ANOVA] on cool detection thresholds [</t>
    </r>
    <r>
      <rPr>
        <sz val="11"/>
        <color rgb="FFFF0000"/>
        <rFont val="Calibri"/>
        <family val="2"/>
        <scheme val="minor"/>
      </rPr>
      <t>CDT; F2,18 = 4.04, P = .0357</t>
    </r>
    <r>
      <rPr>
        <sz val="11"/>
        <color theme="1"/>
        <rFont val="Calibri"/>
        <family val="2"/>
        <scheme val="minor"/>
      </rPr>
      <t>], warm detection threshold [</t>
    </r>
    <r>
      <rPr>
        <sz val="11"/>
        <color rgb="FFFF0000"/>
        <rFont val="Calibri"/>
        <family val="2"/>
        <scheme val="minor"/>
      </rPr>
      <t>WDT; F2,24 = 4.18, P = .0277</t>
    </r>
    <r>
      <rPr>
        <sz val="11"/>
        <color theme="1"/>
        <rFont val="Calibri"/>
        <family val="2"/>
        <scheme val="minor"/>
      </rPr>
      <t>], heat pain detection threshold [</t>
    </r>
    <r>
      <rPr>
        <sz val="11"/>
        <color rgb="FFFF0000"/>
        <rFont val="Calibri"/>
        <family val="2"/>
        <scheme val="minor"/>
      </rPr>
      <t>HPT; F2,22 = 3.65, P = .0428]</t>
    </r>
    <r>
      <rPr>
        <sz val="11"/>
        <color theme="1"/>
        <rFont val="Calibri"/>
        <family val="2"/>
        <scheme val="minor"/>
      </rPr>
      <t>, and cold pain detection threshold [</t>
    </r>
    <r>
      <rPr>
        <sz val="11"/>
        <color rgb="FFFF0000"/>
        <rFont val="Calibri"/>
        <family val="2"/>
        <scheme val="minor"/>
      </rPr>
      <t>CPT; F2,14 = 3.86, P = .0462</t>
    </r>
    <r>
      <rPr>
        <sz val="11"/>
        <color theme="1"/>
        <rFont val="Calibri"/>
        <family val="2"/>
        <scheme val="minor"/>
      </rPr>
      <t>]) at baseline measurements before rTMS). thresholds are lowest, indicating highest thermal and pain sensitivity in TT homozygotes, whereas carriers of C allele seem to be less sensitive to thermal stimuli. Neither ROC AUC nor response criterion sig assocaited with polymorphism; The genotype effects on traditional sensory thresholds were, independent of COMT Val158Met polymorphism. Only for the cold pain threshold was there an interaction effect between DRD2 957C&gt;T and COMT Val158Met polymorphisms (</t>
    </r>
    <r>
      <rPr>
        <sz val="11"/>
        <color rgb="FFFF0000"/>
        <rFont val="Calibri"/>
        <family val="2"/>
        <scheme val="minor"/>
      </rPr>
      <t>F4,14 = 4.13, P = .0204</t>
    </r>
    <r>
      <rPr>
        <sz val="11"/>
        <color theme="1"/>
        <rFont val="Calibri"/>
        <family val="2"/>
        <scheme val="minor"/>
      </rPr>
      <t>). The cold pain detection thresholds were lowest (increased cold pain sensitivity) in subjects concurrently homozygous for TT and MetMet, but post hoc pairwise comparisons not sig. Although there was no Val158Met and 957C&gt;T interaction effect on ROC AUC, the index of sensory discriminability, these 2 dopamine system–related polymorphisms interacted on the subjective response criterion (</t>
    </r>
    <r>
      <rPr>
        <sz val="11"/>
        <color rgb="FFFF0000"/>
        <rFont val="Calibri"/>
        <family val="2"/>
        <scheme val="minor"/>
      </rPr>
      <t>F4,17 = 4.13, P = .0167)</t>
    </r>
    <r>
      <rPr>
        <sz val="11"/>
        <color theme="1"/>
        <rFont val="Calibri"/>
        <family val="2"/>
        <scheme val="minor"/>
      </rPr>
      <t xml:space="preserve">. The smaller the numerical value of the subject’s response criterion, the more easily the person rates different levels of warm and hot stimuli as painful. The subject’s response criterion was lowest in subjects with a combination of ‘‘pain-sensitive’’ TT and MetMet genotypes, but in post hoc pairwise not sig. COMT no independent main effects.
</t>
    </r>
  </si>
  <si>
    <r>
      <rPr>
        <b/>
        <sz val="11"/>
        <color theme="1"/>
        <rFont val="Calibri"/>
        <family val="2"/>
        <scheme val="minor"/>
      </rPr>
      <t>rTMS healthy</t>
    </r>
    <r>
      <rPr>
        <sz val="11"/>
        <color theme="1"/>
        <rFont val="Calibri"/>
        <family val="2"/>
        <scheme val="minor"/>
      </rPr>
      <t>: rTMS provided to S1 cortex altered heat pain detection threshold only in healthy TT (</t>
    </r>
    <r>
      <rPr>
        <sz val="11"/>
        <color rgb="FFFF0000"/>
        <rFont val="Calibri"/>
        <family val="2"/>
        <scheme val="minor"/>
      </rPr>
      <t>F6,24 = 3.78, P = .0086 for the interaction effect of time and 957C&gt;T genotype</t>
    </r>
    <r>
      <rPr>
        <sz val="11"/>
        <color theme="1"/>
        <rFont val="Calibri"/>
        <family val="2"/>
        <scheme val="minor"/>
      </rPr>
      <t>). The initially low mean heat pain detection threshold in subjects with TT genotype increased immediately after rTMS and stayed at the higher level for the whole follow up time of 2 h. rTMS provided to S1 did not change the heat pain detection thresholds in C allele carriers, who have higher tonic dopamine levels in the striatum than subjects with TT. Genotype did not seem to influence effects of sham stimulation or rTMS effects at the M1 cortical target site, where the rTMS-induced decrease of ROC AUC was not associated with DRD2 957C&gt;T or COMT Val158Met polymorphisms.</t>
    </r>
  </si>
  <si>
    <r>
      <rPr>
        <b/>
        <sz val="11"/>
        <color theme="1"/>
        <rFont val="Calibri"/>
        <family val="2"/>
        <scheme val="minor"/>
      </rPr>
      <t>case</t>
    </r>
    <r>
      <rPr>
        <sz val="11"/>
        <color theme="1"/>
        <rFont val="Calibri"/>
        <family val="2"/>
        <scheme val="minor"/>
      </rPr>
      <t>: prevalence of TT higher in neuropathic facial pain (50%) compared to normal finnish population (</t>
    </r>
    <r>
      <rPr>
        <sz val="11"/>
        <color rgb="FFFF0000"/>
        <rFont val="Calibri"/>
        <family val="2"/>
        <scheme val="minor"/>
      </rPr>
      <t>37%, P=.0191</t>
    </r>
    <r>
      <rPr>
        <sz val="11"/>
        <color theme="1"/>
        <rFont val="Calibri"/>
        <family val="2"/>
        <scheme val="minor"/>
      </rPr>
      <t>); TT more severe pain (NRS mean 5.8, SE 0.5) than CT (mean 2.9, SE 0.9), or CC (mean 4.4, SE 0.7) (</t>
    </r>
    <r>
      <rPr>
        <sz val="11"/>
        <color rgb="FFFF0000"/>
        <rFont val="Calibri"/>
        <family val="2"/>
        <scheme val="minor"/>
      </rPr>
      <t>P=.0351 main effect genotype</t>
    </r>
    <r>
      <rPr>
        <sz val="11"/>
        <color theme="1"/>
        <rFont val="Calibri"/>
        <family val="2"/>
        <scheme val="minor"/>
      </rPr>
      <t>); pain not associated with COMT</t>
    </r>
  </si>
  <si>
    <r>
      <t xml:space="preserve">prior GWAS Van Deerlin et al., 2010; van der Zee et al., 2011 </t>
    </r>
    <r>
      <rPr>
        <sz val="11"/>
        <color rgb="FFFF0000"/>
        <rFont val="Calibri"/>
        <family val="2"/>
        <scheme val="minor"/>
      </rPr>
      <t>(Odds ratio for diseease: 1.3)</t>
    </r>
  </si>
  <si>
    <r>
      <t>multiple linear regression models, with age and sex as covariates; corrected for multiple testing</t>
    </r>
    <r>
      <rPr>
        <sz val="11"/>
        <color rgb="FFFF0000"/>
        <rFont val="Calibri"/>
        <family val="2"/>
        <scheme val="minor"/>
      </rPr>
      <t xml:space="preserve"> (p&lt;1.14 x 10^-3)</t>
    </r>
  </si>
  <si>
    <r>
      <rPr>
        <b/>
        <sz val="11"/>
        <color theme="1"/>
        <rFont val="Calibri"/>
        <family val="2"/>
        <scheme val="minor"/>
      </rPr>
      <t xml:space="preserve"> Cortical Gray Matter</t>
    </r>
    <r>
      <rPr>
        <sz val="11"/>
        <color theme="1"/>
        <rFont val="Calibri"/>
        <family val="2"/>
        <scheme val="minor"/>
      </rPr>
      <t xml:space="preserve">: A allele associated with lower gray matter volume of the left superior temporal gyrus (β = 88.8 μL per allele, 95% confidence interval [CI] =  44.8 to 132.8, p = 7.64 x10-5); angular gyrus (β =  66.1 μL per allele, 95% CI =  27.1 to  105.2, p = 9.14 x 10-4); middle temporal gyrus (β =  76.9 μL per allele, 95% CI =  31.1 to  122.8, p = 1.00 x 10-3); right superior temporal gyrus (β =  67.1 μL per allele, 95% CI =  20.2 to  114.0, p = 5.08 x 10-3) [Post hoc stratification for self-reported handedness revealed an opposite pattern in left-handed persons (n = 195), with a larger effect size for the right superior temporal gyrus]; lower volume of the right supramarginal gyrus (β =  64.3 μL per allele, 95% CI =  26.9 to  101.6, p = 7.51 x 10-4) - </t>
    </r>
    <r>
      <rPr>
        <sz val="11"/>
        <color rgb="FFFF0000"/>
        <rFont val="Calibri"/>
        <family val="2"/>
        <scheme val="minor"/>
      </rPr>
      <t>full list of all 75 regions in SUupplementary material - highest p: left superior temporal sulcus p=7.64 x 10^-5; beta=-88.8</t>
    </r>
  </si>
  <si>
    <r>
      <rPr>
        <b/>
        <sz val="11"/>
        <color theme="1"/>
        <rFont val="Calibri"/>
        <family val="2"/>
        <scheme val="minor"/>
      </rPr>
      <t>Commissural Tract</t>
    </r>
    <r>
      <rPr>
        <sz val="11"/>
        <color theme="1"/>
        <rFont val="Calibri"/>
        <family val="2"/>
        <scheme val="minor"/>
      </rPr>
      <t xml:space="preserve">s: associated with CC volume in an anterior-to-posterior gradient, with risk allele carriers having lower volumes toward the posterior
pole; smaller AC cross-sectional area (β =  .167 mm2
per allele, 95% CI =  .087 to  .248, p = 4.90 x 10-5) </t>
    </r>
    <r>
      <rPr>
        <sz val="11"/>
        <color rgb="FFFF0000"/>
        <rFont val="Calibri"/>
        <family val="2"/>
        <scheme val="minor"/>
      </rPr>
      <t>see Table 2</t>
    </r>
  </si>
  <si>
    <r>
      <rPr>
        <b/>
        <sz val="11"/>
        <color theme="1"/>
        <rFont val="Calibri"/>
        <family val="2"/>
        <scheme val="minor"/>
      </rPr>
      <t>Age x SNP</t>
    </r>
    <r>
      <rPr>
        <sz val="11"/>
        <color theme="1"/>
        <rFont val="Calibri"/>
        <family val="2"/>
        <scheme val="minor"/>
      </rPr>
      <t>: larger effect of rs1990622 with increasing age but was significant only for the anterior commissure cross-sectional area (p = .004).</t>
    </r>
  </si>
  <si>
    <r>
      <rPr>
        <b/>
        <sz val="11"/>
        <color theme="1"/>
        <rFont val="Calibri"/>
        <family val="2"/>
        <scheme val="minor"/>
      </rPr>
      <t>Age</t>
    </r>
    <r>
      <rPr>
        <sz val="11"/>
        <color theme="1"/>
        <rFont val="Calibri"/>
        <family val="2"/>
        <scheme val="minor"/>
      </rPr>
      <t xml:space="preserve">: 65-69 GG=44.4%, GA=44.3%, AA=64.7%; 70-74 GG=35.4%, GA=31.7%, AA=23.5%; 75-79 GG=16.5%, GA=17.2%, AA=11.8%; 80+ GG=3.7%, GA=6.9%, AA=0%; P=0.106; </t>
    </r>
    <r>
      <rPr>
        <b/>
        <sz val="11"/>
        <color theme="1"/>
        <rFont val="Calibri"/>
        <family val="2"/>
        <scheme val="minor"/>
      </rPr>
      <t xml:space="preserve">High school education: </t>
    </r>
    <r>
      <rPr>
        <sz val="11"/>
        <color theme="1"/>
        <rFont val="Calibri"/>
        <family val="2"/>
        <scheme val="minor"/>
      </rPr>
      <t xml:space="preserve">GG=48.1%, GA=47.1%, AA=52.9%; P=0.880; </t>
    </r>
    <r>
      <rPr>
        <b/>
        <sz val="11"/>
        <color theme="1"/>
        <rFont val="Calibri"/>
        <family val="2"/>
        <scheme val="minor"/>
      </rPr>
      <t>Marital status married</t>
    </r>
    <r>
      <rPr>
        <sz val="11"/>
        <color theme="1"/>
        <rFont val="Calibri"/>
        <family val="2"/>
        <scheme val="minor"/>
      </rPr>
      <t xml:space="preserve">: GG=85.6%, GA=84.3%, AA=94.1%; P=0.516; </t>
    </r>
    <r>
      <rPr>
        <b/>
        <sz val="11"/>
        <color theme="1"/>
        <rFont val="Calibri"/>
        <family val="2"/>
        <scheme val="minor"/>
      </rPr>
      <t>Physically active:</t>
    </r>
    <r>
      <rPr>
        <sz val="11"/>
        <color theme="1"/>
        <rFont val="Calibri"/>
        <family val="2"/>
        <scheme val="minor"/>
      </rPr>
      <t xml:space="preserve"> GG=22.6%, GA=21.4%, AA=41.2%; P=0.167;</t>
    </r>
    <r>
      <rPr>
        <b/>
        <sz val="11"/>
        <color theme="1"/>
        <rFont val="Calibri"/>
        <family val="2"/>
        <scheme val="minor"/>
      </rPr>
      <t xml:space="preserve"> Smoking history</t>
    </r>
    <r>
      <rPr>
        <sz val="11"/>
        <color theme="1"/>
        <rFont val="Calibri"/>
        <family val="2"/>
        <scheme val="minor"/>
      </rPr>
      <t xml:space="preserve">: Never GG=35.1, GA=35.9%, AA=35.3%; Past GG=57.1%, GA=55.7%, AA=58.8%; Current GG=7.8%, GA=8.4%, aa=5.9%; </t>
    </r>
    <r>
      <rPr>
        <b/>
        <sz val="11"/>
        <color theme="1"/>
        <rFont val="Calibri"/>
        <family val="2"/>
        <scheme val="minor"/>
      </rPr>
      <t>Daily alcohol consumption</t>
    </r>
    <r>
      <rPr>
        <sz val="11"/>
        <color rgb="FFFF0000"/>
        <rFont val="Calibri"/>
        <family val="2"/>
        <scheme val="minor"/>
      </rPr>
      <t xml:space="preserve"> 0 GG=31.8%, GA=39.7%, AA=58.8%; 1 GG=31.3%, GA=31.3%, AA=41.2%; 2 GG=18.2%, GA=19.1%, AA=0%; 3 GG=8.2%, GA=5.7%, AA=0%; 4 GG=5.8%, GA=2.3%, AA=0; 5 GG=2.1%, GA=1.9%, AA=0%; 6 GG=1.5%, GA=0%, AA=0%; 7+ GG=0.9%, GA=0%, AA=%; P=0.010; </t>
    </r>
    <r>
      <rPr>
        <b/>
        <sz val="11"/>
        <color theme="1"/>
        <rFont val="Calibri"/>
        <family val="2"/>
        <scheme val="minor"/>
      </rPr>
      <t xml:space="preserve">BMI: </t>
    </r>
    <r>
      <rPr>
        <sz val="11"/>
        <color theme="1"/>
        <rFont val="Calibri"/>
        <family val="2"/>
        <scheme val="minor"/>
      </rPr>
      <t xml:space="preserve">Normal GG=31.4%, GA=30.3, AA=35.3; underweight GG=0.3%, GA=0.4%, AA=0%; Overweight GG=52.6%, GA=52.9%, AA=58.8%; Obese GG=15.7%, GA=16.5%, AA=5.9%; P=0.957; </t>
    </r>
    <r>
      <rPr>
        <b/>
        <sz val="11"/>
        <color theme="1"/>
        <rFont val="Calibri"/>
        <family val="2"/>
        <scheme val="minor"/>
      </rPr>
      <t xml:space="preserve">Cardiovascular diseases: </t>
    </r>
    <r>
      <rPr>
        <sz val="11"/>
        <color theme="1"/>
        <rFont val="Calibri"/>
        <family val="2"/>
        <scheme val="minor"/>
      </rPr>
      <t>GG=24.5%, GA=18.8%, AA=23.5%; P=0.124</t>
    </r>
  </si>
  <si>
    <r>
      <rPr>
        <sz val="11"/>
        <color rgb="FFFF0000"/>
        <rFont val="Calibri"/>
        <family val="2"/>
        <scheme val="minor"/>
      </rPr>
      <t>OR</t>
    </r>
    <r>
      <rPr>
        <sz val="11"/>
        <color theme="1"/>
        <rFont val="Calibri"/>
        <family val="2"/>
        <scheme val="minor"/>
      </rPr>
      <t xml:space="preserve"> of being a regular drinker among carriers of A allele was</t>
    </r>
    <r>
      <rPr>
        <sz val="11"/>
        <color rgb="FFFF0000"/>
        <rFont val="Calibri"/>
        <family val="2"/>
        <scheme val="minor"/>
      </rPr>
      <t xml:space="preserve"> 0.68</t>
    </r>
    <r>
      <rPr>
        <sz val="11"/>
        <color theme="1"/>
        <rFont val="Calibri"/>
        <family val="2"/>
        <scheme val="minor"/>
      </rPr>
      <t xml:space="preserve"> (95% CI=0.53, 0.87); </t>
    </r>
    <r>
      <rPr>
        <sz val="11"/>
        <color rgb="FFFF0000"/>
        <rFont val="Calibri"/>
        <family val="2"/>
        <scheme val="minor"/>
      </rPr>
      <t>Mean number of standard drinks consumed per week AA M=1.8 SD=2.7; GA M=5.9 SD=7.5; GG M=8.5 SD=10.9; F=10.45, P&lt;0.001 (GG&gt;AA, GG&gt;GA)</t>
    </r>
  </si>
  <si>
    <r>
      <t xml:space="preserve">parental disciplining scores ll M=20.8(6.6, ss M=24.4(4.5), U=305.5, p=0.04 ;sensorimotor domain, visuomotor precision: number of pencil lifts ll M=6.8(7.2) ss M=3.2(5.4), U=318.5, </t>
    </r>
    <r>
      <rPr>
        <sz val="11"/>
        <color rgb="FFFF0000"/>
        <rFont val="Calibri"/>
        <family val="2"/>
        <scheme val="minor"/>
      </rPr>
      <t xml:space="preserve">p=0.0013 </t>
    </r>
    <r>
      <rPr>
        <sz val="11"/>
        <color theme="1"/>
        <rFont val="Calibri"/>
        <family val="2"/>
        <scheme val="minor"/>
      </rPr>
      <t xml:space="preserve">(p&lt;0.0024 considered significant, Bonferroni corrected for multiple testing); whole-brain analysis gray and white matter no difference when modulated, normalized values (FWE whole-brain corrected &gt;0.05) BUT </t>
    </r>
    <r>
      <rPr>
        <sz val="11"/>
        <color rgb="FFFF0000"/>
        <rFont val="Calibri"/>
        <family val="2"/>
        <scheme val="minor"/>
      </rPr>
      <t>difference in nonmodulated, normalized gray matter volumes,</t>
    </r>
    <r>
      <rPr>
        <sz val="11"/>
        <color theme="1"/>
        <rFont val="Calibri"/>
        <family val="2"/>
        <scheme val="minor"/>
      </rPr>
      <t xml:space="preserve"> bilaterally in postcentral somatosensory cortex, maternal ss higher gray matter density, similar in left (t(73)=5.83, p=0.007, FWE whole-brain corrected; cluster size 1398 voxels) andthe right hemisphere (t(73)=5.47, p=0.02, FWE whole-braincorrected; cluster size 455 voxels)</t>
    </r>
  </si>
  <si>
    <r>
      <rPr>
        <b/>
        <sz val="11"/>
        <color theme="1"/>
        <rFont val="Calibri"/>
        <family val="2"/>
        <scheme val="minor"/>
      </rPr>
      <t>BOLD response to Anger Control Induction:</t>
    </r>
    <r>
      <rPr>
        <sz val="11"/>
        <color theme="1"/>
        <rFont val="Calibri"/>
        <family val="2"/>
        <scheme val="minor"/>
      </rPr>
      <t xml:space="preserve"> sig. interaction genotype x time dACC F(1, 36) = 4.83, </t>
    </r>
    <r>
      <rPr>
        <sz val="11"/>
        <color rgb="FFFF0000"/>
        <rFont val="Calibri"/>
        <family val="2"/>
        <scheme val="minor"/>
      </rPr>
      <t>p = .034</t>
    </r>
    <r>
      <rPr>
        <sz val="11"/>
        <color theme="1"/>
        <rFont val="Calibri"/>
        <family val="2"/>
        <scheme val="minor"/>
      </rPr>
      <t>, η2 = .12; (MMAOA-L = 0.30 vs. MMAOA-H = −.02), t(36) = 2.26, SE = 0.14,</t>
    </r>
    <r>
      <rPr>
        <sz val="11"/>
        <color rgb="FFFF0000"/>
        <rFont val="Calibri"/>
        <family val="2"/>
        <scheme val="minor"/>
      </rPr>
      <t xml:space="preserve"> p = .03</t>
    </r>
    <r>
      <rPr>
        <sz val="11"/>
        <color theme="1"/>
        <rFont val="Calibri"/>
        <family val="2"/>
        <scheme val="minor"/>
      </rPr>
      <t xml:space="preserve">, d = 0.74; each hemisphere left dACC, F(1, 36) = 5.79, </t>
    </r>
    <r>
      <rPr>
        <sz val="11"/>
        <color rgb="FFFF0000"/>
        <rFont val="Calibri"/>
        <family val="2"/>
        <scheme val="minor"/>
      </rPr>
      <t>p = .021, η2 = .14</t>
    </r>
    <r>
      <rPr>
        <sz val="11"/>
        <color theme="1"/>
        <rFont val="Calibri"/>
        <family val="2"/>
        <scheme val="minor"/>
      </rPr>
      <t xml:space="preserve">; (MMAOA-L = 0.36 vs. MMAOA-H = 0.04), t(36) = 2.47, SE = 0.13, </t>
    </r>
    <r>
      <rPr>
        <sz val="11"/>
        <color rgb="FFFF0000"/>
        <rFont val="Calibri"/>
        <family val="2"/>
        <scheme val="minor"/>
      </rPr>
      <t>p = .019, d = 0.79</t>
    </r>
    <r>
      <rPr>
        <sz val="11"/>
        <color theme="1"/>
        <rFont val="Calibri"/>
        <family val="2"/>
        <scheme val="minor"/>
      </rPr>
      <t>; not sig. in dACC right F(1, 36) = 3.38, p = .074, η2 = .09; sig. interaction genotype x time amygdala F(1, 36) = 4.09, p = .051, η2 = .10; (MMAOA-L = 0.30 vs. MMAOA-H = −.04), t(36) = 2.08, SE = 0.16, p = .045, d = 0.68; right amygdala F(1, 36) = 4.58, p = .039, η2 = .11; (MMAOA-L = 0.26 vs. MMAOA-H = −0.12), t(36) = 2.20, SE = 0.17, p = .035, d = 0.70; not sig. in left amygdala ps &gt; .19</t>
    </r>
  </si>
  <si>
    <r>
      <rPr>
        <b/>
        <sz val="11"/>
        <color theme="1"/>
        <rFont val="Calibri"/>
        <family val="2"/>
        <scheme val="minor"/>
      </rPr>
      <t>mediation anlaysis</t>
    </r>
    <r>
      <rPr>
        <sz val="11"/>
        <color theme="1"/>
        <rFont val="Calibri"/>
        <family val="2"/>
        <scheme val="minor"/>
      </rPr>
      <t xml:space="preserve">: anger control correlation with bilateral dACC r(34) = .31, p = .035; but not anger and bilateral dACC r(36) = .16, p = .17; sig. mediating effect og dACC activation between MAOA and anger control 95% confidence interval that did not include zero, estimate = .116, SE = .095, CI [0.003, 0.412]; anger control and dACC correlation with bilateral amygdala r(34) = .36, p = .015; but not anger r(36) = .16, p = .17; amygdala also mediated effect MAOA on anger control 95% confidence interval that did not include zero, estimate = .138, SE = 0.098, CI [0.003, 0.416]; </t>
    </r>
  </si>
  <si>
    <r>
      <rPr>
        <b/>
        <sz val="11"/>
        <color theme="1"/>
        <rFont val="Calibri"/>
        <family val="2"/>
        <scheme val="minor"/>
      </rPr>
      <t>functional connectivity</t>
    </r>
    <r>
      <rPr>
        <sz val="11"/>
        <color theme="1"/>
        <rFont val="Calibri"/>
        <family val="2"/>
        <scheme val="minor"/>
      </rPr>
      <t>: sig. genotypextime interaction on strength of connectivity bilateral dACC and amygdala F(1, 36) = 5.70,</t>
    </r>
    <r>
      <rPr>
        <sz val="11"/>
        <color rgb="FFFF0000"/>
        <rFont val="Calibri"/>
        <family val="2"/>
        <scheme val="minor"/>
      </rPr>
      <t xml:space="preserve"> p = .022</t>
    </r>
    <r>
      <rPr>
        <sz val="11"/>
        <color theme="1"/>
        <rFont val="Calibri"/>
        <family val="2"/>
        <scheme val="minor"/>
      </rPr>
      <t>, η2 = .14; no differences in conncetivity at baseline t(36) = −1.04, p = .31; but after provocation (MMAOA-L = 0.41 vs. MMAOA-H = 0.28), t(36) = 2.05, SE = 0.06, p = .047, d = 0.6; de-coupling of dACC-amygdala connectivity across time in MAOA-H t(21) = 2.67, p = .014, d = 0.57; no change in connectivity in MAOA-L t&lt;1; sig. Genotype x Time interaction on strength of connectivity for coactivation in amygdala and visual cortex - same pattern as dACC-Amygdala F(1, 36) = 4.38, p = .043, η2 = .11. However,
no follow-up tests were significant, ps &gt; .07. There were no effects of genotype on strength of connectivity between the dACC and visual cortex, Fs &lt; 1.</t>
    </r>
  </si>
  <si>
    <r>
      <rPr>
        <b/>
        <sz val="11"/>
        <color theme="1"/>
        <rFont val="Calibri"/>
        <family val="2"/>
        <scheme val="minor"/>
      </rPr>
      <t>PiB group and APOE e4 carriers</t>
    </r>
    <r>
      <rPr>
        <sz val="11"/>
        <color theme="1"/>
        <rFont val="Calibri"/>
        <family val="2"/>
        <scheme val="minor"/>
      </rPr>
      <t xml:space="preserve">: PiB&lt;1.4, n=53 (16%); PiB=1.4-1.5, n=17 (23%); PiB=1.5-2.0, n=49 (42%); PiB&gt;2.0, n=29 (41%); based on x2 test comparing groups </t>
    </r>
    <r>
      <rPr>
        <sz val="11"/>
        <color rgb="FFFF0000"/>
        <rFont val="Calibri"/>
        <family val="2"/>
        <scheme val="minor"/>
      </rPr>
      <t>p&lt;0.001</t>
    </r>
  </si>
  <si>
    <r>
      <rPr>
        <b/>
        <sz val="11"/>
        <color theme="1"/>
        <rFont val="Calibri"/>
        <family val="2"/>
        <scheme val="minor"/>
      </rPr>
      <t>Genotyope &amp; Amygdala cue-reactivity:</t>
    </r>
    <r>
      <rPr>
        <sz val="11"/>
        <color theme="1"/>
        <rFont val="Calibri"/>
        <family val="2"/>
        <scheme val="minor"/>
      </rPr>
      <t xml:space="preserve"> G allele sig. lower alcohol-cue-induced activation than AA in right amygdala (t(79)=3.39; kE = 78, peak voxel [MNI] = [26,  2,  20], pFWE-corr. = .008); and left amygdala (t(79) = 2.95; kE = 15, peak voxel [MNI] = [ 16, 8,  14], pFWE-corr. = .024); AA increased activation alcohol vs neutral cues in right amygdala (t(34) = 3.74; kE = 24, peak
voxel [MNI] = [26, 0,  20], pFWE-corr. =.006), and left amygdala (t(34) = 4.42; kE = 52, peak voxel [MNI] = [ 18,  4,  16],</t>
    </r>
    <r>
      <rPr>
        <sz val="11"/>
        <color rgb="FFFF0000"/>
        <rFont val="Calibri"/>
        <family val="2"/>
        <scheme val="minor"/>
      </rPr>
      <t xml:space="preserve"> pFWE-corr. = .001</t>
    </r>
    <r>
      <rPr>
        <sz val="11"/>
        <color theme="1"/>
        <rFont val="Calibri"/>
        <family val="2"/>
        <scheme val="minor"/>
      </rPr>
      <t>);  G allele carriers no significant difference between neutral cues and alcohol cues</t>
    </r>
  </si>
  <si>
    <r>
      <rPr>
        <b/>
        <sz val="11"/>
        <color theme="1"/>
        <rFont val="Calibri"/>
        <family val="2"/>
        <scheme val="minor"/>
      </rPr>
      <t>Amygdala cue-reactivity and relapse behaviour:</t>
    </r>
    <r>
      <rPr>
        <sz val="11"/>
        <color theme="1"/>
        <rFont val="Calibri"/>
        <family val="2"/>
        <scheme val="minor"/>
      </rPr>
      <t xml:space="preserve"> modulatory influence of GATA4 - cox regression testing for influence of bilateral amygdala reactivity during cue exposure, genotype and interaction on time to relapse to heavy drinking: sign. Interaction between amygdala reactivity and genotype p=.018</t>
    </r>
  </si>
  <si>
    <r>
      <rPr>
        <b/>
        <sz val="11"/>
        <color theme="1"/>
        <rFont val="Calibri"/>
        <family val="2"/>
        <scheme val="minor"/>
      </rPr>
      <t>Volumetric analyses:</t>
    </r>
    <r>
      <rPr>
        <sz val="11"/>
        <color theme="1"/>
        <rFont val="Calibri"/>
        <family val="2"/>
        <scheme val="minor"/>
      </rPr>
      <t xml:space="preserve"> not sig. realted to total ventricular volume at baseline; after 1 year CC greater ventriculare expansion(p=0.003, F-ratio=9.135 for rs11136000; p=0.002, F-ratio=9.313 for rs1532278), 2 year same: (p=0.020, F-ratio=5.470 for rs11136000; p=0.032, F-ratio=4.632 for rs1532278); no sig. genotype by diagnosis interaction (p= 0.629 and p=0.900 for rs11136000; p=0.562 and p=0.842 for rs1532278, at 1- and 2-year follow-ups, respectively)</t>
    </r>
  </si>
  <si>
    <r>
      <rPr>
        <b/>
        <sz val="11"/>
        <color theme="1"/>
        <rFont val="Calibri"/>
        <family val="2"/>
        <scheme val="minor"/>
      </rPr>
      <t>surface based analyses</t>
    </r>
    <r>
      <rPr>
        <sz val="11"/>
        <color theme="1"/>
        <rFont val="Calibri"/>
        <family val="2"/>
        <scheme val="minor"/>
      </rPr>
      <t>: genotype at the rs11136000 and rs1532278 loci was not significantly related to
ventricular surface morphology at baseline. 3D surface statistics revealed that the effects of CLU
genotype on regional patterns of lateral ventricle morphology,
after controlling for age, sex, and diagnosis, did not pass FDR
correction at the 12 month (N=622) or 24 month follow-up
(N=479); analyses comparing carriers of at least one protective allele at both loci (coded “2”), carriers of at least one protective allele at either locus (coded “1”), and participants with two risk alleles at both loci (coded “0”). 3D surface statistics revealed significant (FDR-corrected at q   0.05) combined effects of CLU
and ApoE genotypes on regional patterns of lateral ventricle morphology at the 1- and 2-year follow-ups, after controlling for sex,
age, and dementia status. At 12 month follow-up, carrying more
protective alleles was associated with less ventricular surface expansion. That is, the risk alleles were associated with regions of expansion across most of the ventricular surface, especially around the body of the lateral ventricles. At the 24 month follow-up, the same pattern was observed, though the effects appeared slightly less significant than at the 12 month
follow-up, consistent with the volumetric analyses.</t>
    </r>
  </si>
  <si>
    <r>
      <t xml:space="preserve"> neonates (twins used as one measure so for analysis n=186) - </t>
    </r>
    <r>
      <rPr>
        <sz val="11"/>
        <color rgb="FFFF0000"/>
        <rFont val="Calibri"/>
        <family val="2"/>
        <scheme val="minor"/>
      </rPr>
      <t>ethnicity white</t>
    </r>
  </si>
  <si>
    <r>
      <rPr>
        <b/>
        <sz val="11"/>
        <color theme="1"/>
        <rFont val="Calibri"/>
        <family val="2"/>
        <scheme val="minor"/>
      </rPr>
      <t>Neuropsychological testing</t>
    </r>
    <r>
      <rPr>
        <sz val="11"/>
        <color theme="1"/>
        <rFont val="Calibri"/>
        <family val="2"/>
        <scheme val="minor"/>
      </rPr>
      <t xml:space="preserve">: </t>
    </r>
  </si>
  <si>
    <r>
      <t xml:space="preserve">SZ n=48; controls n=63; </t>
    </r>
    <r>
      <rPr>
        <sz val="11"/>
        <color rgb="FFFF0000"/>
        <rFont val="Calibri"/>
        <family val="2"/>
        <scheme val="minor"/>
      </rPr>
      <t>mixed ethnicity</t>
    </r>
  </si>
  <si>
    <r>
      <t xml:space="preserve">Chromosome: 1:98037378; RefSNP Alleles: G/T; Ancestral Allele: G; GMAF: G=0.2; MAF: </t>
    </r>
    <r>
      <rPr>
        <sz val="11"/>
        <color rgb="FFFF0000"/>
        <rFont val="Calibri"/>
        <family val="2"/>
        <scheme val="minor"/>
      </rPr>
      <t>G=0.21 (1000 Genome, Phase 3, European)</t>
    </r>
  </si>
  <si>
    <r>
      <t xml:space="preserve">left DLPFC hyper activation for SIRP load 3 probes in SZ (t(100)=1.91, p=0.03);  TT hyperactivation compared to GG/GT (t(100)=2.17, </t>
    </r>
    <r>
      <rPr>
        <sz val="11"/>
        <color rgb="FFFF0000"/>
        <rFont val="Calibri"/>
        <family val="2"/>
        <scheme val="minor"/>
      </rPr>
      <t>p=0.02)</t>
    </r>
    <r>
      <rPr>
        <sz val="11"/>
        <color theme="1"/>
        <rFont val="Calibri"/>
        <family val="2"/>
        <scheme val="minor"/>
      </rPr>
      <t>; analysis of additive effects of genotype and diagnosis showed sig. effect of genotype (TT&gt;GG/GT: t(99)=1.99, p=0.03) and diagnosis (SZ&gt;controls: t(99)=1.77, p&lt;0.05) on left DLPFC activation; no significant interaction effect between diagnosis and genotype (t(89)=0.25, p=0.36)</t>
    </r>
  </si>
  <si>
    <r>
      <t>behavioural analysis: lower WM performance (t(96)=-3.5</t>
    </r>
    <r>
      <rPr>
        <sz val="11"/>
        <rFont val="Calibri"/>
        <family val="2"/>
        <scheme val="minor"/>
      </rPr>
      <t>, p=0.0007) and longer response times (t(76)=40.95, p=0.0005</t>
    </r>
    <r>
      <rPr>
        <sz val="11"/>
        <color theme="1"/>
        <rFont val="Calibri"/>
        <family val="2"/>
        <scheme val="minor"/>
      </rPr>
      <t>) on SIRP load 3 in SZ (LSMean±StdErr=89%±1.3; 951ms±27) compared to controls (94%±1.0; 837ms±20); but WM and response time similar for genotypes 92%±0.8 versus 92%±1.4 and 869ms±17 versus 918ms±29 for TT and GG/GT genotype</t>
    </r>
  </si>
  <si>
    <r>
      <t xml:space="preserve">n=11 (AD); n=14 (amnestic midl cognitive impairment; n=14 controls; </t>
    </r>
    <r>
      <rPr>
        <sz val="11"/>
        <color rgb="FFFF0000"/>
        <rFont val="Calibri"/>
        <family val="2"/>
        <scheme val="minor"/>
      </rPr>
      <t>ethnicity?</t>
    </r>
  </si>
  <si>
    <r>
      <t xml:space="preserve">main effect of APOE e4 carrier satus: Hipp cm2 </t>
    </r>
    <r>
      <rPr>
        <sz val="11"/>
        <color rgb="FFFF0000"/>
        <rFont val="Calibri"/>
        <family val="2"/>
        <scheme val="minor"/>
      </rPr>
      <t>p=0.003</t>
    </r>
    <r>
      <rPr>
        <sz val="11"/>
        <color theme="1"/>
        <rFont val="Calibri"/>
        <family val="2"/>
        <scheme val="minor"/>
      </rPr>
      <t>; CA1-SRLM mm p=0.014; delayed memory p=0.008; recognition memory p=0.006; interaction effect APOE e4 and diagnosis at p&lt;0.05 for ERC, CA1-SP and memory</t>
    </r>
  </si>
  <si>
    <r>
      <t xml:space="preserve">APOE e4 carriers lower scores noncorriers on CDR-Sum of Boxes </t>
    </r>
    <r>
      <rPr>
        <sz val="11"/>
        <color rgb="FFFF0000"/>
        <rFont val="Calibri"/>
        <family val="2"/>
        <scheme val="minor"/>
      </rPr>
      <t>(p&lt;0.001)</t>
    </r>
    <r>
      <rPr>
        <sz val="11"/>
        <color theme="1"/>
        <rFont val="Calibri"/>
        <family val="2"/>
        <scheme val="minor"/>
      </rPr>
      <t>, MINI (</t>
    </r>
    <r>
      <rPr>
        <sz val="11"/>
        <color rgb="FFFF0000"/>
        <rFont val="Calibri"/>
        <family val="2"/>
        <scheme val="minor"/>
      </rPr>
      <t>p=0.005</t>
    </r>
    <r>
      <rPr>
        <sz val="11"/>
        <color theme="1"/>
        <rFont val="Calibri"/>
        <family val="2"/>
        <scheme val="minor"/>
      </rPr>
      <t>) and fucntional activities questionnaire (</t>
    </r>
    <r>
      <rPr>
        <sz val="11"/>
        <color rgb="FFFF0000"/>
        <rFont val="Calibri"/>
        <family val="2"/>
        <scheme val="minor"/>
      </rPr>
      <t>p&lt;0.001</t>
    </r>
    <r>
      <rPr>
        <sz val="11"/>
        <color theme="1"/>
        <rFont val="Calibri"/>
        <family val="2"/>
        <scheme val="minor"/>
      </rPr>
      <t xml:space="preserve"> (2x3 ANOVA)</t>
    </r>
  </si>
  <si>
    <r>
      <t>NRG3 genotype on right VLPFC function, whereby during working memory, greater activation was observed in rs10748842 minor allele (C) carriers compared with risk-associated T allele homozygotes (</t>
    </r>
    <r>
      <rPr>
        <sz val="11"/>
        <color rgb="FFFF0000"/>
        <rFont val="Calibri"/>
        <family val="2"/>
        <scheme val="minor"/>
      </rPr>
      <t>MNI: x 39, y 33, z  3; T 4.8; PFWE 0.008</t>
    </r>
    <r>
      <rPr>
        <sz val="11"/>
        <color theme="1"/>
        <rFont val="Calibri"/>
        <family val="2"/>
        <scheme val="minor"/>
      </rPr>
      <t>, whole-brain corrected; Fig. 1A). This finding was counter to our hypothesis.</t>
    </r>
  </si>
  <si>
    <r>
      <t>Whereas this combined group analysis did not identify a main effect of genotype, it revealed a highly significant
genotype by group interaction in right DLPFC physiology in a separate locale (</t>
    </r>
    <r>
      <rPr>
        <sz val="11"/>
        <color rgb="FFFF0000"/>
        <rFont val="Calibri"/>
        <family val="2"/>
        <scheme val="minor"/>
      </rPr>
      <t>MNI: x   33, y   39, z   15; T   4.6;
PFWE   0.016,</t>
    </r>
    <r>
      <rPr>
        <sz val="11"/>
        <color theme="1"/>
        <rFont val="Calibri"/>
        <family val="2"/>
        <scheme val="minor"/>
      </rPr>
      <t xml:space="preserve"> whole-brain corrected; Fig. 1C). The extracted peak signals in right DLPFC (Fig. 1B) suggested relatively greater activation in C allele carriers in the siblings and healthy
volunteers, an allele association that appeared to be reversed in
patients.</t>
    </r>
  </si>
  <si>
    <r>
      <rPr>
        <sz val="11"/>
        <color rgb="FFFF0000"/>
        <rFont val="Calibri"/>
        <family val="2"/>
        <scheme val="minor"/>
      </rPr>
      <t>last part;</t>
    </r>
    <r>
      <rPr>
        <sz val="11"/>
        <color theme="1"/>
        <rFont val="Calibri"/>
        <family val="2"/>
        <scheme val="minor"/>
      </rPr>
      <t xml:space="preserve"> healthy; fat intake; amygdala volume</t>
    </r>
  </si>
  <si>
    <r>
      <rPr>
        <sz val="11"/>
        <color rgb="FFFF0000"/>
        <rFont val="Calibri"/>
        <family val="2"/>
        <scheme val="minor"/>
      </rPr>
      <t>second part  of first GWAS</t>
    </r>
    <r>
      <rPr>
        <sz val="11"/>
        <color theme="1"/>
        <rFont val="Calibri"/>
        <family val="2"/>
        <scheme val="minor"/>
      </rPr>
      <t>; secondary analyses of most significant SNP associated with fat intake; analysis of energy, carbohydrate and protein intakes, adiposity and amygdala volume</t>
    </r>
  </si>
  <si>
    <r>
      <t xml:space="preserve">fat intake: </t>
    </r>
    <r>
      <rPr>
        <sz val="11"/>
        <color rgb="FFFF0000"/>
        <rFont val="Calibri"/>
        <family val="2"/>
        <scheme val="minor"/>
      </rPr>
      <t>p=5.2 x 10^-6;</t>
    </r>
    <r>
      <rPr>
        <sz val="11"/>
        <color theme="1"/>
        <rFont val="Calibri"/>
        <family val="2"/>
        <scheme val="minor"/>
      </rPr>
      <t xml:space="preserve"> carbohydrate intake: p=2 x 10^-3; body weight: p=0.02; body fat: p=0.02; BMI: p=0.01; Amygdala volume p=0.02</t>
    </r>
  </si>
  <si>
    <r>
      <t xml:space="preserve">n1: Prefrontal function: n=85 healthy; n=17 MD; n2: Amygdala: n=298; </t>
    </r>
    <r>
      <rPr>
        <sz val="11"/>
        <color rgb="FFFF0000"/>
        <rFont val="Calibri"/>
        <family val="2"/>
        <scheme val="minor"/>
      </rPr>
      <t>mixed ethnicity</t>
    </r>
  </si>
  <si>
    <r>
      <rPr>
        <sz val="11"/>
        <color rgb="FFFF0000"/>
        <rFont val="Calibri"/>
        <family val="2"/>
        <scheme val="minor"/>
      </rPr>
      <t>only part of study relevant</t>
    </r>
    <r>
      <rPr>
        <sz val="11"/>
        <color theme="1"/>
        <rFont val="Calibri"/>
        <family val="2"/>
        <scheme val="minor"/>
      </rPr>
      <t>; medial prefrontal cortex activity (negative words in emotional word task); amygdala reactivity to threat</t>
    </r>
  </si>
  <si>
    <r>
      <t>single task related region used for hypothesis testing (avergae percent signal change); [</t>
    </r>
    <r>
      <rPr>
        <sz val="11"/>
        <color rgb="FFFF0000"/>
        <rFont val="Calibri"/>
        <family val="2"/>
        <scheme val="minor"/>
      </rPr>
      <t>Initial power analyses indicated that, with group sizes of 63 and 39, we would have 80–90% power to detect a standardized effect size of 0.3 with a 5% two-tailed type I error rate]</t>
    </r>
    <r>
      <rPr>
        <sz val="11"/>
        <rFont val="Calibri"/>
        <family val="2"/>
        <scheme val="minor"/>
      </rPr>
      <t xml:space="preserve">; univariate general model with percent signal change as dependent variable and genotype as between subjects factor (including sex, age, cuacasian race and MDD as covariates); linear regression to test additive genetic model; ANOVA model to test gene effects in whole brain; </t>
    </r>
  </si>
  <si>
    <r>
      <t xml:space="preserve">GG more responsive to negative words than A carriers </t>
    </r>
    <r>
      <rPr>
        <sz val="11"/>
        <color rgb="FFFF0000"/>
        <rFont val="Calibri"/>
        <family val="2"/>
        <scheme val="minor"/>
      </rPr>
      <t>p = 0.008, F1,96 = 7.2</t>
    </r>
    <r>
      <rPr>
        <sz val="11"/>
        <color theme="1"/>
        <rFont val="Calibri"/>
        <family val="2"/>
        <scheme val="minor"/>
      </rPr>
      <t xml:space="preserve">; additive genetic model with all three genotype groups similar </t>
    </r>
    <r>
      <rPr>
        <sz val="11"/>
        <color rgb="FFFF0000"/>
        <rFont val="Calibri"/>
        <family val="2"/>
        <scheme val="minor"/>
      </rPr>
      <t>p = 0.01, β = 0.27</t>
    </r>
    <r>
      <rPr>
        <sz val="11"/>
        <color theme="1"/>
        <rFont val="Calibri"/>
        <family val="2"/>
        <scheme val="minor"/>
      </rPr>
      <t>, adjusted for gender, self-reported ethnicity and MDD diagnosis); no gene effect survived conservative whole brain correctio, uncorrected effects in task realted medial prefrontal cortex region and adjacent pregenual anterior cingulate cortex.</t>
    </r>
  </si>
  <si>
    <r>
      <t>regression analyses with gender and ethnicity and psychopathology as covariates showed sig. effect of genotype on magnitude of threat-related amygdala activity (</t>
    </r>
    <r>
      <rPr>
        <sz val="11"/>
        <color rgb="FFFF0000"/>
        <rFont val="Calibri"/>
        <family val="2"/>
        <scheme val="minor"/>
      </rPr>
      <t>overall model: F(7,290) = 2.87, p = 0.006, R2=0.065; standardized beta = 0.13, t = 2.25, p = 0.025; change in the overall model after accounting for covariates, ΔF(1,290) = 5.08, ΔR2 = 0.016)</t>
    </r>
    <r>
      <rPr>
        <sz val="11"/>
        <color theme="1"/>
        <rFont val="Calibri"/>
        <family val="2"/>
        <scheme val="minor"/>
      </rPr>
      <t>. A carriers had heightened left amygdala reactivity compared to G homozygotes; similar when all three genotypes used positive linear relationship between the number of A alleles (GG n = 177; AG n = 96; AA n = 25) and left amygdala reactivity (</t>
    </r>
    <r>
      <rPr>
        <sz val="11"/>
        <color rgb="FFFF0000"/>
        <rFont val="Calibri"/>
        <family val="2"/>
        <scheme val="minor"/>
      </rPr>
      <t>overall model: F(7,290) = 2.83, p = .007, R2=0.064; rs1390938 standardized beta = 0.13, t = 2.20, p = .029; change in the overall model after accounting for covariates, ΔF(1,290) = 4.82, ΔR2 = 0.016</t>
    </r>
    <r>
      <rPr>
        <sz val="11"/>
        <color theme="1"/>
        <rFont val="Calibri"/>
        <family val="2"/>
        <scheme val="minor"/>
      </rPr>
      <t>).  ; no sig. overall effect right amygdala (overall model: F(7,290) = 2.10, p = 0.04, R2 = 0.048,; Thr136Ile standardized beta = 0.07, t = 1.17, p = 0.24).; but in right (not left) amygdala no. A alleles was nearly ass. with reduced amygdala habituation: (standardized beta = 0.11, t = 1.89, p = 0.06; Supplementary Fig. 3)</t>
    </r>
  </si>
  <si>
    <r>
      <rPr>
        <sz val="11"/>
        <color rgb="FFFF0000"/>
        <rFont val="Calibri"/>
        <family val="2"/>
        <scheme val="minor"/>
      </rPr>
      <t xml:space="preserve">last part; </t>
    </r>
    <r>
      <rPr>
        <sz val="11"/>
        <color theme="1"/>
        <rFont val="Calibri"/>
        <family val="2"/>
        <scheme val="minor"/>
      </rPr>
      <t>healthy, fMRI, memory task</t>
    </r>
  </si>
  <si>
    <r>
      <t>healthy sample; stop signal task;</t>
    </r>
    <r>
      <rPr>
        <sz val="11"/>
        <color rgb="FFFF0000"/>
        <rFont val="Calibri"/>
        <family val="2"/>
        <scheme val="minor"/>
      </rPr>
      <t xml:space="preserve"> high density single nucleotid polymorphism mapping across autosomal catecholamine genes</t>
    </r>
    <r>
      <rPr>
        <sz val="11"/>
        <color theme="1"/>
        <rFont val="Calibri"/>
        <family val="2"/>
        <scheme val="minor"/>
      </rPr>
      <t xml:space="preserve">; fMRI; </t>
    </r>
  </si>
  <si>
    <r>
      <rPr>
        <sz val="11"/>
        <color rgb="FFFF0000"/>
        <rFont val="Calibri"/>
        <family val="2"/>
        <scheme val="minor"/>
      </rPr>
      <t>second part;</t>
    </r>
    <r>
      <rPr>
        <sz val="11"/>
        <color theme="1"/>
        <rFont val="Calibri"/>
        <family val="2"/>
        <scheme val="minor"/>
      </rPr>
      <t xml:space="preserve"> clinical; SZ; case-control;healthy; cognitive control task and cingulate cortex</t>
    </r>
  </si>
  <si>
    <t>Included_study_no.</t>
  </si>
  <si>
    <t>Covert aggression all p=0.023; boys p=0.024; girls=NS</t>
  </si>
  <si>
    <t xml:space="preserve">largest effect </t>
  </si>
  <si>
    <t>largest eff gp1</t>
  </si>
  <si>
    <t>largest eff gp2</t>
  </si>
  <si>
    <t>largest eff gp3</t>
  </si>
  <si>
    <t>largest eff N1</t>
  </si>
  <si>
    <t>largest eff N2</t>
  </si>
  <si>
    <t>largest eff N3</t>
  </si>
  <si>
    <t>largest eff mean1</t>
  </si>
  <si>
    <t>largest eff mean2</t>
  </si>
  <si>
    <t>largest eff mean3</t>
  </si>
  <si>
    <t>largest eff SD1</t>
  </si>
  <si>
    <t>largest eff SD2</t>
  </si>
  <si>
    <t>largest eff SD3</t>
  </si>
  <si>
    <t>AA</t>
  </si>
  <si>
    <t>GA/GG</t>
  </si>
  <si>
    <t>GA</t>
  </si>
  <si>
    <t>GG</t>
  </si>
  <si>
    <t>3 groups</t>
  </si>
  <si>
    <t>2 gps</t>
  </si>
  <si>
    <t>pooled SD</t>
  </si>
  <si>
    <t>comments</t>
  </si>
  <si>
    <t>TWINS so conventional stats will be wrong because ignores dependencies: their ananlysis allowed for this</t>
  </si>
  <si>
    <t>Covert aggression all p=NS; boys p=0.012; girls=NS</t>
  </si>
  <si>
    <t>SNP known to be functional</t>
  </si>
  <si>
    <t>Established reliability of phenotype</t>
  </si>
  <si>
    <t>Prespecified analysis only</t>
  </si>
  <si>
    <t>No double dipping</t>
  </si>
  <si>
    <t>Adequate correction for multiple tests</t>
  </si>
  <si>
    <t>Consistent with prior literature</t>
  </si>
  <si>
    <t>Authors</t>
  </si>
  <si>
    <t>Title</t>
  </si>
  <si>
    <t>Phenotypes</t>
  </si>
  <si>
    <t>DOI</t>
  </si>
  <si>
    <t>Antisocial behaviour (2 questionnaires giving 4 measures)</t>
  </si>
  <si>
    <t>Study conclusion</t>
  </si>
  <si>
    <t>Sample</t>
  </si>
  <si>
    <t>Discovery sample (D) Child and Adolescent Twin Study in Sweden (CATSS); Replication sample (R) Twin Study of Child and Adolescent Development (TCHAD); age 16-20</t>
  </si>
  <si>
    <t>Polymorphisms</t>
  </si>
  <si>
    <t>Study -&gt;</t>
  </si>
  <si>
    <t>Power to detect effect size of .1</t>
  </si>
  <si>
    <t>power to detect ES of .1</t>
  </si>
  <si>
    <t>Sample size</t>
  </si>
  <si>
    <t>D=2372; R=1232</t>
  </si>
  <si>
    <t>Journal</t>
  </si>
  <si>
    <t>Mol Psychiat</t>
  </si>
  <si>
    <t>Antisocial behaviour as continuous traits measured through self assessment questionnaired (Life History of aggression LHA for CATSS; self-reported delinquency SRD in both samples); measures: 1 Self reported delinquency (SRD, overt aggression, covert aggression); 2 Life history of aggression (LHA, aggression, antisocial/consequence)</t>
  </si>
  <si>
    <t>study</t>
  </si>
  <si>
    <t>x</t>
  </si>
  <si>
    <t>SNProw1</t>
  </si>
  <si>
    <t>SNProwN</t>
  </si>
  <si>
    <t>All gps</t>
  </si>
  <si>
    <t>Specific comments</t>
  </si>
  <si>
    <t>Undergraduate students  (psychology course)</t>
  </si>
  <si>
    <t>Orig row</t>
  </si>
  <si>
    <t>Replication sample</t>
  </si>
  <si>
    <t>Effect size corresponding to 80% power</t>
  </si>
  <si>
    <t>Conclusion from abstract</t>
  </si>
  <si>
    <t>J Cog Neuro</t>
  </si>
  <si>
    <t>Electrophysiological signals mediated a relationship between the DRD4-521T dopamine receptor genotype and substance misuse</t>
  </si>
  <si>
    <t>OXTR</t>
  </si>
  <si>
    <t xml:space="preserve">Two-step sequential learning task (Daw et al., 2011) and transfer phase to measure model-based and model-free learning (goal-directed vs. habitual behaviour);  </t>
  </si>
  <si>
    <t>J Neurosci</t>
  </si>
  <si>
    <t>Healthy subjects (mean age= 22.6, SD = 4.7) recruited from  Brown University and Providence, Rhode Island community</t>
  </si>
  <si>
    <t>Biol Psychiat</t>
  </si>
  <si>
    <t>Specifically, we observed decreased hippocampal activity during contextual, but not during cued, fear conditioning in female participants carrying the PAC1-R risk allele. We observed no significant differences in conditionability for skin conductance responses, verbal reports, or activation in other brain regions between the genotype groups in female participant</t>
  </si>
  <si>
    <t>Discovery sample (D) training schools of rescue  workers M=22.23, SD=4.07 age; replication sample (R) M=21.43, SD=2.37 age</t>
  </si>
  <si>
    <t>171 (105 Caucasian)</t>
  </si>
  <si>
    <r>
      <t xml:space="preserve">Found </t>
    </r>
    <r>
      <rPr>
        <i/>
        <sz val="8"/>
        <color theme="1"/>
        <rFont val="Calibri"/>
        <family val="2"/>
        <scheme val="minor"/>
      </rPr>
      <t>COMT</t>
    </r>
    <r>
      <rPr>
        <sz val="8"/>
        <color theme="1"/>
        <rFont val="Calibri"/>
        <family val="2"/>
        <scheme val="minor"/>
      </rPr>
      <t xml:space="preserve"> Met alleles and </t>
    </r>
    <r>
      <rPr>
        <i/>
        <sz val="8"/>
        <color theme="1"/>
        <rFont val="Calibri"/>
        <family val="2"/>
        <scheme val="minor"/>
      </rPr>
      <t>DARPP-32</t>
    </r>
    <r>
      <rPr>
        <sz val="8"/>
        <color theme="1"/>
        <rFont val="Calibri"/>
        <family val="2"/>
        <scheme val="minor"/>
      </rPr>
      <t xml:space="preserve"> T alleles  significantly correlated (Spearman ρ = 0.19, </t>
    </r>
    <r>
      <rPr>
        <i/>
        <sz val="8"/>
        <color theme="1"/>
        <rFont val="Calibri"/>
        <family val="2"/>
        <scheme val="minor"/>
      </rPr>
      <t>p</t>
    </r>
    <r>
      <rPr>
        <sz val="8"/>
        <color theme="1"/>
        <rFont val="Calibri"/>
        <family val="2"/>
        <scheme val="minor"/>
      </rPr>
      <t xml:space="preserve"> = 0.015) - seems to have covaried for this. But why wld they be correlated? (Query for Dianne)
Also race as a covariate</t>
    </r>
  </si>
  <si>
    <t xml:space="preserve">Study  </t>
  </si>
  <si>
    <t>CC</t>
  </si>
  <si>
    <t>CT</t>
  </si>
  <si>
    <t>TT</t>
  </si>
  <si>
    <t>power to detect r of .1</t>
  </si>
  <si>
    <t>Sandbox</t>
  </si>
  <si>
    <t>genotype</t>
  </si>
  <si>
    <t>mean</t>
  </si>
  <si>
    <t>SD</t>
  </si>
  <si>
    <t>sumY</t>
  </si>
  <si>
    <t>sumY2</t>
  </si>
  <si>
    <t>sumXY</t>
  </si>
  <si>
    <t>sumX</t>
  </si>
  <si>
    <t>sumX2</t>
  </si>
  <si>
    <t>all</t>
  </si>
  <si>
    <t>by formula</t>
  </si>
  <si>
    <t>unstandardized b</t>
  </si>
  <si>
    <t>b</t>
  </si>
  <si>
    <t>r</t>
  </si>
  <si>
    <t>R2</t>
  </si>
  <si>
    <t>Study 1</t>
  </si>
  <si>
    <t>Two group comparison</t>
  </si>
  <si>
    <t>computed</t>
  </si>
  <si>
    <t>Study 3</t>
  </si>
  <si>
    <t xml:space="preserve">Measures from experimental two-step sequential learning task
4 measures from 2-step task
2 measures from transfer phase
1 measure reflecting difference between model-based and model-free
Table 3 suggests total of 6 comparisons </t>
  </si>
  <si>
    <t>need for correction for multiple tests?</t>
  </si>
  <si>
    <t>6 multilevel logistic regressions with 2 SNPs</t>
  </si>
  <si>
    <t>Comment</t>
  </si>
  <si>
    <t>Correction for multiple tests</t>
  </si>
  <si>
    <t>calculated effect size r</t>
  </si>
  <si>
    <t>Previous results with this SNP</t>
  </si>
  <si>
    <t>DARPP-32 T alleles associated with learning from positive relative to negative outcomes</t>
  </si>
  <si>
    <t>SNP</t>
  </si>
  <si>
    <t>Yes</t>
  </si>
  <si>
    <t>4 measures of antisocial behaviour (2 questionnaires each giving 2 measures)</t>
  </si>
  <si>
    <t>alleles</t>
  </si>
  <si>
    <t>Statistical analysis/covariates</t>
  </si>
  <si>
    <t>Linear mixed effect model, adjusting for dependencies between twins</t>
  </si>
  <si>
    <t>*Calculations in cols D-F</t>
  </si>
  <si>
    <t>**Computed in r, 2-sided alpha = .05</t>
  </si>
  <si>
    <t>Literature review reports studies finding some links to antisocial behaviour, but mostly to more autistic/social cognition aspects, whereas here results are on aggression. Previous studies on aggression found association with other  SNPs, and only after alcohol.</t>
  </si>
  <si>
    <t>Power to detect effect size (r) of .10 **</t>
  </si>
  <si>
    <t>Structural equation modeling</t>
  </si>
  <si>
    <t>Not reported</t>
  </si>
  <si>
    <t xml:space="preserve">all </t>
  </si>
  <si>
    <t xml:space="preserve">No </t>
  </si>
  <si>
    <t>By formula</t>
  </si>
  <si>
    <t>DARPP-32</t>
  </si>
  <si>
    <t xml:space="preserve"> Prefrontal function  indexed by polymorphism in COMT gene, affecting dopamine levels in  prefrontal cortex. Striatal function  indexed by  gene coding for DARPP-32, which is densely expressed in the striatum where it is necessary for synaptic plasticity</t>
  </si>
  <si>
    <t>NB; complex multifactorial model, looked for indirect effects; Only correlations considered in this table</t>
  </si>
  <si>
    <t>**Computed using R script, 2-sided alpha = .05</t>
  </si>
  <si>
    <t>General linear model fixed effects analyses</t>
  </si>
  <si>
    <r>
      <t>Reduced left sided HPC activation during late acquistion in female carriers of the PAC1-R</t>
    </r>
    <r>
      <rPr>
        <sz val="11"/>
        <color rgb="FFFF0000"/>
        <rFont val="Calibri"/>
        <family val="2"/>
        <scheme val="minor"/>
      </rPr>
      <t xml:space="preserve"> (t = 4.92; p &lt; .001)</t>
    </r>
  </si>
  <si>
    <t>GC</t>
  </si>
  <si>
    <t>fMRI BOLD response in L and R hippocampus and amygdala; skin conductance response in 2 intervals; ratings of arousal and emotional valence of CS+ and CS-</t>
  </si>
  <si>
    <t>General linear model fixed effects analyses, gender included</t>
  </si>
  <si>
    <t>authors contacted</t>
  </si>
  <si>
    <t>Discovery: Sib pairs from subset of Mid South Tobacco Family study; Replication in case-control sample</t>
  </si>
  <si>
    <t>3-step procedure: univariate test of each variant, then weighted sum statistic for variants grouped by genomic region, then unified test combining effects of common and rare variants</t>
  </si>
  <si>
    <t>D = 400</t>
  </si>
  <si>
    <t>Smoking status (smokers or non-smokers), and FTND scores (light smokers: FTND &lt; 4 or heavy smokers: FTND 4).</t>
  </si>
  <si>
    <t>30 targeted genes, which included nAChR subunit genes and several neurotransmitter receptor and metabolism genes.</t>
  </si>
  <si>
    <t>Almost all of these genes have been reported by our or other research groups to be associated with at least one ND measure in either AA or EA samples.</t>
  </si>
  <si>
    <t>3-step procedure: univariate regression test of each variant (test for additive, recessive and dominant models), then weighted sum statistic for variants grouped by genomic region, then unified test combining effects of common and rare variants. Sample divided by ethic group (AA or EA).</t>
  </si>
  <si>
    <t>rs1051730 in CHRNA3 nominally associated with smoking status in AA subsample under the recessive model, p = 0.0016 , but does not survive Bonferroni correction</t>
  </si>
  <si>
    <t>Discovery: Sib pairs from subset of Mid South Tobacco Family study; Half AA and half EA ethnicity, 50% smokers. Replication in case-control sample</t>
  </si>
  <si>
    <t>Query for authors</t>
  </si>
  <si>
    <t>Author contact date</t>
  </si>
  <si>
    <t>Author reply date</t>
  </si>
  <si>
    <t xml:space="preserve">Author reply  </t>
  </si>
  <si>
    <t>Frank et al 2007 PNAS</t>
  </si>
  <si>
    <t>Frank et al 2009 Nature Neuroscience</t>
  </si>
  <si>
    <t>Doll et al 2011 JNeurosci</t>
  </si>
  <si>
    <t>Cockburn et al 2014 Neuron</t>
  </si>
  <si>
    <t>Cavanagh et al 2014 Nature Communications</t>
  </si>
  <si>
    <t>from Michael Frank</t>
  </si>
  <si>
    <t>there appears to be an error in the description of previous results with this SNP. Your text in this section refers to drd4 but the study focused on darpp32, and as cited in the ms there are a few previous reports (see 5 refs below) that this gene influences the same phenotype (positive relative to negative learning), and indeed this study replicates that aspect within a novel task.</t>
  </si>
  <si>
    <t>AG</t>
  </si>
  <si>
    <t>r from p-value</t>
  </si>
  <si>
    <t>p</t>
  </si>
  <si>
    <t>t</t>
  </si>
  <si>
    <t>Date authors contacted</t>
  </si>
  <si>
    <t>Date authors replied</t>
  </si>
  <si>
    <t>Comments by authors</t>
  </si>
  <si>
    <t>Authors follow up initial tests for univariate association on many variants with analyses on groups of variants in the same genomic region, including rare variants. Here we consider only the initial univariate analyses on common variants</t>
  </si>
  <si>
    <t>Discovery (D) =99; Replication (R) =69</t>
  </si>
  <si>
    <t xml:space="preserve">Association studies between COMT polymorphic markers and pain phenotypes in 2 independent cohorts identified a functional marker, rs165774, situated in the 39 untranslated region of a newfound splice variant, (a)-COMT. </t>
  </si>
  <si>
    <t>5 variables from Quantitative sensory testing (QST): pressure pain, heat pain, heat pain first pulse and heat pain sum (measures of heat pain sensitivity to a suprathreshold heat stimulus), and the temporal summation of heat pain (heat pain rate of rise). 5 additional pain measures in replication sample</t>
  </si>
  <si>
    <t>Pressure pain associated with rs165774, p = .002</t>
  </si>
  <si>
    <t>Initial test of association of variants with categorical pain phenotype corrected for multiple testing using the method of spectral decomposition (Supplementary material)</t>
  </si>
  <si>
    <t>N = 4931</t>
  </si>
  <si>
    <t>10 related to AD: APOE, CR1, CLU, BIN1, PICALM, ABCA7, MS4A6A, CD33, MS4A4E, CD2AP</t>
  </si>
  <si>
    <t>APOE was associated with accelerated decline in global cognition and verbal fluency. Only two non-APOE genetic polymorphisms were associated with cognitive decline: CR1 was associated with rate of change in verbal fluency and BIN1 was associated with rate of change in global cognition. In a large prospective population-based study of dementia-free individuals, only a few cognitive domains were associated with established LOAD risk alleles. The most consistent associations were for global cognition and verbal fluency.</t>
  </si>
  <si>
    <t>Age 65+</t>
  </si>
  <si>
    <t>Level and change in 5 neuropsychological tests; global cognition (Mini Mental State Examination), verbal fluency (Isaac's Set Test), visual memory (Benton Visual Retention Test), information processing (Trail Making Test B), literacy (National Adult Reading Test); up to 5 measures over 10 years</t>
  </si>
  <si>
    <t>Prospective community-based cohort of initially non-demented French adults aged 65+</t>
  </si>
  <si>
    <t>Nonlinear mixed models in 2 parts: a) standard linear mixed model with latent cognitive process as dependent variable; b) model linking latent cognitive process and neuropsychological test ; measures are estimated simultaneously by maximum likelihood; estimated effects computed are standardized betas</t>
  </si>
  <si>
    <t>In addition to examining individual SNPs,  created a genetic risk score combining all SNPs by multiplying the allele count for each polymorphism by the reported beta coefficient from AlzGene2 and summing the result for each gene.</t>
  </si>
  <si>
    <r>
      <t xml:space="preserve">Strong prior evidence for all hypotheses, so did not adjust for multiple comparisons; a </t>
    </r>
    <r>
      <rPr>
        <i/>
        <sz val="11"/>
        <color theme="1"/>
        <rFont val="Calibri"/>
        <family val="2"/>
        <scheme val="minor"/>
      </rPr>
      <t>P</t>
    </r>
    <r>
      <rPr>
        <sz val="11"/>
        <color theme="1"/>
        <rFont val="Calibri"/>
        <family val="2"/>
        <scheme val="minor"/>
      </rPr>
      <t>-value &lt;0.05 was considered statistically significant.</t>
    </r>
  </si>
  <si>
    <t xml:space="preserve">no </t>
  </si>
  <si>
    <t>N = 527</t>
  </si>
  <si>
    <t>Food frequency questionnaire and neuropsychological assessment; change 18, 36 month follow up; 6 cognitive domains and overall score (verbal memory, visual memory, executive function, language, attention, visuospatial functioning, global cognitive score), three dietary patterns (Australian-style Mediterranean diet, Western diet, prudent diet)</t>
  </si>
  <si>
    <t>Nonlinear mixed models; model has two parts standard linear mixed model with latent cognitive process as dependent variable, second model for link between latent cognitive process and neuropsychological test ; measures are estimated simultaneously by maximum likelihood</t>
  </si>
  <si>
    <r>
      <t>Higher baseline adherence to the AusMeDi was associated with better performance in the executive function cognitive domain after 36 months in apolipoprotein E (APOE) ε4 allele carriers (</t>
    </r>
    <r>
      <rPr>
        <i/>
        <sz val="11"/>
        <color theme="1"/>
        <rFont val="Calibri"/>
        <family val="2"/>
        <scheme val="minor"/>
      </rPr>
      <t>P</t>
    </r>
    <r>
      <rPr>
        <sz val="11"/>
        <color theme="1"/>
        <rFont val="Calibri"/>
        <family val="2"/>
        <scheme val="minor"/>
      </rPr>
      <t>&lt;0.01). Higher baseline western diet adherence was associated with greater cognitive decline after 36 months in the visuospatial cognitive domain in APOE ε4 allele non-carriers (</t>
    </r>
    <r>
      <rPr>
        <i/>
        <sz val="11"/>
        <color theme="1"/>
        <rFont val="Calibri"/>
        <family val="2"/>
        <scheme val="minor"/>
      </rPr>
      <t>P</t>
    </r>
    <r>
      <rPr>
        <sz val="11"/>
        <color theme="1"/>
        <rFont val="Calibri"/>
        <family val="2"/>
        <scheme val="minor"/>
      </rPr>
      <t>&lt;0.01)</t>
    </r>
  </si>
  <si>
    <t>N = 32</t>
  </si>
  <si>
    <t>Distinct neural mechanisms are associated with weight gain as a function of genotype, with the BLA–hypothalamic circuit associated with weight change in individuals who do not carry an at-risk allele and caudate response associated with weight change in individuals who do carry the at-risk allele.</t>
  </si>
  <si>
    <t>A+</t>
  </si>
  <si>
    <t>A-</t>
  </si>
  <si>
    <t>ANOVA; bootstapped correlation coefficients; stepwise regression; dynamic causal modeling</t>
  </si>
  <si>
    <t>Significant association between change in BMI and amygdala response to the taste of palatable food in opposite direction for  A+ and A- carriers.</t>
  </si>
  <si>
    <t>key effect size</t>
  </si>
  <si>
    <t>cites "two large GWAS studies, significant associations between a single-nucleotide polymorphism (SNP, rs7294919) located on chromosome 12q24 and reduced hippocampus volumes emerged (T-alleles were associated with reduced volumes)"</t>
  </si>
  <si>
    <t>Two German samples from general population: Münster sample and new subsample of the SHIP-TREND MRI cohort that was not part of previously published GWAS</t>
  </si>
  <si>
    <r>
      <t xml:space="preserve">Highly significant effects of </t>
    </r>
    <r>
      <rPr>
        <i/>
        <sz val="11"/>
        <color theme="1"/>
        <rFont val="Calibri"/>
        <family val="2"/>
        <scheme val="minor"/>
      </rPr>
      <t>rs7294919</t>
    </r>
    <r>
      <rPr>
        <sz val="11"/>
        <color theme="1"/>
        <rFont val="Calibri"/>
        <family val="2"/>
        <scheme val="minor"/>
      </rPr>
      <t xml:space="preserve"> on hippocampal gray matter volumes in both samples. In whole-brain analyses, no other brain areas except the hippocampal formation and adjacent temporal structures were associated with </t>
    </r>
    <r>
      <rPr>
        <i/>
        <sz val="11"/>
        <color theme="1"/>
        <rFont val="Calibri"/>
        <family val="2"/>
        <scheme val="minor"/>
      </rPr>
      <t>rs7294919</t>
    </r>
    <r>
      <rPr>
        <sz val="11"/>
        <color theme="1"/>
        <rFont val="Calibri"/>
        <family val="2"/>
        <scheme val="minor"/>
      </rPr>
      <t>. There were no genotype effects on DTI and fMRI results, including functional connectivity measures.</t>
    </r>
  </si>
  <si>
    <t>SHIP-TREND sample: strong genotype effect of rs7294919 on bilateral hippocampus gray matter volumes. TT homozygotes had significantly decreased volumes compared with carriers of one or two C-alleles</t>
  </si>
  <si>
    <t>r from t-value</t>
  </si>
  <si>
    <t>TESC</t>
  </si>
  <si>
    <t>For main results on association between brain phenotypes and rs7294919, was any correction applied for multiple comparisons?</t>
  </si>
  <si>
    <t>01/10/2016, DB</t>
  </si>
  <si>
    <t>1/10/16, DB</t>
  </si>
  <si>
    <t>Australian elderly cohort drawn from the larger Australian Imaging, Biomarkers and Lifestyle study of ageing (AIBL), age 60+</t>
  </si>
  <si>
    <t>1/10/16 by DB</t>
  </si>
  <si>
    <t>N = 3421</t>
  </si>
  <si>
    <r>
      <t xml:space="preserve">2 common variants within the </t>
    </r>
    <r>
      <rPr>
        <i/>
        <sz val="11"/>
        <color theme="1"/>
        <rFont val="Calibri"/>
        <family val="2"/>
        <scheme val="minor"/>
      </rPr>
      <t>TREM</t>
    </r>
    <r>
      <rPr>
        <sz val="11"/>
        <color theme="1"/>
        <rFont val="Calibri"/>
        <family val="2"/>
        <scheme val="minor"/>
      </rPr>
      <t xml:space="preserve"> locus are associated with pathological features of AD and aging-related cognitive decline.</t>
    </r>
  </si>
  <si>
    <t>General linear mixed models; linear regression, logistic regression or ordinal regression; model-based causal mediation analysis. SNP and rate of cognitive decline adjusted for age, education, and sex; in regression analyses cohort, age at death, sex used as covariates; tested for mediation of relationship between variants and cognitive decline by pathological phenotypes</t>
  </si>
  <si>
    <t>TREM gene family</t>
  </si>
  <si>
    <t>36 SNPs that captured the common haplotypic diversity of TREM region</t>
  </si>
  <si>
    <t>1. Our focus in this analysis on behavioural phenotype, i.e., age-related cognitive decline. 
2. Authors also analysed association with neuropathology phenotypes and did mediation analysis, and performed flow cytometric analysis of TREM1 expression</t>
  </si>
  <si>
    <t>Deceased individuals from 3 prospective cohorts on ageing; mixed heritage (European American, African American)</t>
  </si>
  <si>
    <t>rs7759295 association with global cognitive decline, p = .0023, N = 3421 (See Figure 2)</t>
  </si>
  <si>
    <t>authors response</t>
  </si>
  <si>
    <t>Experimental tasks to assess (a) goal-directed attention and (b) attentional competition: (a) category learning task; (b) operation span task. For (a) overall accuracy measure; accuracy for similar and dissimilar items for each of 2 blocks (6 measures), plus measures of attention weight from computational model. For (b) memory span and % correctly recalled letters</t>
  </si>
  <si>
    <t>short homozygote</t>
  </si>
  <si>
    <t>long carriers</t>
  </si>
  <si>
    <r>
      <t xml:space="preserve">Long </t>
    </r>
    <r>
      <rPr>
        <i/>
        <sz val="11"/>
        <color theme="1"/>
        <rFont val="Calibri"/>
        <family val="2"/>
        <scheme val="minor"/>
      </rPr>
      <t>DRD4</t>
    </r>
    <r>
      <rPr>
        <sz val="11"/>
        <color theme="1"/>
        <rFont val="Calibri"/>
        <family val="2"/>
        <scheme val="minor"/>
      </rPr>
      <t xml:space="preserve"> carriers show superior performance relative to short </t>
    </r>
    <r>
      <rPr>
        <i/>
        <sz val="11"/>
        <color theme="1"/>
        <rFont val="Calibri"/>
        <family val="2"/>
        <scheme val="minor"/>
      </rPr>
      <t>DRD4</t>
    </r>
    <r>
      <rPr>
        <sz val="11"/>
        <color theme="1"/>
        <rFont val="Calibri"/>
        <family val="2"/>
        <scheme val="minor"/>
      </rPr>
      <t xml:space="preserve"> homozygotes (six or less tandem repeats) in both the category learning and OSPAN tasks. These results suggest that </t>
    </r>
    <r>
      <rPr>
        <i/>
        <sz val="11"/>
        <color theme="1"/>
        <rFont val="Calibri"/>
        <family val="2"/>
        <scheme val="minor"/>
      </rPr>
      <t>DRD4</t>
    </r>
    <r>
      <rPr>
        <sz val="11"/>
        <color theme="1"/>
        <rFont val="Calibri"/>
        <family val="2"/>
        <scheme val="minor"/>
      </rPr>
      <t xml:space="preserve"> may serve as a “plasticity” gene where individuals with the long allele show heightened selective attention to high-priority items in the environment</t>
    </r>
  </si>
  <si>
    <t>No effect of cohort when both samples in analysis, but effect of genotype not significant within either cohort alone</t>
  </si>
  <si>
    <t>Was any correction made for multiple testing?</t>
  </si>
  <si>
    <t>GWAS reported strong evidence for  association between BPD and polymorphism rs1006737. Variation in rs1006737 has also been associated with MDD and SCZ (references cited in introduction)</t>
  </si>
  <si>
    <t>AG/AA</t>
  </si>
  <si>
    <r>
      <t xml:space="preserve">Carrying the rs1006737 risk variant resulted in a stronger decrease of hippocampal and pgACC activation in relatives, indicating an additive effect of </t>
    </r>
    <r>
      <rPr>
        <i/>
        <sz val="11"/>
        <color theme="1"/>
        <rFont val="Calibri"/>
        <family val="2"/>
        <scheme val="minor"/>
      </rPr>
      <t>CACNA1C</t>
    </r>
    <r>
      <rPr>
        <sz val="11"/>
        <color theme="1"/>
        <rFont val="Calibri"/>
        <family val="2"/>
        <scheme val="minor"/>
      </rPr>
      <t xml:space="preserve"> variation on familial risk.</t>
    </r>
  </si>
  <si>
    <t>N = 4413</t>
  </si>
  <si>
    <t>GWAS implicated SNP in TMEM106B gene in the risk of fronto-temporal lobar degeneration in strictly defined subgroup of with TDP-43 inclusions; replicated in a more heterogeneous patient group.</t>
  </si>
  <si>
    <t>Association between rs1990622 and gray matter volume of left-sided temporal brain regions important for language processing, including superior temporal gyrus, which contains Wernicke’s area</t>
  </si>
  <si>
    <t>Multiple linear regression models, with age and sex as covariates, to examine associations between rs1990622 and  left and right volume of  75 cortical regions and CC and AC commissural tracts</t>
  </si>
  <si>
    <r>
      <t xml:space="preserve">Sidak corrected significance level to maintain α = .05 for testing 156 correlated outcomes (mean correlation ρ = .25) was determined at </t>
    </r>
    <r>
      <rPr>
        <i/>
        <sz val="11"/>
        <color theme="1"/>
        <rFont val="Calibri"/>
        <family val="2"/>
        <scheme val="minor"/>
      </rPr>
      <t>p</t>
    </r>
    <r>
      <rPr>
        <sz val="11"/>
        <color theme="1"/>
        <rFont val="Calibri"/>
        <family val="2"/>
        <scheme val="minor"/>
      </rPr>
      <t xml:space="preserve"> &lt; 1.14 × 10</t>
    </r>
    <r>
      <rPr>
        <vertAlign val="superscript"/>
        <sz val="11"/>
        <color theme="1"/>
        <rFont val="Calibri"/>
        <family val="2"/>
        <scheme val="minor"/>
      </rPr>
      <t>−3</t>
    </r>
  </si>
  <si>
    <r>
      <t xml:space="preserve">Risk allele </t>
    </r>
    <r>
      <rPr>
        <i/>
        <sz val="11"/>
        <color theme="1"/>
        <rFont val="Calibri"/>
        <family val="2"/>
        <scheme val="minor"/>
      </rPr>
      <t>A</t>
    </r>
    <r>
      <rPr>
        <sz val="11"/>
        <color theme="1"/>
        <rFont val="Calibri"/>
        <family val="2"/>
        <scheme val="minor"/>
      </rPr>
      <t xml:space="preserve"> of rs1990622 associated with lower gray matter volume of the left superior temporal gyrus</t>
    </r>
  </si>
  <si>
    <t>No</t>
  </si>
  <si>
    <t>r from odds ratio</t>
  </si>
  <si>
    <t>odds ratio</t>
  </si>
  <si>
    <t>Not needed; single polymorphism to test causal model using Mendelian randomisation</t>
  </si>
  <si>
    <t xml:space="preserve">Presence of A allele associated with significant decrease in number of standard drinks consumed per day </t>
  </si>
  <si>
    <t>Right-handed non-clinical participants of European descent from undergraduate participant pools; (201 males; mean age=21.2, s.d = 5.1 years)</t>
  </si>
  <si>
    <t>Conners adult ADHD rating Scale; Principal component analysis of 5 reaction time tasks to give two factors: response selection variability vs. selective attention variability</t>
  </si>
  <si>
    <t>Conners' adult ADHD rating Scale; Principal component analysis of 5 reaction time tasks to give two factors: response selection variability vs. selective attention variability</t>
  </si>
  <si>
    <t>Single step Monte Carlo permutation method</t>
  </si>
  <si>
    <t>Autosomal catecholamine genes,</t>
  </si>
  <si>
    <t>107 SNPs in 19 genes</t>
  </si>
  <si>
    <t>Single-step linear regression, multiple comparisons controlled using permutation analysis</t>
  </si>
  <si>
    <t>CG</t>
  </si>
  <si>
    <t xml:space="preserve">Intra-individual RT variability across the response selection variability factor was found to be associated with common variation in the ADRA2A gene and to mediate the relationship between gene variants and self-reported ADHD symptoms. </t>
  </si>
  <si>
    <t>N = 1445</t>
  </si>
  <si>
    <t>23-tagging single nucleotide polymorphisms across the OXTR region</t>
  </si>
  <si>
    <t>Adolescents from IMAGEN sample</t>
  </si>
  <si>
    <r>
      <t xml:space="preserve">Separate regression models to test for  effect of </t>
    </r>
    <r>
      <rPr>
        <i/>
        <sz val="11"/>
        <color theme="1"/>
        <rFont val="Calibri"/>
        <family val="2"/>
        <scheme val="minor"/>
      </rPr>
      <t>OXTR</t>
    </r>
    <r>
      <rPr>
        <sz val="11"/>
        <color theme="1"/>
        <rFont val="Calibri"/>
        <family val="2"/>
        <scheme val="minor"/>
      </rPr>
      <t>-SNP, SLEs, and gene by environment (G×E) interactions on each ROI.  Poisson regression models to examine OXTR-genotype main and G×E interaction effects on emotional problems, conduct problems, peer problems, and prosocial behavior. Sex and study center as covariates</t>
    </r>
  </si>
  <si>
    <t>Gene-wide significance was empirically determined with permutations that corrected for 23 SNPs (accounting for their LD structure), 4 ROIs, and the number of tests (main effects of SNPs, G×E interactions).</t>
  </si>
  <si>
    <t>fMRI response to angry faces vs control task, with focus on amygdala and ventral striatum; measure of stressful life events; strengths and difficulties questionnaire scales</t>
  </si>
  <si>
    <r>
      <t xml:space="preserve">A common </t>
    </r>
    <r>
      <rPr>
        <i/>
        <sz val="11"/>
        <color theme="1"/>
        <rFont val="Calibri"/>
        <family val="2"/>
        <scheme val="minor"/>
      </rPr>
      <t>OXTR</t>
    </r>
    <r>
      <rPr>
        <sz val="11"/>
        <color theme="1"/>
        <rFont val="Calibri"/>
        <family val="2"/>
        <scheme val="minor"/>
      </rPr>
      <t>-variant affects brain responsiveness to negative social cues and that in “risk-carriers” reduced sensitivity is simultaneously associated with more social-affective problems in “favorable environments” and greater resilience against stressful experiences.</t>
    </r>
  </si>
  <si>
    <t>1/10/16. confirmed template accurate</t>
  </si>
  <si>
    <t>Pain</t>
  </si>
  <si>
    <t>Annals Neurol</t>
  </si>
  <si>
    <t>Jcode</t>
  </si>
  <si>
    <t>Ninety-three multimarker haplotype-tagging SNPs</t>
  </si>
  <si>
    <r>
      <t xml:space="preserve">Individual SNP associations with cessation  evaluated using logistic regression, with </t>
    </r>
    <r>
      <rPr>
        <i/>
        <sz val="11"/>
        <color theme="1"/>
        <rFont val="Calibri"/>
        <family val="2"/>
        <scheme val="minor"/>
      </rPr>
      <t>χ</t>
    </r>
    <r>
      <rPr>
        <vertAlign val="superscript"/>
        <sz val="11"/>
        <color theme="1"/>
        <rFont val="Calibri"/>
        <family val="2"/>
        <scheme val="minor"/>
      </rPr>
      <t>2</t>
    </r>
    <r>
      <rPr>
        <sz val="11"/>
        <color theme="1"/>
        <rFont val="Calibri"/>
        <family val="2"/>
        <scheme val="minor"/>
      </rPr>
      <t xml:space="preserve"> tests based on likelihood ratio. Models adjusted for age, sex and nicotine dependence score. Haplotype blocks examined following single-SNP analysis</t>
    </r>
  </si>
  <si>
    <t>Discovery: N = 449
Replication: N = 165</t>
  </si>
  <si>
    <t>P-values in initial sample not corrected for multiple testing because  analysis was conducted for discovery purposes.</t>
  </si>
  <si>
    <r>
      <t xml:space="preserve">Individual SNP and haplotype analysis support the association of </t>
    </r>
    <r>
      <rPr>
        <i/>
        <sz val="11"/>
        <color theme="1"/>
        <rFont val="Calibri"/>
        <family val="2"/>
        <scheme val="minor"/>
      </rPr>
      <t>NRG3</t>
    </r>
    <r>
      <rPr>
        <sz val="11"/>
        <color theme="1"/>
        <rFont val="Calibri"/>
        <family val="2"/>
        <scheme val="minor"/>
      </rPr>
      <t xml:space="preserve"> SNPs and smoking cessation success.</t>
    </r>
  </si>
  <si>
    <t>2/10/16, DB</t>
  </si>
  <si>
    <t>Cells in these columns are populated only for statistic used for effect size</t>
  </si>
  <si>
    <r>
      <t xml:space="preserve">Men with  low-expression allele showed increased dACC + amygdala activation after  insult;  men with  high-expression allele did not. Both dACC and amygdala activation independently mediated  relationship between </t>
    </r>
    <r>
      <rPr>
        <i/>
        <sz val="11"/>
        <color theme="1"/>
        <rFont val="Calibri"/>
        <family val="2"/>
        <scheme val="minor"/>
      </rPr>
      <t>MAOA</t>
    </r>
    <r>
      <rPr>
        <sz val="11"/>
        <color theme="1"/>
        <rFont val="Calibri"/>
        <family val="2"/>
        <scheme val="minor"/>
      </rPr>
      <t xml:space="preserve"> genotype and self-reported anger control. Following  insult, men with  high-functioning allele showed functional decoupling between the amygdala and dACC, but men with the low-functioning allele did not.</t>
    </r>
  </si>
  <si>
    <t>Healthy male undergraduates, 79% Asian, 16% white; 3% mixed</t>
  </si>
  <si>
    <t>MAOA-L</t>
  </si>
  <si>
    <t>MAOA-H</t>
  </si>
  <si>
    <t>3-repeat allele (MAOA-L) vs 4-repeat allele (MAOA-H)</t>
  </si>
  <si>
    <r>
      <t xml:space="preserve">BOLD response for postprovocation period versus baseline period as a function of </t>
    </r>
    <r>
      <rPr>
        <i/>
        <sz val="11"/>
        <color theme="1"/>
        <rFont val="Calibri"/>
        <family val="2"/>
        <scheme val="minor"/>
      </rPr>
      <t>MAOA</t>
    </r>
    <r>
      <rPr>
        <sz val="11"/>
        <color theme="1"/>
        <rFont val="Calibri"/>
        <family val="2"/>
        <scheme val="minor"/>
      </rPr>
      <t xml:space="preserve"> genotype in a 2 (genotype: MAOA-H, MAOA-L) × 2 (time: baseline, postprovocation) mixed design. Separate random effects between-group general linear model analyses for 3 bilateral ROIs; separate analyses for relevant ROI in each hemisphere; Pearson's correlations BOLD response anger control and anger; indirect effects analysis dACC/amygdala mediate MAOA and anger control bootstrap indirect effect estimates; strength of connectivity coefficient (r) and genotype ANOVA</t>
    </r>
  </si>
  <si>
    <t>Significantly greater activation in response to  provocation in the left dACC among participants with the MAOA-L genotype than participants with the MAOA-H genotype</t>
  </si>
  <si>
    <t>In addition to key finding, other results in same direction: see Study conclusion above</t>
  </si>
  <si>
    <t>Neurology</t>
  </si>
  <si>
    <t>N = 600</t>
  </si>
  <si>
    <t>Participants from general population aged 70 to 95 yrs</t>
  </si>
  <si>
    <t>ε4</t>
  </si>
  <si>
    <t>Hypometabolism in “Alzheimer disease-signature” regions was strongly associated with PiB load.  No significant incremental hypometabolism was seen in APOE-positive vs -negative subjects.</t>
  </si>
  <si>
    <t>ε4 carriers</t>
  </si>
  <si>
    <t>non-carriers</t>
  </si>
  <si>
    <t>correlation</t>
  </si>
  <si>
    <t>ln N</t>
  </si>
  <si>
    <t>correl with logN</t>
  </si>
  <si>
    <t>DISC1, COMT, NRG1, NRG1r, ESR1, BDNF, GAD1, APOE</t>
  </si>
  <si>
    <t>differences in brain tissue volumes in neonates; automated ROI volumetry and tensor based morphometry; analysis  restricted to the following variables: ICV, total GM, total WM, total CSF, lateral ventricle volume, cerebellar volume, and lobar GM and WM (14 volumes total).</t>
  </si>
  <si>
    <t>Brain tissue volumes; automated ROI volumetry and tensor based morphometry; analysis restricted to: ICV, total GM, total WM, total CSF, lateral ventricle volume, cerebellar volume, and lobar GM and WM (14 volumes total).</t>
  </si>
  <si>
    <t>Mixed models to assess relationship between brain volumes and genetic markers, with comparisons selected based on published literature. Models  adjusted for gender, intracranial volume (ICV), and gestational age at MRI.  For TBM multiscale adaptive generalized estimation equation (MAGEE) model fitted to the Jacobian determinant of the deformation matrix at each voxel of the template. For all hypothesis tests, cluster-based inference  used to identify significant genetic effects on localized GM volumes</t>
  </si>
  <si>
    <t>ESR1 rs9340799</t>
  </si>
  <si>
    <t>Other</t>
  </si>
  <si>
    <t>N = 272</t>
  </si>
  <si>
    <t>Significance level of 0.005 (0.05/10; Bonferroni corrected for the number of genetic tests conducted); No correction for number of phenotypes</t>
  </si>
  <si>
    <t>Cerebral Cortex</t>
  </si>
  <si>
    <t xml:space="preserve">Dynamic relationship between rs17070145 polymorphism and increasing age on neuronal activity in hippocampal region, as evidenced by WWC1 T carriers having  significantly better delayed recall performance than CC individuals, and a different relation between increasing age and recall scores (immediate and delayed). Also age by WWC1 genotype interaction on hippocampal formation activation during encoding and retrieval. </t>
  </si>
  <si>
    <t>N = 232</t>
  </si>
  <si>
    <t xml:space="preserve">Wechsler Memory scale (WMS) Logical Memory (LM-1 and LM-2); Trails A/B; WaIS-R IQ; Letter-Number Sequencing (LNS); and Category and Letter (FAS) Fluency; </t>
  </si>
  <si>
    <t>WWC1 (gene that encodes KIBRA protein)</t>
  </si>
  <si>
    <t>fMRI analysis limited to neutral stimuli and to hippocampal formation. Individual subject first-level contrast images related to the encoding and retrieval sessions of neutral scenes  entered into 2nd-level multiple regression analyses to explore  main effects of age and  WWC1 polymorphism, as well as their interaction on the regions of the brain that were activated in each task</t>
  </si>
  <si>
    <t>TC/TT</t>
  </si>
  <si>
    <t>BOLD fMRI during episodic memory encoding and retrieval of aversive and neutral complex scenes from International Affective Picture System; also battery of memory and neuropsychological tests giving 7 measures</t>
  </si>
  <si>
    <t>2/10/16, DB: could find no contact details for first author so emailed last author only</t>
  </si>
  <si>
    <t>N = 176</t>
  </si>
  <si>
    <t>Healthy volunteers; Caucasian</t>
  </si>
  <si>
    <t>For each individual, first-level contrasts  created by contrasting the working memory 2-back with the control 0-back. Then multiple regressions that modeled main effects of COMT, the dys ‘Bray haplotype’ and their interaction. Nine groups based on three-COMT-by-three-Bray-haplotype. age and sex as nuisance variables in the multiple regression. Statistical significance was determined using two-tailed t-tests within SPM5 at an uncorrected whole-brain threshold 0.001</t>
  </si>
  <si>
    <t>Effect of  COMT Val-Met genotype depended on the DTNBP1 Bray haplotype background. Individuals homozygous for COMT Met alleles having no Bray DTNBP1 haplotypes were more efficient than other COMT genotypes. Increased inefficiency associated with COMT Val-Val genotype was not apparent in individuals heterozygous for the dys Bray haplotype. Those with COMT Met/Met genotypes who were also homozygous for the Bray low dys expression-associated haplotype were the most inefficient compared with other COMT genotypes</t>
  </si>
  <si>
    <t>COMT and dysbindin (dystrobrevin-binding protein 1 = DTNBP1)</t>
  </si>
  <si>
    <t xml:space="preserve"> Individuals homozygous for COMT Met alleles having no Bray DTNBP1 haplotypes were more efficient than other COMT genotypes.</t>
  </si>
  <si>
    <t>fMRI during working memory paradigm  (N-back task). Focus on  dorsolateral prefrontal cortex; separate analysis for L and R</t>
  </si>
  <si>
    <t>total N</t>
  </si>
  <si>
    <t>&lt;- based on pvalue of interaction, evaluated with full N</t>
  </si>
  <si>
    <t>N1 = 410, (N2 = 201)</t>
  </si>
  <si>
    <t>CT/CC</t>
  </si>
  <si>
    <r>
      <t xml:space="preserve">fMRI with  </t>
    </r>
    <r>
      <rPr>
        <i/>
        <sz val="11"/>
        <color theme="1"/>
        <rFont val="Calibri"/>
        <family val="2"/>
        <scheme val="minor"/>
      </rPr>
      <t>n</t>
    </r>
    <r>
      <rPr>
        <sz val="11"/>
        <color theme="1"/>
        <rFont val="Calibri"/>
        <family val="2"/>
        <scheme val="minor"/>
      </rPr>
      <t>-back working memory paradigm that robustly engages the prefrontal cortex</t>
    </r>
  </si>
  <si>
    <r>
      <t xml:space="preserve">fMRI with </t>
    </r>
    <r>
      <rPr>
        <i/>
        <sz val="11"/>
        <color theme="1"/>
        <rFont val="Calibri"/>
        <family val="2"/>
        <scheme val="minor"/>
      </rPr>
      <t>n</t>
    </r>
    <r>
      <rPr>
        <sz val="11"/>
        <color theme="1"/>
        <rFont val="Calibri"/>
        <family val="2"/>
        <scheme val="minor"/>
      </rPr>
      <t>-back working memory task that robustly engages the prefrontal cortex</t>
    </r>
  </si>
  <si>
    <t xml:space="preserve">Also analysed  genotype by diagnosis interaction effects using ANCOVA model with diagnosis (control, sibling, patient) and NRG3 genotype (T/T homozygotes, C allele carriers) as factors of interest and age, sex, n-back task performance, and IQ as nuisance covariates. </t>
  </si>
  <si>
    <t>Sz patients and siblings but effect not replicated in patients</t>
  </si>
  <si>
    <t xml:space="preserve"> fMRI significance measured at p &lt; 0.05 family-wise error (FWE) corrected for multiple comparisons at the voxel level</t>
  </si>
  <si>
    <t>Means and SDs in columns F and G estimated from figure; could you please provide precise numbers?</t>
  </si>
  <si>
    <t>Healthy, Caucasian, highly-educated, mean age 26 yr</t>
  </si>
  <si>
    <t xml:space="preserve">Probabilistic reversal learning task giving 3 main measures: win-staying, lose-shifting (both as a function of the previous trial), and perseveration. </t>
  </si>
  <si>
    <t>3 task measures included in a repeated-measures ANOVA, together with the between-subject factors gender and learning criterion attainment, and covariates age and level of education (for control analyses of basic learning measures and covariate</t>
  </si>
  <si>
    <t>DAT1 and SERT</t>
  </si>
  <si>
    <t>DAT1: 3′UTR VNTR, 9R9R/9R10R/10R10R; SERT: 5HTTLPR plus rs25531, S'S'/S'L'/L'L'</t>
  </si>
  <si>
    <t>S'S'</t>
  </si>
  <si>
    <t>S'L'</t>
  </si>
  <si>
    <t>L'L'</t>
  </si>
  <si>
    <t>SERT affected the likelihood of shifting responses after punishment</t>
  </si>
  <si>
    <r>
      <t xml:space="preserve">The </t>
    </r>
    <r>
      <rPr>
        <i/>
        <sz val="11"/>
        <color theme="1"/>
        <rFont val="Calibri"/>
        <family val="2"/>
        <scheme val="minor"/>
      </rPr>
      <t>SERT</t>
    </r>
    <r>
      <rPr>
        <sz val="11"/>
        <color theme="1"/>
        <rFont val="Calibri"/>
        <family val="2"/>
        <scheme val="minor"/>
      </rPr>
      <t xml:space="preserve"> polymorphism altered behavioral adaptation after losses, with increased lose-shift associated with L′ homozygosity, while leaving unaffected perseveration after reversal. In contrast, the </t>
    </r>
    <r>
      <rPr>
        <i/>
        <sz val="11"/>
        <color theme="1"/>
        <rFont val="Calibri"/>
        <family val="2"/>
        <scheme val="minor"/>
      </rPr>
      <t>DAT1</t>
    </r>
    <r>
      <rPr>
        <sz val="11"/>
        <color theme="1"/>
        <rFont val="Calibri"/>
        <family val="2"/>
        <scheme val="minor"/>
      </rPr>
      <t xml:space="preserve"> genotype affected the influence of prior choices on perseveration, while leaving lose-shifting unaltered.</t>
    </r>
  </si>
  <si>
    <t>Neuron</t>
  </si>
  <si>
    <t>2 reproducible pain clusters discovered: 5-HTTLPR short allele was over-represented in pain cluster 1</t>
  </si>
  <si>
    <t>Main focus of paper is identification and characterisation of two pain clusters. Genetic analysis is subsidiary</t>
  </si>
  <si>
    <t>Nonsmokers aged 19-55 yr</t>
  </si>
  <si>
    <t>short vs long alleles</t>
  </si>
  <si>
    <t>N= 107</t>
  </si>
  <si>
    <t>long/long</t>
  </si>
  <si>
    <t>4/10/16, author Schuman responded all OK</t>
  </si>
  <si>
    <t>Adolescents from the IMAGEN study who did not achieve diagnostic criteria for ADHD; 190 boys, 224 girls; mean age 14 yr</t>
  </si>
  <si>
    <t>Monetary incentive delay (MID) task  to study neural responses to reward anticipation and reward outcome; Stop Signal Task in subset of children; ADHD Symptoms (Strength and Difficulties Questionnaire); Structural and functional MRI</t>
  </si>
  <si>
    <t>Permutations with 100,000 iterations were used to control for hemisphere specific tests of VS BOLD response</t>
  </si>
  <si>
    <t>MAOA (X-linked)</t>
  </si>
  <si>
    <t xml:space="preserve">A </t>
  </si>
  <si>
    <t>G</t>
  </si>
  <si>
    <t>Also conducted interaction analysis; when stratified by genotype, more variance in ADHD responses accounted for by neural responses</t>
  </si>
  <si>
    <t>What was total N brain regions tested?</t>
  </si>
  <si>
    <t>From the Adult Health and Behavior (AHAB) Study, which investigates a variety of behavioral and biological traits among non-patient, middle-aged community volunteers. Restricted to Caucasian participants,  mean age 44.70±6.49 years).</t>
  </si>
  <si>
    <t>Study 1: BOLD measured in face processing task: threat-related reactivity of the amygdala. Amygdala habituation to threat-related stimuli was calculated as the linear decrease over successive face matching blocks (that is, block 1&gt;block 2&gt;block 3&gt;block 4). Study 2: Measures of 10 personality traits</t>
  </si>
  <si>
    <t>fatty acid amide hydrolase: FAAH</t>
  </si>
  <si>
    <t>CA/AA</t>
  </si>
  <si>
    <t>AA n=3 so combined with CA</t>
  </si>
  <si>
    <t>mean and SD estimated from fig 4B</t>
  </si>
  <si>
    <r>
      <t xml:space="preserve">Our mouse data suggest that, by preventing FAAH-mediated degradation, augmenting anandamide in the basolateral amygdala may boost on-demand recruitment of endocannabinoids to facilitate the extinction of traumatic fear memories. Further we report an association between a putative loss-of-function human </t>
    </r>
    <r>
      <rPr>
        <i/>
        <sz val="11"/>
        <color theme="1"/>
        <rFont val="Calibri"/>
        <family val="2"/>
        <scheme val="minor"/>
      </rPr>
      <t>FAAH</t>
    </r>
    <r>
      <rPr>
        <sz val="11"/>
        <color theme="1"/>
        <rFont val="Calibri"/>
        <family val="2"/>
        <scheme val="minor"/>
      </rPr>
      <t xml:space="preserve"> gene variant, an amygdala fear-plasticity endophenotype, and reduced trait stress reactivity. The collective results of our study support the endocannabinoid system and FAAH as a key signaling mechanism regulating fear plasticity that is conserved across mouse and man.</t>
    </r>
  </si>
  <si>
    <r>
      <t xml:space="preserve">These results suggest that </t>
    </r>
    <r>
      <rPr>
        <i/>
        <sz val="11"/>
        <color theme="1"/>
        <rFont val="Calibri"/>
        <family val="2"/>
        <scheme val="minor"/>
      </rPr>
      <t>CACNA1C</t>
    </r>
    <r>
      <rPr>
        <sz val="11"/>
        <color theme="1"/>
        <rFont val="Calibri"/>
        <family val="2"/>
        <scheme val="minor"/>
      </rPr>
      <t xml:space="preserve"> is involved in the genetic architecture of endophenotypes for affective disorders and schizophrenia, and that it shows a distinct sex-specific effect</t>
    </r>
  </si>
  <si>
    <t>No: this study had a priori hypothesis based on finding from previous large study</t>
  </si>
  <si>
    <r>
      <t xml:space="preserve">Baseline: seven personality questionnaires: (i) the </t>
    </r>
    <r>
      <rPr>
        <i/>
        <sz val="11"/>
        <color theme="1"/>
        <rFont val="Calibri"/>
        <family val="2"/>
        <scheme val="minor"/>
      </rPr>
      <t>Eysenck-Personality-Inventory</t>
    </r>
    <r>
      <rPr>
        <vertAlign val="superscript"/>
        <sz val="11"/>
        <color theme="1"/>
        <rFont val="Calibri"/>
        <family val="2"/>
        <scheme val="minor"/>
      </rPr>
      <t xml:space="preserve"> </t>
    </r>
    <r>
      <rPr>
        <sz val="11"/>
        <color theme="1"/>
        <rFont val="Calibri"/>
        <family val="2"/>
        <scheme val="minor"/>
      </rPr>
      <t xml:space="preserve">(ii) the </t>
    </r>
    <r>
      <rPr>
        <i/>
        <sz val="11"/>
        <color theme="1"/>
        <rFont val="Calibri"/>
        <family val="2"/>
        <scheme val="minor"/>
      </rPr>
      <t>State-Trait Anger Expression</t>
    </r>
    <r>
      <rPr>
        <sz val="11"/>
        <color theme="1"/>
        <rFont val="Calibri"/>
        <family val="2"/>
        <scheme val="minor"/>
      </rPr>
      <t xml:space="preserve"> Inventory for anger suppression; (iii) the </t>
    </r>
    <r>
      <rPr>
        <i/>
        <sz val="11"/>
        <color theme="1"/>
        <rFont val="Calibri"/>
        <family val="2"/>
        <scheme val="minor"/>
      </rPr>
      <t>Sense of Coherence Scale</t>
    </r>
    <r>
      <rPr>
        <vertAlign val="superscript"/>
        <sz val="11"/>
        <color theme="1"/>
        <rFont val="Calibri"/>
        <family val="2"/>
        <scheme val="minor"/>
      </rPr>
      <t xml:space="preserve"> </t>
    </r>
    <r>
      <rPr>
        <sz val="11"/>
        <color theme="1"/>
        <rFont val="Calibri"/>
        <family val="2"/>
        <scheme val="minor"/>
      </rPr>
      <t xml:space="preserve">(iv) the German-language </t>
    </r>
    <r>
      <rPr>
        <i/>
        <sz val="11"/>
        <color theme="1"/>
        <rFont val="Calibri"/>
        <family val="2"/>
        <scheme val="minor"/>
      </rPr>
      <t>Fragebogen zur Sozialen Unterstützung</t>
    </r>
    <r>
      <rPr>
        <sz val="11"/>
        <color theme="1"/>
        <rFont val="Calibri"/>
        <family val="2"/>
        <scheme val="minor"/>
      </rPr>
      <t xml:space="preserve"> for perceived and anticipated support from the social environment; (v) the </t>
    </r>
    <r>
      <rPr>
        <i/>
        <sz val="11"/>
        <color theme="1"/>
        <rFont val="Calibri"/>
        <family val="2"/>
        <scheme val="minor"/>
      </rPr>
      <t>Life Orientation Test</t>
    </r>
    <r>
      <rPr>
        <vertAlign val="superscript"/>
        <sz val="11"/>
        <color theme="1"/>
        <rFont val="Calibri"/>
        <family val="2"/>
        <scheme val="minor"/>
      </rPr>
      <t xml:space="preserve"> </t>
    </r>
    <r>
      <rPr>
        <sz val="11"/>
        <color theme="1"/>
        <rFont val="Calibri"/>
        <family val="2"/>
        <scheme val="minor"/>
      </rPr>
      <t>for dispositional optimism; (vi) the depressivity scale of Zerssen (vii) the psychoticism scale of Baumann and Dittrich; at follow-up, 3-item self-report depression scale</t>
    </r>
  </si>
  <si>
    <t>Nonparametric approach because skewed distributions. Association between phenotype and the three genotypes of SNP rs1006737 was analyzed using a maximum test, which includes the additive, recessive and dominant modes of inheritance.</t>
  </si>
  <si>
    <r>
      <t>P</t>
    </r>
    <r>
      <rPr>
        <sz val="11"/>
        <color theme="1"/>
        <rFont val="Calibri"/>
        <family val="2"/>
        <scheme val="minor"/>
      </rPr>
      <t xml:space="preserve">-values were adjusted for the number of inheritance modes. Considering the inter-correlation of the nine measures assessed, reported  nominal levels of significance. Bonferroni correction for multiple testing (32 tests) resulted in a significance level of P=0.0016, and only the results for sense of coherence in women remained significant. </t>
    </r>
  </si>
  <si>
    <t xml:space="preserve">AA  </t>
  </si>
  <si>
    <t>Author reply</t>
  </si>
  <si>
    <t>4/10/16 - found errors in coding and will get back when corrected</t>
  </si>
  <si>
    <t>27 Sept 2016 by PT</t>
  </si>
  <si>
    <t>04/10/2016 by Lars Westberg - see comments re multiple comparisons</t>
  </si>
  <si>
    <t>Author comments</t>
  </si>
  <si>
    <t>27th September 2016, PT</t>
  </si>
  <si>
    <t xml:space="preserve">Au noted errors in SDs and in gene designations; we have corrected these
Subsequent email from au:Thanks for correcting the mistake. If possible, can you please share with me what you used to calculate cell B15, B16.  (PT replied)
For what it's worth, I would like to bring to your attention our recent paper (attached) in which we attempted to replicate several genetic association findings (dopamine-related genes and reinforcement learning type phenotypes) presented in some high profile journals (e.g. PNAS, Science). Overall, we were not successful. </t>
  </si>
  <si>
    <t>27/09/2016, PT</t>
  </si>
  <si>
    <t>27/09/2016 - replies from both Frank and Doll, queries about what we included and sent further references</t>
  </si>
  <si>
    <t>27/09/2016, DB</t>
  </si>
  <si>
    <t>27th September 2016, Travis Baker, noted errors that we have since corrected</t>
  </si>
  <si>
    <t>Thank you for your interest in our work.///We're happy to send you the data however recently discovered a glitch in the genotype codes for a few subjects.///Our conclusions still hold and our main analyses remain significant to the same extent but we've contacted Biological Psychiatry to set this straight.///We'll get back to you as soon as we have all the right numbers together.//////Also on behalf of Dr Baas,///Yours sincerely,//////Floris Klumpers///</t>
  </si>
  <si>
    <t>None of the genotyped common variants showed significant association with smoking status (smokers vs non-smokers), but associations found for some rare variants.  An aggregate  of rare and common coding variants in CHRNA9 contributed to the risk for nicotine dependence.</t>
  </si>
  <si>
    <t>07-October-2016 DB</t>
  </si>
  <si>
    <t>author replied</t>
  </si>
  <si>
    <t>In regards to the key finding, the prudent diet adherence differences between APOE carriers and non-carriers is a very small finding and not of great importance to the overall paper (just a t-test not controlled for any variables, to show differences in groups). The main findings are the ones included in the study conclusions box. In particular, the association in APOE e4 carriers between higher baseline adherence to the AusMeDi and decreased decline in executive function cognitive domain after 36 months had the highest significance of all the paper results (p &lt; 0.001 - in the second model without cardiovascular risk factors included in the model; the prudent diet score differences significance was p &lt; 0.017.</t>
  </si>
  <si>
    <t>author comment</t>
  </si>
  <si>
    <t>3/10/16 Samantha Gardener, did some edits to template (in red above) and also commented</t>
  </si>
  <si>
    <r>
      <t xml:space="preserve">Australian elderly cohort drawn from the larger Australian Imaging, Biomarkers and Lifestyle study of ageing (AIBL), age 60+, </t>
    </r>
    <r>
      <rPr>
        <sz val="11"/>
        <color rgb="FFFF0000"/>
        <rFont val="Calibri"/>
        <family val="2"/>
        <scheme val="minor"/>
      </rPr>
      <t>all cognitively healthy at baseline</t>
    </r>
  </si>
  <si>
    <t>Bellgrove: we will take a look.  Perhaps you could outline for us explicitly what you consider the "methodological issue" to be in our study so that we can respond appropriately.</t>
  </si>
  <si>
    <r>
      <t xml:space="preserve">Main analyses focus on relation between brain metabolism and amyloid load. Genetic analysis involved regression analysis for each of 47 brain regions, looking at differences in regional metabolism by APOE ε4 carrier status after accounting for age, sex, and PiB. Uncorrected p-values reported both with and without amyloid load in the regression model.   Uncorrected and FDR adjusted p-values for the APOE association are shown based on a model with age, sex, and log(global PiB). </t>
    </r>
    <r>
      <rPr>
        <sz val="11"/>
        <color rgb="FFFF0000"/>
        <rFont val="Calibri"/>
        <family val="2"/>
        <scheme val="minor"/>
      </rPr>
      <t>Also indicated regions for which the APOE association was significant at uncorrected p&lt;0.05 for a model with age and sex but not log(global PiB)</t>
    </r>
  </si>
  <si>
    <t>5/10/16 Stephen Weigand, added red material above</t>
  </si>
  <si>
    <t>authors replied</t>
  </si>
  <si>
    <t>1. Was there just one measure from the N-back task? 2. How many brain regions were considered?  3. We pulled just one dysbindin group out from interaction which is not ideal: we are considering whether there is a better way to represent main result, would welcome your views</t>
  </si>
  <si>
    <t>2nd, larger, sample had  converging evidence with different phenotype (stress reactivity); For first sample, clear a priori predictions from prior mouse study</t>
  </si>
  <si>
    <t>4/10/16 Julie Blendy replied all OK</t>
  </si>
  <si>
    <t>Paper checked by CP, 11/10/16</t>
  </si>
  <si>
    <t>12/10/16: Denson: "Thanks for contacting us. I see you are looking at the left dACC result. Your calculations look just fine to me. The r = .37 pairs up precisely with the d = .79, which we reported in the paper.
I'd love to have a copy of the paper once it's accepted. The field genuinely needs a best practices template for analyses.</t>
  </si>
  <si>
    <r>
      <t xml:space="preserve">1. Does recessive model combine groups AA and AG? </t>
    </r>
    <r>
      <rPr>
        <sz val="11"/>
        <color rgb="FFFF0000"/>
        <rFont val="Calibri"/>
        <family val="2"/>
        <scheme val="minor"/>
      </rPr>
      <t>No. It compares AA vs. (AG+GG).</t>
    </r>
    <r>
      <rPr>
        <sz val="11"/>
        <color theme="1"/>
        <rFont val="Calibri"/>
        <family val="2"/>
        <scheme val="minor"/>
      </rPr>
      <t xml:space="preserve">
2. Does the "non-smoker" group include people who have never smoked? We query this as the paper states "…, while non-smokers were required to have smoked 1-99 cigarettes in their lifetimes, but had no tobacco use in the past year." </t>
    </r>
    <r>
      <rPr>
        <sz val="11"/>
        <color rgb="FFFF0000"/>
        <rFont val="Calibri"/>
        <family val="2"/>
        <scheme val="minor"/>
      </rPr>
      <t>No. We only included people who had been exposed to smoking.</t>
    </r>
  </si>
  <si>
    <t>14/10/16 Jackie Yang</t>
  </si>
  <si>
    <t>This sheet has authors' comments incorporated</t>
  </si>
  <si>
    <t>14/10/16 Mattay replied with some queries</t>
  </si>
  <si>
    <t>F or t</t>
  </si>
  <si>
    <t>2 of each</t>
  </si>
  <si>
    <t>(for Szucs comparison)</t>
  </si>
  <si>
    <t>Replication</t>
  </si>
  <si>
    <t>indirect address</t>
  </si>
  <si>
    <t>Ns</t>
  </si>
  <si>
    <t>Repcode</t>
  </si>
  <si>
    <t>Recode for table</t>
  </si>
  <si>
    <t>%OK</t>
  </si>
  <si>
    <t>init sample</t>
  </si>
  <si>
    <t>powertodetect1</t>
  </si>
  <si>
    <t>-- technically speaking for you can take the z values at peaks and transform to r (same issues as always with peaks)</t>
  </si>
  <si>
    <t>-- in term of bias, the healthy subjects used here were already from ref 26 - the logic being -1- found in controls where things happen in term of working memory and then-2 -  compare patients in those ROI. I think that's ok (would you do something like that in genetics? find associations with a trait in healthy and then test for differences in patients)</t>
  </si>
  <si>
    <t>Pernet comments</t>
  </si>
  <si>
    <t>Yes, with only minor difference in phenotype</t>
  </si>
  <si>
    <t>Article</t>
  </si>
  <si>
    <t>TITLE</t>
  </si>
  <si>
    <t>No / Partial / complete correction</t>
  </si>
  <si>
    <t>Multiple comparisons correction reported</t>
  </si>
  <si>
    <t>Neuroimaging used?</t>
  </si>
  <si>
    <t>Haplotype analysis (1=yes; 0=no)</t>
  </si>
  <si>
    <t>N models tested</t>
  </si>
  <si>
    <t>Correction for N models</t>
  </si>
  <si>
    <t>No of SNPs</t>
  </si>
  <si>
    <t>SNPs correlated (1=Y / 2=N / 3=unclear)</t>
  </si>
  <si>
    <t>Genetic correction notes</t>
  </si>
  <si>
    <t>Analysis for correction</t>
  </si>
  <si>
    <t>Notes</t>
  </si>
  <si>
    <t>Neuroimaging</t>
  </si>
  <si>
    <t>Genetics</t>
  </si>
  <si>
    <t>Statistical Analysis</t>
  </si>
  <si>
    <t xml:space="preserve">Bonferroni (Partial); did not control for analysis of both groups and measures </t>
  </si>
  <si>
    <t>P</t>
  </si>
  <si>
    <t>Bonferroni</t>
  </si>
  <si>
    <t>8 SNPs were preselected from other literature .</t>
  </si>
  <si>
    <t>Association between SNPs and the behavioural measures. Mixed effect models - random effect for twins, so dependence considered.</t>
  </si>
  <si>
    <t>not reported as test is multivariate analysis</t>
  </si>
  <si>
    <t>EEG?</t>
  </si>
  <si>
    <t>no correction reported?</t>
  </si>
  <si>
    <t>selected from previous literature</t>
  </si>
  <si>
    <t>Family wise error corrected for imaging</t>
  </si>
  <si>
    <t>C</t>
  </si>
  <si>
    <t>individual SNP-based association analysis with smoking status using logistic regression models and with FTND and indexed CPD using linear regression models as implemented in PLINK. Bonferroni corrections were used to select significant association results. 
Bonferroni corrections were used to select significant association results for all analyses. Uncorrected P-values are presented throughout the article.</t>
  </si>
  <si>
    <t>Genetics - As reported that grouping rare variants together would increase statistical power for association analysis, we used the WSS pooling method (weighted sum statistic) to test for association of rare variants with smoking status. Then a permutation method is used to correct the p values.</t>
  </si>
  <si>
    <t>imaging correction -random field theory</t>
  </si>
  <si>
    <t>Dorsomedial Prefrontal Cortex Mediates the
Impact of Serotonin Transporter Linked Polymorphic Region Genotype on Anticipatory Threat Reactions</t>
  </si>
  <si>
    <t>spectral decomposition with sidak correction</t>
  </si>
  <si>
    <t>Association was tested using logistic regression with age as a covariate term and assuming additive effects using PLINK</t>
  </si>
  <si>
    <t>spectral decomposition adjusts the effect number fo comparisons used in the correction, hence allowing for the correlation.</t>
  </si>
  <si>
    <t>the relationship between each SNP and cognitive outcomes using nonlinear mixed models with latent process.30 We did this to take into account curvilinearity of the link between cognitive tests and underlying cognitive functioning.31 These models assume that there is a latent cognitive process (representing the cognition level) evaluated by the neuropsychological tests. The model has two parts: first, a standard linear mixed model with the latent cognitive process as dependent variable, and second a model for the link between this latent cognitive process and the neuropsychological test, which allows us to consider the metrological properties of the tests (in a standard linear mixed model, this measurement link is linear).</t>
  </si>
  <si>
    <t>yes (arbitrary)</t>
  </si>
  <si>
    <t>Controlled error rate by using a 0.01  p value, however, this has no theoretical justification, simply plucked out of the air. I think we could refer to this as a partial correction?</t>
  </si>
  <si>
    <t>partial? (Bonferrroni)</t>
  </si>
  <si>
    <t>yes (fmri)</t>
  </si>
  <si>
    <t>To examine sex- or genotype-specific relationships between brain response to food cues and weight change, full factorial ANOVAs for the contrasts of M&gt;T and F&gt;Ol were performed in which sex or TaqIA allele status (A1 or A1 ) was entered as a group variable that interacted with the regression against  BMI.</t>
  </si>
  <si>
    <t>A number of analyses were run, and corrections were tailored to suit each analysis. If using the FMRI data the FWE was corrected . The specific analysis of interest was corrected for the relative number of voxels.</t>
  </si>
  <si>
    <t>permutation method using monte carlo simulation?</t>
  </si>
  <si>
    <t>Yes, both for N genetic variants and for N phenotypes (Bonferroni)</t>
  </si>
  <si>
    <t>To examine the association between genetic variants in the TREM region and neuropathological or cognitive phenotypes, we used linear regression, logistic regression, or ordinal regression where appropriate. We included cohort, age at death, sex, and the first 3 principal components of the genotype covariance matrix analyzed using EIGENSTRAT36 as covariates unless otherwise noted.</t>
  </si>
  <si>
    <t>To address the multiple hypothesis testing burden, we corrected for the number of independent haplotypes being tested in the TREM region. Therefore, we pruned the 1000 Genomes Pilot 1 CEU genotypes based on linkage disequilibrium (LD) in PLINK37 using a window of 50 SNPs, a cutoff of r2&lt;0.2, and a step of 5 SNPs. Of the 596 SNPs with minor allele frequency (MAF)&gt;0.01 in the TREM region, we identified 36 SNPs that captured the common haplotypic diversity of the TREM region, leaving the locus-wide Bonferroni-corrected significance threshold of p&lt;1.4 3 1023 used throughout this study.</t>
  </si>
  <si>
    <t>No genetics correction due to prior hypothesis. No correction for mulitple comparisons on statistics</t>
  </si>
  <si>
    <t>Individual contrast images were analyzed using the general linear model in a second-level random-effects analysis with site, age, and gender as covariates (full factorial model including five groups—group 1, healthy controls with rs1006737 GG genotype; group 2, healthy controls with GA AA genotype; group 3, relatives of patients with BPD; group 4, relatives of patients with MDD; group 5, relatives of patients with SCZ).The family wise error rate is controlled for number of regions of interest.</t>
  </si>
  <si>
    <t>The models were adjusted for  site using random effects. The adjustments were made on the imaging, so that the number of comparisons or key regions were adjusted to ensure that the identified regioins tested were statistically significant.</t>
  </si>
  <si>
    <t>yes(MRI)</t>
  </si>
  <si>
    <t>multiple linear regression and adjusted using sidak correction</t>
  </si>
  <si>
    <t>The sidak correction was applied which is a variation on a Bonferroni correction.</t>
  </si>
  <si>
    <t>correlation type analysis that incorporated permutation correction.</t>
  </si>
  <si>
    <t>Permutation methods were used to correct the genetic association analysis allowing for correlation.</t>
  </si>
  <si>
    <t>yes(fmri)</t>
  </si>
  <si>
    <t>For each univariate analysis the mean contrast values within the ROI were used as the dependent measure. Separate regression models were fitted to test for the effect of OXTR-SNP, SLEs, and gene by environment (G E) interactions on each ROI. Sex and study center were included as covariates of no interest. Handedness and age were not included, because initial analyses revealed no effect on either ROI. Gene-wide significance was empirically determined with permutations that corrected for 23 SNPs (accounting for their LD structure), 4 ROIs, and the number of tests (main effects of SNPs, G E interactions).</t>
  </si>
  <si>
    <t>Imaging - Summary statistical maps were thresholded at p   .05 family-wise error (fwe)-corrected using gaussian random field theory. 
Statistics - Permutation to allow for robust results then corrected for multiple comparisons using Bonferroni.</t>
  </si>
  <si>
    <t>no (bootstrapped results to check the reliability of the results)</t>
  </si>
  <si>
    <t>yes (MRI)</t>
  </si>
  <si>
    <t>In our first analysis, which was performed separately for each of 47 regions of interest (ROIs), we used linear regression to examine the association between regional FDG and global PiB after adjusting for age and sex. We summarize these results by showing the mean FDG within each of the 4 PiB groups. In addition, we report a false discovery rate (FDR)-corrected p value of a “dose-effect” test of the association between regional FDG and the logarithm of PiB after accounting for age and sex. The logarithm transformation was used to reduce skewness and prevent subjects with the highest levels of PiB from having an outsized influence on the model fit.</t>
  </si>
  <si>
    <t>analysis - accounted for in the MAGEE model design with Random field  correction at region level. Number of models is corrected for via Bonferroni
imaging - Random field correction at region level</t>
  </si>
  <si>
    <t>Partial FDR on imaging</t>
  </si>
  <si>
    <t>imaging-adjusted using FDR. No corrections in the analysis</t>
  </si>
  <si>
    <t>partial - imaging threshold appled but with reference to theory, i.e. P&lt;=0.001.</t>
  </si>
  <si>
    <t xml:space="preserve"> imaging - fMRI significance measured at p &lt; 0.05 family-wise error (FWE) corrected for multiple comparisons at the voxel level</t>
  </si>
  <si>
    <t>A series general linear mixed models were fitted to each voxel region, with correction</t>
  </si>
  <si>
    <t>yes permutations for fmri</t>
  </si>
  <si>
    <t>permutation methods were used to correct across the correlation analysis</t>
  </si>
  <si>
    <t>No: studies of humans motivated by a priori predictions based on mouse study</t>
  </si>
  <si>
    <t>bonferroni, why not use a correction that accounts for power?</t>
  </si>
  <si>
    <t>The analysis did not correct for multiple comparisons due to the highly intercorrelated measures. However, I think a different correction could have been explored and tested. Perhaps permutations or correlation dependent Bonferroni type method.</t>
  </si>
  <si>
    <t>Additional information added 19/10/16</t>
  </si>
  <si>
    <t>N genetic models tested</t>
  </si>
  <si>
    <t>only for secondary analysis of transcription</t>
  </si>
  <si>
    <t>1 per SNP</t>
  </si>
  <si>
    <t>not needed</t>
  </si>
  <si>
    <t>linear regression with COMT and DARPP-32 genotypes as independent variables</t>
  </si>
  <si>
    <t>n/a</t>
  </si>
  <si>
    <t>Genetic model (0=not reported; 1=additive; 2=dominant/Recessive; 3=Other)</t>
  </si>
  <si>
    <t>1 and 2 x 2</t>
  </si>
  <si>
    <t>1 or 2, depending on rarity of minor allele</t>
  </si>
  <si>
    <t>compared long and short tandem repeats</t>
  </si>
  <si>
    <t>1 or 2 depending on polymorphism</t>
  </si>
  <si>
    <t>1 (for some polymorphisms)</t>
  </si>
  <si>
    <t>1 per SNP?</t>
  </si>
  <si>
    <t>1 and 2?</t>
  </si>
  <si>
    <t>1 or 2 (ie some tests used haplotypes)</t>
  </si>
  <si>
    <t>no?</t>
  </si>
  <si>
    <t>0; focus on interaction between genotypes</t>
  </si>
  <si>
    <t>3 epistasis</t>
  </si>
  <si>
    <t>double check this one: complicated</t>
  </si>
  <si>
    <t>(only to determine which SNP to study)</t>
  </si>
  <si>
    <t>SNP selected on basis of haplotype analysis</t>
  </si>
  <si>
    <t>N polymorphisms</t>
  </si>
  <si>
    <t>SNPs chosen from previous literature; argues no correctcion needed bcs strong prior prediction</t>
  </si>
  <si>
    <t>correlated polymorphisms? (1 = no; 2 = yes; 3 = unclear)</t>
  </si>
  <si>
    <t>correction for N models</t>
  </si>
  <si>
    <t>re polymorphisms: H. Adams:
indeed the main variant; a few other variants in LD were also studied and reported (in the supplement maybe?)</t>
  </si>
  <si>
    <t>H. Adams:</t>
  </si>
  <si>
    <t>re functional gene: yes, see introduction/discussion of paper. Actually mostly functional studies, and no neuroimaging studies.</t>
  </si>
  <si>
    <t>re replication: indeed no replication in this paper, but I can share in confidence that this result has been replicated in an ongoing GWAS of the anterior commissure. Please let me know if you want to mention this in your paper.</t>
  </si>
  <si>
    <t>re reliability of phenotype: H. Adams:
for freesurfer ROIs see their respective papers. For the AC we developed our own method, and reported the ICC (&gt;0.9)</t>
  </si>
  <si>
    <t>Marcus comment</t>
  </si>
  <si>
    <t>They claim a correlation between the SNPs in COMT and  DARPP-32 - but the genes are on different chromosomes! This seems a critical step in their choice of analytical model (fifth paragraph in Materials and Methods). In response to your queries though:  1. I don't think the outcomes are independent (although it's *very* hard to parse this paper!), but regardless my take has always been that correction is meant to be conservative, so if your outcomes aren't independent and you correct you're simply erring on the side of being conservative.  2. I doubt the regression approach involves any correction. Everything these discuss makes reference to p-values with no mention of correction, FDR etc.  If the paper is coded as "not reported" I think that's adequate.</t>
  </si>
  <si>
    <t>10/10/2016 and 27/10/16</t>
  </si>
  <si>
    <t>7/10/16 DB; 27/10/16 DB</t>
  </si>
  <si>
    <t>01/10/2016 and 27/10/16</t>
  </si>
  <si>
    <t>01/10/2016, DB; 27/10/16</t>
  </si>
  <si>
    <t>01/10/2016, db; 27/10/16</t>
  </si>
  <si>
    <t>1/10/16: Queried what methodological info we wanted. Subsequently more detail in pdf</t>
  </si>
  <si>
    <t>2/10/16, DB; 27/10/16</t>
  </si>
  <si>
    <t>Then further email:The primary purpose of the study was to explore the modulatory effect of WWC1 genotype on age-related decline in episodic memory function using both cognitive (Weschler Memory Scale- WMS) and neurophysiological (BOLD fMRI during an episodic memory task) metrics. You seem to have extracted only the results related to the WMS and none of the imaging results. Was that the intent? Please let us know how we can help further.</t>
  </si>
  <si>
    <t>07/10/2016 and 27/10/16</t>
  </si>
  <si>
    <t>2/10/16 by DB and 27/10/16</t>
  </si>
  <si>
    <t>reply to email 2:Thank you for the reminder. I will check the summary you sent and send you any corrections or clarifications I have early next week.</t>
  </si>
  <si>
    <t>author reply</t>
  </si>
  <si>
    <t xml:space="preserve">27/10 Weinberger: We are working on this…back to you soon. </t>
  </si>
  <si>
    <t xml:space="preserve">Farmer: . The data from the paper looks fine although we did not correct for multiple testing as we only assayed 5-HTTLPR.
</t>
  </si>
  <si>
    <t>Repcode;  0=no; 
1=yes; 
2=complicated!</t>
  </si>
  <si>
    <t>Recode for table (journal + repcode)</t>
  </si>
  <si>
    <t>Yes; selected result is NS when correction made for N regions considered</t>
  </si>
  <si>
    <r>
      <t xml:space="preserve">Baseline: seven personality questionnaires: (i) the Eysenck-Personality-Inventory (ii) the State-Trait Anger Expression Inventory for anger suppression; (iii) the Sense of Coherence Scale (iv) the German-language Fragebogen zur Sozialen Unterstützung for perceived and anticipated support from the social environment; (v) the Life Orientation Test for dispositional optimism; (vi) the depressivity scale of Zerssen (vii) the psychoticism scale of Baumann and Dittrich; at follow-up, </t>
    </r>
    <r>
      <rPr>
        <sz val="11"/>
        <color rgb="FFFF0000"/>
        <rFont val="Calibri"/>
        <family val="2"/>
        <scheme val="minor"/>
      </rPr>
      <t>self-report of 3 depressive symptoms</t>
    </r>
  </si>
  <si>
    <t>SE from authors</t>
  </si>
  <si>
    <t>Comments by DN: Nothing wrong methodologically but did a LOT of tests
Not sure individual significant result means anything - if I was them, I would be looking for clusters of results (as they did)
Also I would be worried about the amount of variability in brain volume across childhood. they say this is a positive thing about the study but surely it adds a lot of noise?
Numbers of SNPs and genes not a problem but number of brain regions tested may be....
No rationale for model applied - guess it was on the basis of previous results....</t>
  </si>
  <si>
    <t>Two polymorphisms studied (COMT &amp; DTNBP1 haplotype)</t>
  </si>
  <si>
    <t>Should not be in LD (the DTNBP1 SNPs will probably be in LD but these were treated as a haplotype)</t>
  </si>
  <si>
    <t>These are not in LD</t>
  </si>
  <si>
    <t>I am not entirely sure what the phenotypes are (!) but they say there are 3 derived phenotypes (win-stay, lose-shift, perservation)(although they also show graphs for chance-error?). They definitely did more than 3x3 tests as they looked at interactions and also introduce other things like feedback history.</t>
  </si>
  <si>
    <t>DFN: tested two polymorphisms; one real polymorphism and another quasi-polymorphism (see note below).</t>
  </si>
  <si>
    <t>DFN: re figure This is confusing - the result they refer to is the blue, starred result shown in panel B. I think they have then mixed up the figure legends for A and B?</t>
  </si>
  <si>
    <t xml:space="preserve">DFN: Two polymorphisms were analysed:
DAT1 - one VNTR (only two alleles analysed)
SERT - one indel and one SNP were genotyped and then combined for analyses. 
the SERT indel (called 5HTTLPR) is an insertion/deletion in the promoter of the gene that has two form (SHORT - no insertion and LONG - with 42bp insertion). rs25531 is a SNP that is found in this inserted region and so only occurs in the LONG form of the indel. There are therefore three possible alleles across these two variants - SHORT and LONG(A) AND LONG(G)
For the INDEL, the LONG-allele has been associated with higher SERT expression than the SHORT allele.
For the SNP, the G allele lowers SERT transcription compared with the more frequent A-allele. 
They have collapsed the three variants to two
</t>
  </si>
  <si>
    <t>N behav/psychiat phenotypes</t>
  </si>
  <si>
    <t>correlated phenotypes? (1 = no; 2 = yes; 3 = probably but not stated)</t>
  </si>
  <si>
    <t>N behav/psychiatric phenotypes</t>
  </si>
  <si>
    <t>fMRI + aversive anticipation (2 experiments ; each one phenotype- skin conductance and startle data)</t>
  </si>
  <si>
    <t>Correction for N phenotypes  (0=no correction;1=Bonferroni no correl; 2=data reduction (eg latent factor); 3=Permutation;4=Other;5=not needed-1 pheno only)</t>
  </si>
  <si>
    <t>no reply</t>
  </si>
  <si>
    <t>corrected for neuro but not behav?</t>
  </si>
  <si>
    <t>check : correction for imaging only - what about personality measures?</t>
  </si>
  <si>
    <t>N neuro phenotypes</t>
  </si>
  <si>
    <t>Statements on multiple testing in paper</t>
  </si>
  <si>
    <t xml:space="preserve">To control for multiple testing in the discovery sample, Bonferroni correction was used: analyses of eight SNPs, a total of four subscales, and two sexes separately, yielding 64 independent tests. </t>
  </si>
  <si>
    <t xml:space="preserve">personal- ity risk factors for substance dependence were also assessed, but these factors were not the focus of this investigation and are discussed elsewhere </t>
  </si>
  <si>
    <t>other</t>
  </si>
  <si>
    <r>
      <t xml:space="preserve">Although the genotypes together did not reliably predict RP amplitude, the model revealed that the pro- moter C-521T polymorphism of the DRD4 gene uniquely predicted theta power (beta = </t>
    </r>
    <r>
      <rPr>
        <sz val="10"/>
        <color theme="1"/>
        <rFont val="AdvTTc5020120+22"/>
      </rPr>
      <t>−</t>
    </r>
    <r>
      <rPr>
        <sz val="10"/>
        <color theme="1"/>
        <rFont val="AdvTTc5020120"/>
      </rPr>
      <t xml:space="preserve">.16, </t>
    </r>
    <r>
      <rPr>
        <sz val="10"/>
        <color theme="1"/>
        <rFont val="AdvTT74b11a14.I"/>
      </rPr>
      <t xml:space="preserve">p </t>
    </r>
    <r>
      <rPr>
        <sz val="10"/>
        <color theme="1"/>
        <rFont val="AdvTTc5020120"/>
      </rPr>
      <t xml:space="preserve">&lt; .05), indicating that an increase in C alleles (increase in D4) predicted less theta power (Figure 4, bottom), consistent with pre- vious findings (Marco-Pallares et al., 2009) </t>
    </r>
  </si>
  <si>
    <t xml:space="preserve">Furthermore, the relationship between theta power and DRD4-521 </t>
  </si>
  <si>
    <r>
      <t xml:space="preserve">the indirect effect from the DRD4 C-521T genotype to the RP through theta was statistically signifi- cant ( </t>
    </r>
    <r>
      <rPr>
        <sz val="10"/>
        <color theme="1"/>
        <rFont val="AdvTT74b11a14.I"/>
      </rPr>
      <t xml:space="preserve">p </t>
    </r>
    <r>
      <rPr>
        <sz val="10"/>
        <color theme="1"/>
        <rFont val="AdvTTc5020120"/>
      </rPr>
      <t xml:space="preserve">= .012), and the indirect effect from theta power to GCR score through the RP was statistically significant ( </t>
    </r>
    <r>
      <rPr>
        <sz val="10"/>
        <color theme="1"/>
        <rFont val="AdvTT74b11a14.I"/>
      </rPr>
      <t xml:space="preserve">p </t>
    </r>
    <r>
      <rPr>
        <sz val="10"/>
        <color theme="1"/>
        <rFont val="AdvTTc5020120"/>
      </rPr>
      <t xml:space="preserve">= .002), indicating that the variation in DRD4-521 gene can influence the level of substance dependence indirectly through the degree of engagement of ACC. </t>
    </r>
  </si>
  <si>
    <r>
      <t xml:space="preserve">we found that C allele carriers associated with enhanced D4 expression (Okuyama et al., 1999; but see Kereszturi et al., 2006) of the DRD4 promoter </t>
    </r>
    <r>
      <rPr>
        <sz val="10"/>
        <color theme="1"/>
        <rFont val="AdvTTc5020120+22"/>
      </rPr>
      <t>−</t>
    </r>
    <r>
      <rPr>
        <sz val="10"/>
        <color theme="1"/>
        <rFont val="AdvTTc5020120"/>
      </rPr>
      <t xml:space="preserve">521 SNP displayed a relatively suppressed theta response by medial frontal cortex to salient or unexpected task- relevant events. In turn, there was an indirect effect of theta on GCR score through the RP. </t>
    </r>
  </si>
  <si>
    <t xml:space="preserve">whereas previous studies have reported links between ERPs re- lated to performance monitoring (response-locked error- related negativity, feedback error-related negativity) and dopamine-related genes (i.e., DRD4, COMT; for a review, see Manoach &amp; Agam, 2013; see also Agam et al., 2014), in this study, none of the genotypes significantly predicted RP amplitude. </t>
  </si>
  <si>
    <t xml:space="preserve">the sample consisted of undergraduate students recruited from the University of Victoria who may not be representative of the population in general nor of severely dependent substance users in particular. However, nearly a quarter of the sample met the ASSIST criteria for substance dependence </t>
  </si>
  <si>
    <t>SEM with bootstrapping</t>
  </si>
  <si>
    <t>For comparison also measured ERP components P200 and P300</t>
  </si>
  <si>
    <t>From supplementary : Importantly, the amplitudes of other prominent ERP components (N200, P300) were equivalent for the three groups (p&gt;.05), confirming that the effect of interest was isolated to the reward positivity and did not reflect an overall processing difference across the participants.</t>
  </si>
  <si>
    <t xml:space="preserve">We examined several performance measures derived from the T-maze task. The overall reaction time participants took to select an alley was 637 ms (SE = 22). Although feedback was random (50/50 probability), participants tended to select the same alley following reward feedback (win-stay: 70%) more often than switching to the alternative alley (win-shift: 30%), </t>
  </si>
  <si>
    <t>(compared groups on win-stay, lose-shift, and reaction time overall and to these conditions)</t>
  </si>
  <si>
    <r>
      <t xml:space="preserve">A single nucleotide polymorphism (rs2267735) in the type I receptor (PAC1-R) of the pituitary adenylate cyclase activating polypeptide (PACAP) was found to be predictive of PTSD symptoms in female patients, but not male patients. cites: Ressler KJ, Mercer KB, Bradley B, Jovanovic T, Mahan A, Kerley K, </t>
    </r>
    <r>
      <rPr>
        <sz val="7"/>
        <color theme="1"/>
        <rFont val="AdvOT3a037357.I"/>
      </rPr>
      <t>et al</t>
    </r>
    <r>
      <rPr>
        <sz val="7"/>
        <color theme="1"/>
        <rFont val="AdvOTf0129623"/>
      </rPr>
      <t>. (2011): Post-traumatic stress disorder is associated with PACAP and the PAC1 receptor. Nature 470:492</t>
    </r>
    <r>
      <rPr>
        <sz val="7"/>
        <color theme="1"/>
        <rFont val="AdvOTf0129623+20"/>
      </rPr>
      <t>–</t>
    </r>
    <r>
      <rPr>
        <sz val="7"/>
        <color theme="1"/>
        <rFont val="AdvOTf0129623"/>
      </rPr>
      <t xml:space="preserve">497. </t>
    </r>
  </si>
  <si>
    <t>PAC1-R</t>
  </si>
  <si>
    <t>alleles (C is risk)</t>
  </si>
  <si>
    <t>neuro correction</t>
  </si>
  <si>
    <t>neuro method</t>
  </si>
  <si>
    <t>Neuro method</t>
  </si>
  <si>
    <t>fMRI BOLD response for 4 regions (L/R hippocampus and amygdala) x 2 tasks (cue and contextual conditioning) x 4 phases (habituation, early and late acquisition, and extinction)</t>
  </si>
  <si>
    <t>fMRI figures: The images show areas that reach an uncorrected voxelwise threshold of p , .001 for the contrast threat versus safe in experiment 1 (n 5 99; in red) and experiment 2 (n 5 69; in green). Overlap is shown in yellow. All labeled clusters reach cluster- level corrected significance in each sample separately (family wise error corrected at the cluster level corrected p , .05).</t>
  </si>
  <si>
    <r>
      <t xml:space="preserve">a comparable genotype effect in sample 2 was revealed in the mean activity of the dmPFC region that was shown to be genotype sensitive in sample 1 (5-HTTLPR </t>
    </r>
    <r>
      <rPr>
        <sz val="9"/>
        <color theme="1"/>
        <rFont val="AdvOT8317d6aa"/>
      </rPr>
      <t xml:space="preserve">3 </t>
    </r>
    <r>
      <rPr>
        <sz val="9"/>
        <color theme="1"/>
        <rFont val="AdvOTf0129623"/>
      </rPr>
      <t xml:space="preserve">threat sample 2: </t>
    </r>
    <r>
      <rPr>
        <sz val="9"/>
        <color theme="1"/>
        <rFont val="AdvOT3a037357.I"/>
      </rPr>
      <t>F</t>
    </r>
    <r>
      <rPr>
        <sz val="6"/>
        <color theme="1"/>
        <rFont val="AdvOTf0129623"/>
      </rPr>
      <t xml:space="preserve">1,69 </t>
    </r>
    <r>
      <rPr>
        <sz val="9"/>
        <color theme="1"/>
        <rFont val="AdvOT8317d6aa"/>
      </rPr>
      <t xml:space="preserve">5 </t>
    </r>
    <r>
      <rPr>
        <sz val="9"/>
        <color theme="1"/>
        <rFont val="AdvOTf0129623"/>
      </rPr>
      <t xml:space="preserve">6.16, </t>
    </r>
    <r>
      <rPr>
        <sz val="9"/>
        <color theme="1"/>
        <rFont val="AdvOT3a037357.I"/>
      </rPr>
      <t xml:space="preserve">p </t>
    </r>
    <r>
      <rPr>
        <sz val="9"/>
        <color theme="1"/>
        <rFont val="AdvOT8317d6aa"/>
      </rPr>
      <t xml:space="preserve">5 </t>
    </r>
    <r>
      <rPr>
        <sz val="9"/>
        <color theme="1"/>
        <rFont val="AdvOTf0129623"/>
      </rPr>
      <t xml:space="preserve">.015; </t>
    </r>
    <r>
      <rPr>
        <sz val="9"/>
        <color rgb="FF2196D1"/>
        <rFont val="AdvOTf0129623"/>
      </rPr>
      <t>Figure 3</t>
    </r>
    <r>
      <rPr>
        <sz val="9"/>
        <color theme="1"/>
        <rFont val="AdvOTf0129623"/>
      </rPr>
      <t xml:space="preserve">). </t>
    </r>
  </si>
  <si>
    <t xml:space="preserve">Innate 5-HTTLPR linked variation in dmPFC activity predicts psychophysiological responsivity to pending threats. </t>
  </si>
  <si>
    <t>p value of 0.01 was used instead of 0.05 to balance the risk of type I and type II errors, due to the large number of statistical tests performed.</t>
  </si>
  <si>
    <r>
      <t xml:space="preserve">Main focus of paper was on interactions of APOE status and diet in relation to cognitive outcomes; </t>
    </r>
    <r>
      <rPr>
        <strike/>
        <sz val="11"/>
        <color rgb="FFFF0000"/>
        <rFont val="Calibri"/>
        <family val="2"/>
        <scheme val="minor"/>
      </rPr>
      <t xml:space="preserve"> </t>
    </r>
  </si>
  <si>
    <t>fMRI: amygdala response to odor and taste of milkshakes when sated or hungry; weight gain at 1 year follow up</t>
  </si>
  <si>
    <t xml:space="preserve">To correct for multiple comparisons, an alpha level of 0.05/9 (.0055) was used as the threshold for significance for internal state analyses (9 time points) and an alpha level of 0.05 /0 (.005) was used as the threshold for significance for perceptual ratings data (5 perceptual qualities per stimulus, 2 types of stimuli). </t>
  </si>
  <si>
    <t>structural MRI, with automated segmentation by Freesurfer for most regions; manual segmentation for anterior commissure</t>
  </si>
  <si>
    <t>fMRI to angry faces vs control condition (Also tested ambiguous faces but not reported here); ROIs were L and R amygdala and L and R ventral striatum</t>
  </si>
  <si>
    <t xml:space="preserve">Check: computed from figure: is close to value reported from regression equation. </t>
  </si>
  <si>
    <t>MRI PET to measure uptake of Pittsburgh compound (measure of brain metabolism) in different brain regions.</t>
  </si>
  <si>
    <t>Standardised effect size (r) for selected result*</t>
  </si>
  <si>
    <t>For selected result we focus only on univariate result with largest effect size</t>
  </si>
  <si>
    <t>selected result</t>
  </si>
  <si>
    <t>Computations for selected result</t>
  </si>
  <si>
    <t>Ns for selected result</t>
  </si>
  <si>
    <t>Standardised effect size (r) for selected result</t>
  </si>
  <si>
    <t>Large number of additional associations reported for tensor-based morphometry, but not possible to establish effect size on a common scale. Effect size for selected result based on initial p without covariates or correction for inclusion of twins</t>
  </si>
  <si>
    <t>No, but selected result replicates previously established finding</t>
  </si>
  <si>
    <t>Main goal of study was to use Mendelian randomisation to establish whether alcohol consumption had causal influence on rates of depression. This gave null finding. selected result, above, replicates previous finding of link between SNP and alcohol consumption</t>
  </si>
  <si>
    <t>selected result corrected to: Risk allele A of rs1990622 associated with a smaller AC and lower gray matter volume of the left temporal regions.</t>
  </si>
  <si>
    <t>selected result for L hippocampus, but similar effect size in R hippocampus; effect also found with Muenster sample. Also found interaction between rs7294919 and rs2299403 in the Reelin gene that withstood correction for multiple comparisons</t>
  </si>
  <si>
    <t>Computations for selected result, quantitative phenotype</t>
  </si>
  <si>
    <t>selected result from replication sample, but same  sex-specific association with hippocampal activation found in discovery sample</t>
  </si>
  <si>
    <t>Michael forwarded me your email about our paper. In addition to the notes he had, I wasn't able to understand where the numbers in the spreadsheet came from. There are a number of results in the paper, as you note, but if you'd like to focus on the one listed in the selected result field, then presumably you'll want to refer to last paragraph of the Transfer phase section in Results (p1217), and also the Transfer phase section of Methods (p1213) which describes how the regression was set up. Finally, the Study conclusion field in your spreadsheet is incorrect. If you'd like to restrict your focus to the result listed in the selected result field, then the study conclusion should be identical to the selected result.</t>
  </si>
  <si>
    <t>Largest correlation with polymorphism was D4-521T with Global Continuum of Substance Abuse Risk (.16) and theta (- .16). selected result here estimated from theta data in Fig 4</t>
  </si>
  <si>
    <t>Correction for N neuro phenotypes (0: no correction; 1: Bonferroni; 2: FDR; 3: Permutation; 4: Other; 5: not needed)</t>
  </si>
  <si>
    <t>dualcode cols N&amp;O</t>
  </si>
  <si>
    <t>dualcode cols H&amp;I</t>
  </si>
  <si>
    <t>`</t>
  </si>
  <si>
    <t>Significance level of 0.005 (0.05/10; Bonferroni corrected for the number of genetic tests conducted); No correction for number of ROIs</t>
  </si>
  <si>
    <t xml:space="preserve">Structural MRI: Brain tissue was classified as GM, unmyelinated WM, myelinated WM (mWM), and CSF using an automatic, atlas-moderated expectation maximization segmentation tool </t>
  </si>
  <si>
    <t>Genetic correction type (0=no correction;1=Bonferroni no correl; 2=adj to N to effect comparisons_inc haplotype; 3=Permutation;4=Other;5=no correction needed-1 only)</t>
  </si>
  <si>
    <t>correction:0=no correction;1=Bonferroni; 2=adj to N to effect comparisons_inc haplotype; 3=Permutation;4=Other;5=no correction needed-1 only</t>
  </si>
  <si>
    <t>correction:0=no correction;1=Bonferroni; 2=data reduction (eg extract latent variable); 3=Permutation;4=Other;5=no correction needed-1 only</t>
  </si>
  <si>
    <t>They do say they made corrections (Bonferroni and Huyn-Feldt)</t>
  </si>
  <si>
    <t>Correction for N phenotypes  (0=no correction;1=Bonferroni; 2=data reduction (eg latent factor); 3=Permutation;4=Other;5=not needed-1 pheno only)</t>
  </si>
  <si>
    <t>Different for ROI and whole-brain; latter used fMRI significance measured at p &lt; 0.05 family-wise error (FWE) corrected for multiple comparisons at the voxel level</t>
  </si>
  <si>
    <t>reasonably close to result obtained from t-value</t>
  </si>
  <si>
    <t>The statistical significance threshold for all tests was p = 0.05, using a Bonferroni correction where appropriate. To increase sensitivity, we did not use a Bonferroni correction for any of the control analyses</t>
  </si>
  <si>
    <t>Pain cluster 1 or 2 identified on basis of baseline personality and anxiety traits; real time autonomic nervous system parameters and serum cortisol at baseline and after visceral and somatic pain; fMRI to visceral pain also studied in subgroup of 29, but not used for genotype analysis, so ignored here</t>
  </si>
  <si>
    <r>
      <t>Permutations with 100,000 iterations were used to control for hemisphere speci</t>
    </r>
    <r>
      <rPr>
        <sz val="11"/>
        <color theme="1"/>
        <rFont val="Calibri"/>
        <family val="2"/>
        <scheme val="minor"/>
      </rPr>
      <t xml:space="preserve">fic tests of VS BOLD response. Where pcorrected is indicated, p values were corrected for statistical tests performed in the left and right hemisphere. </t>
    </r>
  </si>
  <si>
    <t>authors noted: "Individual BOLD values from the functional amygdala clusters exhibiting habituation were extracted using the VOI tool in SPM2. Analyses involving FAAH genotype were conducted using these extracted values outside of SPM2, thereby eliminating any possibility of correlations that are artificially inflated because of extraction and correlation techniques that capitalize on the same data twice."</t>
  </si>
  <si>
    <t>neurobias</t>
  </si>
  <si>
    <t>Mention of effect size</t>
  </si>
  <si>
    <t>One result described in terms of Cohen's d.</t>
  </si>
  <si>
    <t>Table 3, effect size as regression coefficients</t>
  </si>
  <si>
    <t>task specific activation in fMRI described as effect size, but scale unclear</t>
  </si>
  <si>
    <r>
      <t xml:space="preserve">Based on previous </t>
    </r>
    <r>
      <rPr>
        <sz val="11"/>
        <color rgb="FF211E1E"/>
        <rFont val="Calibri (Body)"/>
      </rPr>
      <t xml:space="preserve">findings for LOAD, we had strong prior evidence for all of our hypotheses, so we did not adjust for multiple comparisons; a P- value &lt; 0.05 was considered statistically significant </t>
    </r>
  </si>
  <si>
    <t xml:space="preserve">estimated effects computed from the models are standardized betas </t>
  </si>
  <si>
    <r>
      <t xml:space="preserve">Standardised </t>
    </r>
    <r>
      <rPr>
        <sz val="11"/>
        <color rgb="FF211E1E"/>
        <rFont val="Calibri"/>
        <family val="2"/>
        <scheme val="minor"/>
      </rPr>
      <t>β-values shown (ES not explicitly mentioned)</t>
    </r>
  </si>
  <si>
    <t>Table 2 shows effect sizes as regression coefficient</t>
  </si>
  <si>
    <t>data as odds ratios</t>
  </si>
  <si>
    <t>data reported as odds ratios</t>
  </si>
  <si>
    <t>mentioned in context of power analysis, but not for the data reported here</t>
  </si>
  <si>
    <t>mention of effect size</t>
  </si>
  <si>
    <t>mention of multiple testing</t>
  </si>
  <si>
    <t>N genetic models per SNP</t>
  </si>
  <si>
    <t>1?</t>
  </si>
  <si>
    <t>Largest genetic association</t>
  </si>
  <si>
    <t>Effect size computed from</t>
  </si>
  <si>
    <t>Largest genetic association (selected result)</t>
  </si>
  <si>
    <t>Effect size from</t>
  </si>
  <si>
    <t>4? [2 x 2]</t>
  </si>
  <si>
    <t>Long summary</t>
  </si>
  <si>
    <t>N subgroups</t>
  </si>
  <si>
    <t>Subgroups</t>
  </si>
  <si>
    <t>Discovery sample (D) Child and Adolescent Twin Study in Sweden (CATSS); Replication sample (R) Twin Study of Child and Adolescent Development (TCHAD); age 16-20; analysed boys, girls and boys+girls</t>
  </si>
  <si>
    <t>Means/SDs table 2</t>
  </si>
  <si>
    <t xml:space="preserve">rs7632287 </t>
  </si>
  <si>
    <t>RECESSIVE MODEL</t>
  </si>
  <si>
    <t>AG+GG (for recessive)</t>
  </si>
  <si>
    <t>all for recessive</t>
  </si>
  <si>
    <t>Effect size (r) detectable with 90% power**</t>
  </si>
  <si>
    <t>Genetics - Then 106 permutations were performed to determine P-values for each genomic region. Limited by computational burden, 109 permutations were implemented only when 106 phenotype rearrangements were insufficient to acquire an exact P-value.                                                       analysis -Bonferroni separately for AA and EA ethnic groups</t>
  </si>
  <si>
    <t>Caucasian females 19-55; D and R both case-control series of patients with chronic facial pain</t>
  </si>
  <si>
    <t>09/10/2016; 27/10/16</t>
  </si>
  <si>
    <t>authors added minor details (in red above) and asked about computations; DB replied 29/11/16</t>
  </si>
  <si>
    <t>09/10/2016 DB; 27/10/16</t>
  </si>
  <si>
    <t>09/10/16 DB; 27/10/16</t>
  </si>
  <si>
    <t>acknowledgement from last au on 29.10.16</t>
  </si>
  <si>
    <t>Presence of short allele in 9/39 in pain cluster 1, and in 39/69 in pain cluster 2</t>
  </si>
  <si>
    <t>9/10/16 by DB; 27/10/16</t>
  </si>
  <si>
    <t>9/10/16 DB</t>
  </si>
  <si>
    <t xml:space="preserve">12/10/16 First, I would say that the selected results of the paper are the modelling / DAT findings - this is what we spent most of the paper discussing, and the modelling effort was really geared towards understanding the effect of DAT. This turns out to be the effect we really have a mechanistic handle  (i.e. a parameter in a generative model) on, in terms of  what process the genotype affects. Given that the effect sizes are fairly comparable for SERT and DAT, we would have a preference for using that effect. Below I summarised the results, and point out a couple of mistakes in the table that you sent us
The first selected result is the effect of dopamine transporter polymorphism on perseveration. 
The key analysis capturing this effect is the modelling approach and the parameter rho. Because of the non-normal distribution of this parameters, the selected result is the nonparametric test of difference across groups,p 1094, using a Jonckheere's test, J=53,943, Z = -2.99, p = .004. 
The first selected result is the effect of serotonin transporter polymorphism on lose-shift
The selected result in your table is S' homozygotes vs SL. This is incorrect. Any of the following would be correct: 
-  We first test for a linear effect across nr of S alleles: SS (n=194), SL(n=  319), LL (n = 170), F = 5.9, p = .003, eta_sq = .017
- post hoc, we test the extreme cases, i.e. both homozygote groups effects, SS vs LL, p = .001
- we also post-hoc group S carriers vs LL homozygotes, which is standard in the literature for smaller sample sizes, leading to virtually the same results, F = 9.29, p = .002, eta_sq = .014
multiple comparison: we start with a repeated measures GLM over the three factors of interest, which are all proportion scores. (Winstay, LoseShift, perseverative errors), and within such a glm it is not necessary to do a correction for multiple comparisons, and our genotype analyses are post-hoc to this first global analysis. I would like to point  out, however, that the selected results (see above) all survive correction when correcting for the 3 measures and 2 genotypes  (all &lt;.05/6 = .009) 
Finally, regarding the other questions (functional gene, established phenotype) - are you also expecting an answer from us on that? 
</t>
  </si>
  <si>
    <t>Authors cite meta-analysis: A. Milnik, A. Heck, C. Volger, H.-J. Heinze, DF-F de Quervain, A. Papassotiropoulos (2012) Association of KIBRA with episodic and working memory: A meta-analysis. Am J Med Genet Neuropsychiatr Part B, 159B, pp. 959–969</t>
  </si>
  <si>
    <t>rs237915 effect on left VS (rs237915: F2,1439 = 9.4, pfwe-corrected = .0009)</t>
  </si>
  <si>
    <t>‘J’-curve association between alcohol consumption and the risk of depression: men who reported consuming one or two standard drinks per day had the lowest risk of depression. However, the distribution of the probabilities of depression according to alcohol use did not seem to vary substantially among carriers and non-carriers of the A allele of the rs1229994 ADH1B gene.</t>
  </si>
  <si>
    <t>see https://www.ncbi.nlm.nih.gov/pubmed/23917906</t>
  </si>
  <si>
    <t>Preliminary request for means/SDs on 29/9/16 by DB</t>
  </si>
  <si>
    <t>10.1039/mp.2014.156</t>
  </si>
  <si>
    <t>74 common variants and 119 rare variants</t>
  </si>
  <si>
    <t>Munafo et al (2009) meta-analysis noted evidence for publication bias, but concluded: "The DRD4 gene may be associated with measures of novelty seeking and impulsivity but not extraversion. The association of the C-521T variant with these measures, if genuine, may account for up to 3% of phenotypic variance."</t>
  </si>
  <si>
    <t>from Bradley Doll, 29th September</t>
  </si>
  <si>
    <t xml:space="preserve">expression was strikingly similar across Reward and No- reward conditions (theta Reward, F(2, 192) = 2.99, p &lt; .05; theta No-reward, F(2, 192) = 2.99, p &lt; .05), indicat- ing that individuals carrying the T allele expressed more theta power than did individuals carrying the C allele, irrespective of the condition. </t>
  </si>
  <si>
    <t xml:space="preserve">the relationship between DRD-521 SNP and D4 expression is still debated, in part because the gene is highly polymor- phic (Kereszturi et al., 2006). Future studies could investi- gate other polymorphisms of the DRD4 promoter region in the context of different genetic haplotypes, such as the SNPs in positions −769, −616, −615, −603, and −600, which may also influence promoter activity </t>
  </si>
  <si>
    <t>Thank you for your email! As far as we can see your summary looks fine. A couple of comments:/// ///-          Regarding the correction for multiple tests you write that is partial, and that we did not control for analysis of both groups and measures. Although we realize that it always can be discussed how to conduct a perfect replication study and how to optimally correct for multiple testing we do not really understand the concern. The marked p-values (*) in tables 2 and 3 survived correction for multiple testing using Bonferroni correction of 64 independent tests (eight SNPs, four subscales, and two sexes) in the Discovery sample. In table 4 we present the results for associations in the replication sample between SRD and the three SNPs having the strongest associations to SRD or LHA in discovery sample. The association surviving Bonferroni  correction in the Discovery sample (SRD vs rs7632297) also turned out to be significant in the replication sample (p=0.055 for three genotypes and p=0.019 for the recessive model). The other associations presented in Table 4 (SRD vs rs4564970 and rs53576) did not survive multiple testing in the Discovery sample in relation to SRD scores (see Table 2). The rs4564970 and rs53576 SNPs were investigated in the replication sample more out of curiosity due to strong associations to LHA (rs4564970) and nominal association to SRD (rs4564970 and rs53576) rather than to the statistical evidence provided from the Discovery sample. The inclusion of the rs53576 vs SRD results in Table 4 was also a demand from one of the reviewers./// ///-          At the far right in your summary you have dome computations that we do not really understand, but we suppose they are correct.///</t>
  </si>
  <si>
    <t>ES with 90% power</t>
  </si>
  <si>
    <t>10.1039/mp.2015.144</t>
  </si>
  <si>
    <t>OXTR + autism meta analysis (rs7632297, rs237997, rs2269491 and rs2254299) LoParo et al., 2014</t>
  </si>
  <si>
    <t xml:space="preserve"> linear mixed effect model in the MIXED procedure of SAS 9.3 (adjustment for dependent nature of twin observations and family observations); using R-side random effects with unstructured variance-covariance matrix, correlations between individuals MZ and DZ; boys &amp; girls analysed seperately; Bonferroni correction (64 independent tests; p = 0.00079)</t>
  </si>
  <si>
    <t>Global continuum of substance risk (GCR) Score WHO Alcohol, Smoking and Substance Involvement Screening Test [ASSIST; Humeniuk et al., 2009]; EEG + Virtual T-Maze task (reward-based choice task) [Reward positivity ERP amplitude; Theta power]</t>
  </si>
  <si>
    <t>personality meta-analysis Munafo et al., 2009; personality meta-analysis Balestri et al., 2014; SZ meta-analyses Shi et al., 2009</t>
  </si>
  <si>
    <t>Series of repeated measures linear mixed models; examined relationship between baseline diet score and time (baseline, 19 and 36 month follow-up) with respect to cognitive change. APOE e4 status was one of many factors examined, including: baseline diet score, time, body mass index,  country of birth, yr education, past smoking status, energy intake, history of angina, stroke, hypertension, heart attack and diabetes. Age as covariate.</t>
  </si>
  <si>
    <t xml:space="preserve">Association with circulating ghrelin: (n=25) At the hungry scan, average total ghrelin was not correlated with amygdala response to either the taste or smell of milkshake, nor were there interactions with TaqIA allele status. Average total ghrelin when hungry was also not correlated with  BMI in the whole group (r=0.30, p=0.15), or as a function of genotype (A1- : r=0.02,p=0.94, p=0.64; A1+ : r=0.46, p=0.13). Including
postprandial ghrelin response as a covariate in the analysis of the interaction among genotype,  BMI, and brain response to milkshake at the sated scan resulted in the significance of correlation in
BLA being reduced to trend level (ROI
analysis of M&gt;T Sated, A1-&gt;A1+ ; pFWE-peak=0.059). However, postprandial change in total ghrelin did not itself correlate with  BMI in either the whole sample (r=0.04, p=0.96) or as a function of genotype (A1- r=0.14, p=0.64; A1+ r=0.15, p=0.64). stepwise regression
analyses using extracted BLA parameter estimates showed that the interactions of TaqIA x BLA were still significant if ghrelin change was added (step4) </t>
  </si>
  <si>
    <t>fMRI during episodic memory task; psychological testing. At least 9 measures from psych testing but unclear if tested for association</t>
  </si>
  <si>
    <t>From Rotterdam study: Healthy nondemented stroke-free, aged over 45, mean age = 64.7 (SD=10.9)(European)</t>
  </si>
  <si>
    <t>Smoking cessation after intervention: biochemically confirmed 7-day point-prevalence abstinence at the end of 9 weeks of nicotine patch treatment</t>
  </si>
  <si>
    <t>Categorised into 4 subgroups according to level of amyloid brain load, diagnosed by PiB-PET; brain metabolism measured on  [19F]-fluorodeoxyglucose (FDG)-PET</t>
  </si>
  <si>
    <t>rs4690</t>
  </si>
  <si>
    <t>http://snpedia.com/index.php/Rs4690</t>
  </si>
  <si>
    <t>Tested for a simple main effect of NRG3 rs10749942 genotype using multiple regression model with NRG3 genotype as covariate of interest and age, sex, and n-back task performance (percentage correct responses) as nuisance covariates. For fMRI used an a priori defined anatomical mask of the right DLPFC</t>
  </si>
  <si>
    <t>N = 91 for imaging genetics; 975 for personality study</t>
  </si>
  <si>
    <t>All subjects showed significant amygdala habituation to threatening faces, calculated as a linear decrease over successive viewing, in the right hemisphere dorsally (x=24, y=−9, z=−11, z=4.59, t-test: t(79)=4.92, P&lt;0.01) and ventrally (x=32, y=−1, z=−20, z=4.36, t-test: t(79)=4.64, P&lt;0.01), and left hemisphere (x=−26, y=−1, z=−13, z=3.99, t-test: t(79)=4.10, P&lt;0.01). However, the rate of habituation differed significantly as a function of FAAH genotype (Figures 4a and b), with individuals carrying the lesser-expressing 395A variant demonstrating significantly greater habituation compared with C395 homozygotes in all three clusters (right dorsal: t-test: t(79)=2.15, P&lt;0.05; right ventral: t(79)=3.15, P&lt;0.01; left: t-test: t(79)=2.26, P&lt;0.05).</t>
  </si>
  <si>
    <t>Heidelberg longitudinal cohort: men (47.6%; mean age 53.5±7.1 years) and women (52.4%; mean age 52.9±7.0 years)</t>
  </si>
  <si>
    <t>10.1016/j.biopsych.2012.09.015</t>
  </si>
  <si>
    <t>10.1039/mp.2011.149</t>
  </si>
  <si>
    <t>10.1212/WNL.0b013e3192769910</t>
  </si>
  <si>
    <t>10.1039/mp.2011.104</t>
  </si>
  <si>
    <t>10.1212/WNL.0b013e3192735c9c</t>
  </si>
  <si>
    <t>10.1039/mp.2011.91</t>
  </si>
  <si>
    <t>10.1039/mp.2011.90</t>
  </si>
  <si>
    <t>10.1039/mp.2011.79</t>
  </si>
  <si>
    <t>Sensitive Parenting Is Associated with Plasma Oxytocin and Polymorphisms in the OXTR and CD39 Genes</t>
  </si>
  <si>
    <t>10.1039/mp.2011.45</t>
  </si>
  <si>
    <t>10.1039/mp.2011.33</t>
  </si>
  <si>
    <t>10.1039/mp.2011.19</t>
  </si>
  <si>
    <t>10.1039/mp.2010.137</t>
  </si>
  <si>
    <t>10.1039/mp.2011.24</t>
  </si>
  <si>
    <t>ZNF904A and social cognition in patients with schizophrenia and healthy controls</t>
  </si>
  <si>
    <t>10.1039/mp.2011.102</t>
  </si>
  <si>
    <t>10.1212/WNL.0b013e31924365ab</t>
  </si>
  <si>
    <t>10.1039/mp.2010.91</t>
  </si>
  <si>
    <t>10.1039/mp.2010.72</t>
  </si>
  <si>
    <t>10.1039/mp.2010.70</t>
  </si>
  <si>
    <t>10.1039/mp.2011.39</t>
  </si>
  <si>
    <t>9 SNPs related to OXTR</t>
  </si>
  <si>
    <t>Chromosome: 3:9779046;
RefSNP Alleles: G/T;
Ancestral Allele: G;
GMAF: T=0.19(1000 Genomes); MAF: T=0.16 (1000, Genomes, Phase 3, European)</t>
  </si>
  <si>
    <t>associations between SNPs and behavioural measures were estimated using a linear mixed effect model in the MIXED procedure of SAS 9.3 (adjustment for dependent nature of twin observations and family observations); using R-side random effects with unstructured variance-covariance matrix, correltaions between individuals monozygotic and dizygotic were calculated; boys and girls analysed seperately; bonferroni correction (64 independent tests; p = 0.00079)</t>
  </si>
  <si>
    <t>rs7632297, overt aggression, boys, recessive model, discovery sample</t>
  </si>
  <si>
    <t>rs2269499</t>
  </si>
  <si>
    <t>http://snpedia.com/index.php/Rs2269499</t>
  </si>
  <si>
    <t xml:space="preserve">Chromosome: 3:9770725;
RefSNP Alleles: C/T; Ancestral Allele: T; GMAF: C=0.39  (1000 Genomes); MAF: C=0.46 (1000 Genomes, Phase 3, European)
</t>
  </si>
  <si>
    <t xml:space="preserve">Chromosome: 3:9769722;
 RefSNP Alleles: C/G; 
Ancestral Allele: C;
GMAF: C=0.14 (1000 Genomes); MAF: C=0.09 (1000 Genomes, Phase 3, European) </t>
  </si>
  <si>
    <t>SRD CC/CG all M=7.09, SD=7.49; boys M=9.62, SD=9.77; gitls M=5.79, SD=5.92</t>
  </si>
  <si>
    <t>SRD GG all M=5.99, SD=6.67; boys M=6.99, SD=7.36; girls M=5.17, SD=6.01</t>
  </si>
  <si>
    <t>Overt aggression CC/CG all M=1.31, SD=2.35; boys M=1.92, SD=2.93; girls M=0.99, SD=1.59</t>
  </si>
  <si>
    <t>covert aggression CC/CG all M=5.77, SD=5.99; boys M=6.90, SD=6.70; girls M=4.91, SD=4.95</t>
  </si>
  <si>
    <t>SRD CC/CG M=3.45, SD=4.19</t>
  </si>
  <si>
    <t>SRD GG M=4.09, SD=7.03</t>
  </si>
  <si>
    <t>LHA CC/CG all M=7.90, SD=6.30; boys M=9.92, SD=7.30; girls M=7.14, SD=5.25</t>
  </si>
  <si>
    <t>LHA GG all M=6.90, SD=5.71; boys M=7.41, SD=6.10; girls M=6.35, SD=5.35</t>
  </si>
  <si>
    <t>Aggression CC/CG all M=7.11, SD=5.22; boys M=7.79, SD=5.94; girls M=6.56, SD=4.59</t>
  </si>
  <si>
    <t>Aggression GG all M=6.33, SD=5.09; boys M=6.99, SD=5.43; girls M=5.92, SD=4.75</t>
  </si>
  <si>
    <t>Antisocial/consequences CC/CG all M=0.79, SD=1.79; boys M=1.04, SD=2.21; girls M=0.59, SD=1.30</t>
  </si>
  <si>
    <t>Chromosome: 3:9762695;
RefSNP Alleles: A/G; Ancestral Allele: G; GMAF: A=0.39; MAF: A=0.35 (1000 Genomes, Phase 3, European)</t>
  </si>
  <si>
    <t>96 citations - (e.g. emotional support seeking, empathy, stress reactivity, parenting, affect, loneliness, hearing, grey matter volume hypothalamus, amygdala activation, reward dependency, autism, social cognition, aggression, "mind-reading", SZ, social exclusion)</t>
  </si>
  <si>
    <t>empathy: Rodrigues et al., 2009; prosociality: Tost et al., 2010; parenting: Bakermans-Kranenburg et al., 2009; amygdala activation: Tost et al., 2010</t>
  </si>
  <si>
    <t>SRD all p=0.049; boys p=0.0092; girls p=NS</t>
  </si>
  <si>
    <t>Cover aggression all p=NS; boys p=0.029; girls=NS</t>
  </si>
  <si>
    <t>d=0.29</t>
  </si>
  <si>
    <t>SRD AA all M=5.09, SD=4.91; boys M=5.57, SD=4.95; girls M=4.71, SD=4.67</t>
  </si>
  <si>
    <t>SRD GA all M=6.21, SD=7.10; boys M=7.62, SD=9.52; girls M=5.19, SD=5.64</t>
  </si>
  <si>
    <t>SRD GG all M=6.17, SD=6.92; boys M=7.06, SD=7.12; girls M=5.49, SD=6.69</t>
  </si>
  <si>
    <t>Overt aggression AA all M=0.69, SD=1.25; boys M=0.94, SD=1.50; girls M=0.49, SD=0.97</t>
  </si>
  <si>
    <t>covert aggression Aa all M=4.40, SD=4.19; boys M=4.62, SD=4.10; girls M=4.23, SD=4.24</t>
  </si>
  <si>
    <t>SRD GG M=3.99, SD=6.63</t>
  </si>
  <si>
    <t>rs2254299</t>
  </si>
  <si>
    <t>http://snpedia.com/index.php/Rs2254299</t>
  </si>
  <si>
    <t>Chromosome: 3:9760542; RefSNP Alleles: A/G; Ancestral Allele: G; GMAF: A=0.21; MAF: A=0.11 (1000 Genomes, Phase 3, European)</t>
  </si>
  <si>
    <t>SRD AA/GA all M=6.49, SD=6.94; boys M=7.43, SD=7.65; girls M=5.62, SD=5.99</t>
  </si>
  <si>
    <t>Overt aggression AA/GA all M=1.17, SD=2.20;boys M=1.55, SD=2.59; girls M=0.93, SD=1.69</t>
  </si>
  <si>
    <t>Covert aggression AA/GA all M=5.31, SD=5.33; boys M=5.99, SD=5.90; girls M=4.79, SD=4.92</t>
  </si>
  <si>
    <t>Covert aggression GG all M=5.01, SD=5.35; boys M=5.72, SD=5.93; girls M=4.50, SD=4.92</t>
  </si>
  <si>
    <t>aggression all p=0.046; boys p=NS; girls p=0.0094</t>
  </si>
  <si>
    <t>LHA AA/GA all M=7.56, SD=6.23; boys M=7.71, SD=6.96; girls M=7.41, SD=5.60</t>
  </si>
  <si>
    <t>Aggression AA/GA all M=6.92, SD=5.34; boys M=7.02, SD=5.91; girls M=6.94, SD=4.99</t>
  </si>
  <si>
    <t>Aggression GG all M=6.29, SD=5.03; boys M=6.95, SD=5.39; girls M=5.90, SD=4.71</t>
  </si>
  <si>
    <t>Antisocial/consequences AA/GA all M=0.63, SD=1.61; boys M=0.70, SD=1.96; girls M=0.57, SD=1.34</t>
  </si>
  <si>
    <t>rs237997</t>
  </si>
  <si>
    <t>http://snpedia.com/index.php/Rs237997</t>
  </si>
  <si>
    <t>Chromosome: 3:9755356; RefSNP Alleles: A/G; Ancestral Allele: A; GMAF: G=0.40; MAF: G=0.46 (1000 Genomes, Phase 3, European)</t>
  </si>
  <si>
    <t>rs1042779</t>
  </si>
  <si>
    <t>http://snpedia.com/index.php/Rs1042779</t>
  </si>
  <si>
    <t>0.39 (T)</t>
  </si>
  <si>
    <t>Chromosome: 3:9752959; RefSNP Alleles: G/T; Ancestral Allele: T;
GMAF: T=0.41, MAF: T=0.39 (1000 Genomes, Phase 3, European)</t>
  </si>
  <si>
    <t>prosociality: Israel et al., 2009; autism: Lerer et al., 2009; aggression: Malik et al., 2012</t>
  </si>
  <si>
    <t>rs7632297</t>
  </si>
  <si>
    <t>http://snpedia.com/index.php/Rs7632297</t>
  </si>
  <si>
    <t>Chromosome: 3:9749760; RefSNP Alleles: A/G; Ancestral Allele: A; GMAF: A=0.24; MAF: A=0.25 (1000 Genomes, Phase 3, European)</t>
  </si>
  <si>
    <t>SRD AA all M=7.32, SD=9.57; boys M=9.69, SD=11.79; girls M=4.30, SD=3.95</t>
  </si>
  <si>
    <t>SRD GA all M=5.91, SD=6.46; boys M=6.37, SD=6.01; girls M=5.39, SD=6.77</t>
  </si>
  <si>
    <t>Overt aggression AA all M=1.49, SD=3.19; boys M=2.44, SD=3.99; girls M=0.25, SD=0.59</t>
  </si>
  <si>
    <t>Overt aggression GA all M=0.90, SD=2.60; boys M=1.09, SD=1.91; girls M=0.75, SD=2.23</t>
  </si>
  <si>
    <t>Covert aggression AA all M=5.94, SD=6.99; boys M=7.24, SD=9.49; girls M=4.06, SD=3.75</t>
  </si>
  <si>
    <t>Covert aggression GA all M=4.92, SD=5.05; boys M=5.29, SD=4.95; girls M=4.64, SD=5.11</t>
  </si>
  <si>
    <t>Covert aggression GG all M=5.09, SD=5.26; boys M=5.95, SD=5.99; girls M=4.54, SD=4.62</t>
  </si>
  <si>
    <t>GG n=279</t>
  </si>
  <si>
    <t>SRD AA M=7.06, SD=9.99</t>
  </si>
  <si>
    <t>LHA AA all M=7.90, SD=6.45; boys M=9.49, SD=7.36; girls M=5.91, SD=4.37</t>
  </si>
  <si>
    <t>LHA GA all M=6.59, SD=5.36; boys M=7.04, SD=5.51; girls M=6.22, SD=5.22</t>
  </si>
  <si>
    <t>LHA GG all M=7.01, SD=5.93; boys M=7.63, SD=6.53; girls M=6.59, SD=5.43</t>
  </si>
  <si>
    <t>Aggression AA all M=7.23, SD=5.43; boys M=9.50, SD=6.00; girls M=5.62, SD=4.12</t>
  </si>
  <si>
    <t>Aggression GA all M=6.16, SD=4.99; boys M=6.64, SD=5.13; girls M=5.79, SD=4.66</t>
  </si>
  <si>
    <t>Aggression GG all M=6.47, SD=5.17; boys M=6.96, SD=5.611; girls M=6.12, SD=4.91</t>
  </si>
  <si>
    <t>Antisocial/consequences AA all M=0.69, SD=1.70; boys M=0.99, SD=2.13; girls M=0.29, SD=0.75</t>
  </si>
  <si>
    <t>Antisocial/consequences all p=NS; boys p=0.0049; girls p=NS</t>
  </si>
  <si>
    <t>Global continuum of substance risc (GCR) Score WHO Alcohol, Smoking and Substance Involvement Screening Test [ASSIST; Humeniuk et al., 2009]; EEG + Virtual T-Maze task (reward-based choice task) [Reward positivity ERP amplitude; Theta power]</t>
  </si>
  <si>
    <t>rs1900955</t>
  </si>
  <si>
    <t>http://snpedia.com/index.php/Rs1900955</t>
  </si>
  <si>
    <t>Chromosome: 11:636794; RefSNP Alleles: C/T; Ancestral Allele: T; GMAF: C=0.41; MAF=0.41 (1000 Genomes, Phase 3, European)</t>
  </si>
  <si>
    <t>addiction: McGeary, 2009; Ray et al., 2009; Baransel Isir
et al., 2009; Oosterhuis et al., 2009; Mackillop, Menges,
McGeary, &amp; Lisman, 2007; Beuten, Payne, Ma, &amp; Li, 2006;
Hutchison, McGeary, Smolen, Bryan, &amp; Swift, 2002; Oak
et al., 2000</t>
  </si>
  <si>
    <t>hypothesized model provided strong fit to GCR scores (X2=4.74, df=6, p=.577, CFI=.99, GFI=.99, RMSEA&lt;.001, 90% CI [&lt;0.001, 0.07]. X2/df ratio=.90); explaining 9% individual variance GCR</t>
  </si>
  <si>
    <t>C-g21T polymorphism uniquely preicted  theta power (beta=-.16, p&lt;.05); increase in C alleles prediceted less theta power; similar across Reward and no-reward condition: (theta Reward F(2,192)=2.99, p&lt;.05) and (theta No-reward F(2,192)=2.99, p&lt;.05) - individuals carrying T allele expressed more theta power; indirect effect from C521T to RP through theta was significant p=.012, and indirect effect from theta power to GCR score through RP was significant (p=.002)</t>
  </si>
  <si>
    <t>Chromosome: 11:636099; RefSNP Alleles: -/G; Ancestral Allele: G; no frequency data</t>
  </si>
  <si>
    <t xml:space="preserve"> -/G n=99 </t>
  </si>
  <si>
    <t>COMT [Val159Met]</t>
  </si>
  <si>
    <t>479 citations</t>
  </si>
  <si>
    <t>Our calculations of effect size and power do not take into account dependencies in data from use of twin samples. Authors used statistical methods that allowed for dependencies in twin data. This may account for some discrepancies with our computed values</t>
  </si>
  <si>
    <t>quasi effect size</t>
  </si>
  <si>
    <t>Theta means/SE figure 4</t>
  </si>
  <si>
    <t>Figure 5A</t>
  </si>
  <si>
    <t>Lower panel (replication sample) Figure 1</t>
  </si>
  <si>
    <t>CHRNA3</t>
  </si>
  <si>
    <t>Discovery: Sib pairs from subset of Mid South Tobacco Family study; Half AA and half EA ethnicity, 50% smokers. Replication in case-control samplee of 3088 AA and 1430 EA, all unrelated</t>
  </si>
  <si>
    <t>d equivl</t>
  </si>
  <si>
    <t>a corr factor</t>
  </si>
  <si>
    <t>odds ratio, p 1472</t>
  </si>
  <si>
    <t>Consistency check</t>
  </si>
  <si>
    <t>LL</t>
  </si>
  <si>
    <t>SL</t>
  </si>
  <si>
    <t>SS</t>
  </si>
  <si>
    <t xml:space="preserve">5-HTTLPR </t>
  </si>
  <si>
    <t>Means/SE from Figure 3, expt 1</t>
  </si>
  <si>
    <t>Repeated request on 14/12/16</t>
  </si>
  <si>
    <t>rs165774</t>
  </si>
  <si>
    <t>ciomputed from means</t>
  </si>
  <si>
    <t>need SD by group to compute</t>
  </si>
  <si>
    <t>t-value, supporting Table S3</t>
  </si>
  <si>
    <t>Paper also includes work documenting function of this new variant, i.e. Sequence comparisons showed that the (a)-COMT transcript is highly conserved in primates, and deep sequencing data demonstrated that (a)-COMT is expressed across several human tissues, including the brain. In silico analyses showed that the (a)-COMT enzyme features a distinct C-terminus structure, capable of stabilizing substrates in its active site. In vitro experiments demonstrated not only that (a)-COMT is catalytically active but also that it displays unique substrate specificity, exhibiting enzymatic activity with dopamine but not epinephrine. They also established that the pain- protective A allele of rs165774 coincides with lower COMT activity,</t>
  </si>
  <si>
    <t>None: novel SNP</t>
  </si>
  <si>
    <t>Standardized beta reported in Table 4</t>
  </si>
  <si>
    <t>APOE e4 carriers differ in baseline prudent diet score. N.B This was an incidental finding in the Descriptive statistics, rather than a focus of the paper</t>
  </si>
  <si>
    <t>Table 2</t>
  </si>
  <si>
    <t>checK: gives same result as regression computation</t>
  </si>
  <si>
    <t>Figure 4, points digitised and converted to residuals, ie. Distance from regression line for x and y</t>
  </si>
  <si>
    <t>Difficult to determine effect size, because focus of</t>
  </si>
  <si>
    <t xml:space="preserve">interest is difference in sign of correlation coefficients </t>
  </si>
  <si>
    <t>p from t-value</t>
  </si>
  <si>
    <t>Quasi-effect-size only from t-values p 400; this will overestimate as based on finding peak</t>
  </si>
  <si>
    <t>p-value in legend to Figure 2</t>
  </si>
  <si>
    <t>subsamples sometimes together and sometimes as repeated measure or separate</t>
  </si>
  <si>
    <t>Screened group: long carriers vs short homozygotes on Barrett Impulsiveness Scale (demographic background variable rather than dependent variable of main interest)</t>
  </si>
  <si>
    <t>Table 1</t>
  </si>
  <si>
    <t>controls vs relatives</t>
  </si>
  <si>
    <t>Data from digitisation</t>
  </si>
  <si>
    <t>se</t>
  </si>
  <si>
    <t>sd</t>
  </si>
  <si>
    <t>Left</t>
  </si>
  <si>
    <t>conGG</t>
  </si>
  <si>
    <t>conAG+AA</t>
  </si>
  <si>
    <t>relGG</t>
  </si>
  <si>
    <t>Right</t>
  </si>
  <si>
    <t>d</t>
  </si>
  <si>
    <t>Similar findings for R hippocampus and pgACC</t>
  </si>
  <si>
    <t>(Authors responded to request for means/SD for controls/relatives pooled)</t>
  </si>
  <si>
    <t>CP" ok this one is straightforward -- they have a priori ROI from ref 26 and constrained the analysis to these regions and apply multiple comparison correction ; all good</t>
  </si>
  <si>
    <t>GA/AA</t>
  </si>
  <si>
    <t>Previous study with controls only: R hippocampus</t>
  </si>
  <si>
    <t>reGA-AA</t>
  </si>
  <si>
    <t>data from Figure 2, (NB previously used controls and all relatives pooled with numbers provided by authors, but  the control data have been published previously)</t>
  </si>
  <si>
    <t>Effect of GG vs AG/AA on activation in R hippocampus (all relatives combined)</t>
  </si>
  <si>
    <t>This sample treated as replication of previous study, though data from that study are analysed here, with some different results</t>
  </si>
  <si>
    <r>
      <t>Sidak corrected signi</t>
    </r>
    <r>
      <rPr>
        <sz val="11"/>
        <color theme="1"/>
        <rFont val="Calibri"/>
        <family val="2"/>
        <scheme val="minor"/>
      </rPr>
      <t xml:space="preserve">ficance level to maintain α = .05 for testing 156 correlated outcomes (mean correlation ρ = .25) was determined at p 1.14 ^10-3 </t>
    </r>
  </si>
  <si>
    <t>reports unstandardized betas and R2</t>
  </si>
  <si>
    <t>R2 reported by authors</t>
  </si>
  <si>
    <t>r from p-value, computed as check</t>
  </si>
  <si>
    <t>correction factor</t>
  </si>
  <si>
    <t>Footnote to Table 1</t>
  </si>
  <si>
    <t>odds ratio reported in footnote to Table 1</t>
  </si>
  <si>
    <t>d from OR</t>
  </si>
  <si>
    <t>r equiv</t>
  </si>
  <si>
    <t>Association of response selection variability factor with alpha-2A adrenergic receptor (ADRA2A) SNP rs1800544;  scores increased in  additive manner with each copy of the C allele (p.uncorrected=6.10 × 10–5, p.corrected=0.004, semi-partial correlation squared (rsp2)=0.042)</t>
  </si>
  <si>
    <t>Uncorrected p-value from text</t>
  </si>
  <si>
    <t>uncorrected</t>
  </si>
  <si>
    <t>corrected</t>
  </si>
  <si>
    <t>Table 1, p-value; confirmed with regression analysis of Figure 1</t>
  </si>
  <si>
    <t>Table 2, odds ratio</t>
  </si>
  <si>
    <t>A</t>
  </si>
  <si>
    <t>Discovery sample: Association between rs1896506 and  8 week smoking cessation (uncorrected P&lt;0.004)</t>
  </si>
  <si>
    <t>Main focus of study is functional genomic study of rodents, showing NRG3 increases in both mRNA and protein following WD from chronic nicotine treatment. Study with humans to confirm NRG3 involvement in smoking cessation. The effect of rs1896506 was found also in replication sample (OR=0.44, 95% CI=(0.22, 0.97); P=0.019)</t>
  </si>
  <si>
    <t>p-value reported in text; confirmed with regression on data from digitised figure</t>
  </si>
  <si>
    <t>initially computed from p-value in Figure 2; author provided corrected value</t>
  </si>
  <si>
    <t>In  automated lobar volumetry analyses, ESR1 (rs9340799) predicted ICV (P = 0.0028). Comparison remained significant when including only 1 individual from each MZ twin pair (P = 0.0011), and when including birthweight as a covariate (P = 0.0037). It approached significance when controlling for parental psychiatric history (P = 0.0057). [From first line of Results]</t>
  </si>
  <si>
    <t>P-value given in first line of Results</t>
  </si>
  <si>
    <t>Table 2, means and SD, also checked with p-value</t>
  </si>
  <si>
    <t>CC worse than CT/TT on delayed story recall for participants over 40 yr old</t>
  </si>
  <si>
    <t>MM with +/- or -/-</t>
  </si>
  <si>
    <t>not MM</t>
  </si>
  <si>
    <t>MM with +/+</t>
  </si>
  <si>
    <t xml:space="preserve"> NB authors note result is in opposite direction to prediction</t>
  </si>
  <si>
    <t>Digitised means/SEs from Figure 1A</t>
  </si>
  <si>
    <t>Figure 1A</t>
  </si>
  <si>
    <t>r from t</t>
  </si>
  <si>
    <t>r from t (consistency check)</t>
  </si>
  <si>
    <t>(Panels A and B appear to have been transposed - relevant data are in Panel B)</t>
  </si>
  <si>
    <t>Figure 2B ; digitised means/SE</t>
  </si>
  <si>
    <t>(to check computations )</t>
  </si>
  <si>
    <t xml:space="preserve">Focus of paper is on opposite effects of SERT and DAT1; because we focus on a single selected result, we consider just one of these. </t>
  </si>
  <si>
    <t>OR</t>
  </si>
  <si>
    <t>LS/SS</t>
  </si>
  <si>
    <t>Odds ratio computed from Table 3</t>
  </si>
  <si>
    <t>(NB this calculator gives p as .0007 for this odds ratio: https://www.medcalc.org/calc/odds_ratio.php - gives r value closer to that computed below)</t>
  </si>
  <si>
    <t>r from t, computed as sqrt(F)</t>
  </si>
  <si>
    <t>Fig 1A, F statistic in legend (also computed from digitised means/SE</t>
  </si>
  <si>
    <t>Figure 4B, central bars, digitised values</t>
  </si>
  <si>
    <t>Table 3, p-value</t>
  </si>
  <si>
    <t>N females*</t>
  </si>
  <si>
    <t>*estimated assuming no sex difference in allele freq</t>
  </si>
  <si>
    <t>alt_t**</t>
  </si>
  <si>
    <t>before computing regression of PE on diffBMI and genotype</t>
  </si>
  <si>
    <t>This seems to capture the effect described in the paper - and reflect fact</t>
  </si>
  <si>
    <t>that the correlation coefficients are significantly different for A1- and A1+</t>
  </si>
  <si>
    <t>eff size detectable with 80% power</t>
  </si>
  <si>
    <t>polymorphisms</t>
  </si>
  <si>
    <t>genetic models</t>
  </si>
  <si>
    <t>behav/cog phenotypes</t>
  </si>
  <si>
    <t>neuro phenotypes</t>
  </si>
  <si>
    <t>total possible combinations</t>
  </si>
  <si>
    <t>subgroups</t>
  </si>
  <si>
    <t>NOTE:</t>
  </si>
  <si>
    <t>Superscript from I is a) Bonferroni type; b) Random field theory ; c) Permutation</t>
  </si>
  <si>
    <t>None reported</t>
  </si>
  <si>
    <t>Polymorphisms correlated (0=NA/1=Y / 2=unclear/ 3=N)</t>
  </si>
  <si>
    <t>No of polymorphisms</t>
  </si>
  <si>
    <t>Correction for N polymorphisms  (0=no correction;1=Bonferroni no correl; 2=adj to N to effect comparisons_inc haplotype; 3=Permutation;4=Other;5=not needed-1 only)</t>
  </si>
  <si>
    <t>Superscript from cols D and G is 'a' if correlated, 'b' if unclear, and 'c' if uncorrelated</t>
  </si>
  <si>
    <t>i</t>
  </si>
  <si>
    <t>c</t>
  </si>
  <si>
    <t>u</t>
  </si>
  <si>
    <t>Phenotypes correlated (0=NA/1=Y / 2=probably/ 3=no)</t>
  </si>
  <si>
    <t xml:space="preserve"> </t>
  </si>
  <si>
    <t>could be more than 3?</t>
  </si>
  <si>
    <t>unclear?</t>
  </si>
  <si>
    <t>None reported (Model-fitting approach - SEM with bootstrapping)</t>
  </si>
  <si>
    <t>Multiple comparisons approach (relevant wording from paper): excluding standard neuroimaging corrections</t>
  </si>
  <si>
    <t>Bonferroni corrections were used to select significant association results for all analyses.</t>
  </si>
  <si>
    <t>None reported. (Needed?)</t>
  </si>
  <si>
    <r>
      <t xml:space="preserve">We used spectral decomposition </t>
    </r>
    <r>
      <rPr>
        <sz val="11"/>
        <color rgb="FF211E1E"/>
        <rFont val="Calibri"/>
        <family val="2"/>
        <scheme val="minor"/>
      </rPr>
      <t xml:space="preserve">to estimate the number of effectively independent SNPs tested after accounting for the LD between neighboring SNPs, to generate a P value threshold to retain an experiment-wide alpha value of P = 0.008512. </t>
    </r>
  </si>
  <si>
    <t>Not needed except for neuro measures</t>
  </si>
  <si>
    <t>Only reported adjustments for neuro measures</t>
  </si>
  <si>
    <t>Scheffe ́ correction for multiple comparisons (but for other associations; not needed for specific genetic hypothesis)</t>
  </si>
  <si>
    <t>Effect size (r) detectable with 80% power**</t>
  </si>
  <si>
    <r>
      <t>to select SNPs from the discovery cohort findings to test in the replication cohort, we used a strict Bonferroni correction (</t>
    </r>
    <r>
      <rPr>
        <sz val="11"/>
        <color rgb="FF211E1E"/>
        <rFont val="AdvOT65f8a23b.I"/>
      </rPr>
      <t>P&lt;</t>
    </r>
    <r>
      <rPr>
        <sz val="11"/>
        <color rgb="FF211E1E"/>
        <rFont val="AdvEls"/>
      </rPr>
      <t xml:space="preserve"> </t>
    </r>
    <r>
      <rPr>
        <sz val="11"/>
        <color rgb="FF211E1E"/>
        <rFont val="AdvOT46dcae81"/>
      </rPr>
      <t xml:space="preserve">.0042) </t>
    </r>
  </si>
  <si>
    <t>None needed except for neuro measures</t>
  </si>
  <si>
    <r>
      <t>Signi</t>
    </r>
    <r>
      <rPr>
        <sz val="11"/>
        <color theme="1"/>
        <rFont val="Calibri"/>
        <family val="2"/>
        <scheme val="minor"/>
      </rPr>
      <t xml:space="preserve">ficance for the pure effects of both age and WWC1 genotypes inside the HF was set at an alpha of .05. The threshold for significance outside the HF (whole brain) was set at an alpha of .05. False discovery rate (FDR) for multiple comparisons was used in both of these analyses. </t>
    </r>
  </si>
  <si>
    <t>None mentioned? (This paper hard to evaluate)</t>
  </si>
  <si>
    <t>None needed except for neuro measures.</t>
  </si>
  <si>
    <t>None reported. Authors reply to query:  "We did not correct for multiple testing as we only assayed 5-HTTLPR"</t>
  </si>
  <si>
    <r>
      <t xml:space="preserve">Finally, our results were not corrected for multiple testing. Bonferroni correction for multiple testing (32 tests) resulted in a significance level of </t>
    </r>
    <r>
      <rPr>
        <sz val="11"/>
        <color rgb="FF211E1E"/>
        <rFont val="Calibri"/>
        <family val="2"/>
        <scheme val="minor"/>
      </rPr>
      <t xml:space="preserve">P = 0.0016, and only the results for sense of coherence in women remained significant. Considering the inter-correlation of the nine measures assessed, we prefer to report nominal levels of significance. Our rationale for this is that in the case of inter- correlation, Bonferroni correction for multiple testing is likely to provide an inadequate reduction of the power to detect small effects. </t>
    </r>
  </si>
  <si>
    <t>Neuroimaging approach</t>
  </si>
  <si>
    <t>neuroimaging approach to correction for multiple comparisons</t>
  </si>
  <si>
    <t xml:space="preserve">Functional regions of interest in amygdala and VS. For each univariate analysis the mean contrast values within the ROI were used as the dependent measure. </t>
  </si>
  <si>
    <t xml:space="preserve">**t value obtained  for genotype x BMIchange interaction in regression </t>
  </si>
  <si>
    <t xml:space="preserve">for groups A1- and A!+. We digitised the data points  and </t>
  </si>
  <si>
    <t xml:space="preserve">ran regression of genotype, diffBMI and interaction on PE. </t>
  </si>
  <si>
    <t>interaction</t>
  </si>
  <si>
    <t>red for neuroimaging and x for interaction</t>
  </si>
  <si>
    <t>JOCN</t>
  </si>
  <si>
    <t>Journal ID</t>
  </si>
  <si>
    <t>Cer Cortex</t>
  </si>
  <si>
    <t>Repcode;  0=no; 
1=yes; 
2=complicated!; 
3=is replication of prev</t>
  </si>
  <si>
    <t>188 Healthy first degree relatives (patients BP n=59, MD n=73, SZ n=56); also analyses 110 healthy volunteers from earlier study by Erk S, et al. (2010). Latter group referred to as 'Discovery sample' and 'control sample'</t>
  </si>
  <si>
    <r>
      <t xml:space="preserve">Group statistics with second-level models using SPM8 for each sample separately. </t>
    </r>
    <r>
      <rPr>
        <sz val="11"/>
        <color rgb="FF211E1E"/>
        <rFont val="AdvOT46dcae81"/>
      </rPr>
      <t xml:space="preserve"> </t>
    </r>
    <r>
      <rPr>
        <sz val="11"/>
        <color rgb="FF211E1E"/>
        <rFont val="AdvOT65f8a23b.I"/>
      </rPr>
      <t>t</t>
    </r>
    <r>
      <rPr>
        <sz val="11"/>
        <color rgb="FF211E1E"/>
        <rFont val="AdvOT46dcae81"/>
      </rPr>
      <t>-tests comparing genotype groups. Age and gender as nuisance regressors. Also G x G and G x E interaction analyses</t>
    </r>
  </si>
  <si>
    <t>Pearson's chi sq to compare distribution of exposures to genotype and depressive status; t-tests contrasting age according to genotype and depressive status; Mann-Whitney test to compare alcohol consumption according to genotype</t>
  </si>
  <si>
    <t>Primary analysis focused on identifying pain clusters. 5-HTTLPR genotype compared for two pain clusters: comparison of frequencies</t>
  </si>
  <si>
    <r>
      <t xml:space="preserve">General linear model to determine associations among the SDQ measure, BOLD responses, and </t>
    </r>
    <r>
      <rPr>
        <i/>
        <sz val="11"/>
        <color theme="1"/>
        <rFont val="Calibri"/>
        <family val="2"/>
        <scheme val="minor"/>
      </rPr>
      <t>MAOA</t>
    </r>
    <r>
      <rPr>
        <sz val="11"/>
        <color theme="1"/>
        <rFont val="Calibri"/>
        <family val="2"/>
        <scheme val="minor"/>
      </rPr>
      <t xml:space="preserve"> genotype.</t>
    </r>
  </si>
  <si>
    <t>Association between rs324420 and personality traits tested using OLS regression  (with sex as a covariate)</t>
  </si>
  <si>
    <t>5-HTTLPR variant relates to dmPFC activity threat vs safe, Expt 1 (Figure 3)</t>
  </si>
  <si>
    <t>ε4 +</t>
  </si>
  <si>
    <t>ε4 -</t>
  </si>
  <si>
    <t>thomas.schulze@med.uni-muenchen.de;sturmer@unc.edu</t>
  </si>
  <si>
    <r>
      <t>Andrew.Holmes@nih.gov</t>
    </r>
    <r>
      <rPr>
        <sz val="8"/>
        <color rgb="FF999999"/>
        <rFont val="Segoe UI"/>
        <family val="2"/>
      </rPr>
      <t>‎; </t>
    </r>
    <r>
      <rPr>
        <sz val="8"/>
        <color rgb="FF408CD9"/>
        <rFont val="Segoe UI"/>
        <family val="2"/>
      </rPr>
      <t>ozge.gunduzcinar@nih.gov</t>
    </r>
    <r>
      <rPr>
        <sz val="8"/>
        <color rgb="FF999999"/>
        <rFont val="Segoe UI"/>
        <family val="2"/>
      </rPr>
      <t> </t>
    </r>
  </si>
  <si>
    <r>
      <t> </t>
    </r>
    <r>
      <rPr>
        <sz val="8"/>
        <color rgb="FF408CD9"/>
        <rFont val="Segoe UI"/>
        <family val="2"/>
      </rPr>
      <t>charlotte.nymberg@kcl.ac.uk</t>
    </r>
    <r>
      <rPr>
        <sz val="8"/>
        <color rgb="FF999999"/>
        <rFont val="Segoe UI"/>
        <family val="2"/>
      </rPr>
      <t>‎; </t>
    </r>
    <r>
      <rPr>
        <sz val="8"/>
        <color rgb="FF408CD9"/>
        <rFont val="Segoe UI"/>
        <family val="2"/>
      </rPr>
      <t>Schumann, Gunter ‎[gunter.schumann@kcl.ac.uk]‎</t>
    </r>
    <r>
      <rPr>
        <sz val="8"/>
        <color rgb="FF999999"/>
        <rFont val="Segoe UI"/>
        <family val="2"/>
      </rPr>
      <t> </t>
    </r>
  </si>
  <si>
    <r>
      <t>a.farmer@qmul.ac.uk</t>
    </r>
    <r>
      <rPr>
        <sz val="8"/>
        <color rgb="FF999999"/>
        <rFont val="Segoe UI"/>
        <family val="2"/>
      </rPr>
      <t>‎; </t>
    </r>
    <r>
      <rPr>
        <sz val="8"/>
        <color rgb="FF408CD9"/>
        <rFont val="Segoe UI"/>
        <family val="2"/>
      </rPr>
      <t>q.aziz@qmul.ac.uk</t>
    </r>
    <r>
      <rPr>
        <sz val="8"/>
        <color rgb="FF999999"/>
        <rFont val="Segoe UI"/>
        <family val="2"/>
      </rPr>
      <t> </t>
    </r>
  </si>
  <si>
    <t>h.denouden@gmail.com</t>
  </si>
  <si>
    <t>reminder email to lawa@mail.nih.gov failed</t>
  </si>
  <si>
    <t>heike.tost@zi-mannheim.de;lawa@mail.nih.gov</t>
  </si>
  <si>
    <r>
      <t>francesco.papaleo@iit.it</t>
    </r>
    <r>
      <rPr>
        <sz val="8"/>
        <color rgb="FF999999"/>
        <rFont val="Segoe UI"/>
        <family val="2"/>
      </rPr>
      <t>‎; </t>
    </r>
    <r>
      <rPr>
        <sz val="8"/>
        <color rgb="FF408CD9"/>
        <rFont val="Segoe UI"/>
        <family val="2"/>
      </rPr>
      <t>drweinberger@libd.org</t>
    </r>
    <r>
      <rPr>
        <sz val="8"/>
        <color rgb="FF999999"/>
        <rFont val="Segoe UI"/>
        <family val="2"/>
      </rPr>
      <t> </t>
    </r>
  </si>
  <si>
    <r>
      <t> </t>
    </r>
    <r>
      <rPr>
        <sz val="8"/>
        <color rgb="FF408CD9"/>
        <rFont val="Segoe UI"/>
        <family val="2"/>
      </rPr>
      <t>anand.mattay@libd.org</t>
    </r>
    <r>
      <rPr>
        <sz val="8"/>
        <color rgb="FF999999"/>
        <rFont val="Segoe UI"/>
        <family val="2"/>
      </rPr>
      <t> </t>
    </r>
  </si>
  <si>
    <r>
      <t>rebecca_knickmeyer@med.unc.edu</t>
    </r>
    <r>
      <rPr>
        <sz val="8"/>
        <color rgb="FF999999"/>
        <rFont val="Segoe UI"/>
        <family val="2"/>
      </rPr>
      <t>‎; </t>
    </r>
    <r>
      <rPr>
        <sz val="8"/>
        <color rgb="FF408CD9"/>
        <rFont val="Segoe UI"/>
        <family val="2"/>
      </rPr>
      <t>john_gilmore@med.unc.edu</t>
    </r>
    <r>
      <rPr>
        <sz val="8"/>
        <color rgb="FF999999"/>
        <rFont val="Segoe UI"/>
        <family val="2"/>
      </rPr>
      <t> </t>
    </r>
  </si>
  <si>
    <t>Weigand.Stephen@mayo.edu</t>
  </si>
  <si>
    <r>
      <t> </t>
    </r>
    <r>
      <rPr>
        <sz val="8"/>
        <color rgb="FF408CD9"/>
        <rFont val="Segoe UI"/>
        <family val="2"/>
      </rPr>
      <t>t.denson@unsw.edu.au</t>
    </r>
    <r>
      <rPr>
        <sz val="8"/>
        <color rgb="FF999999"/>
        <rFont val="Segoe UI"/>
        <family val="2"/>
      </rPr>
      <t>‎; </t>
    </r>
    <r>
      <rPr>
        <sz val="8"/>
        <color rgb="FF408CD9"/>
        <rFont val="Segoe UI"/>
        <family val="2"/>
      </rPr>
      <t>mschira@uow.edu.au</t>
    </r>
    <r>
      <rPr>
        <sz val="8"/>
        <color rgb="FF999999"/>
        <rFont val="Segoe UI"/>
        <family val="2"/>
      </rPr>
      <t> </t>
    </r>
  </si>
  <si>
    <t>blendy@mail.med.upenn.edu</t>
  </si>
  <si>
    <t>gunter.schumann@kcl.ac.uk</t>
  </si>
  <si>
    <t>mark.bellgrove@monash.edu</t>
  </si>
  <si>
    <r>
      <t> </t>
    </r>
    <r>
      <rPr>
        <sz val="8"/>
        <color rgb="FF408CD9"/>
        <rFont val="Segoe UI"/>
        <family val="2"/>
      </rPr>
      <t>osvaldo.almeida@uwa.edu.au</t>
    </r>
    <r>
      <rPr>
        <sz val="8"/>
        <color rgb="FF999999"/>
        <rFont val="Segoe UI"/>
        <family val="2"/>
      </rPr>
      <t> </t>
    </r>
  </si>
  <si>
    <t>h.adams@erasmusmc.nl</t>
  </si>
  <si>
    <r>
      <t>susanne.erk@charite.de</t>
    </r>
    <r>
      <rPr>
        <sz val="8"/>
        <color rgb="FF999999"/>
        <rFont val="Segoe UI"/>
        <family val="2"/>
      </rPr>
      <t>‎; </t>
    </r>
    <r>
      <rPr>
        <sz val="8"/>
        <color rgb="FF408CD9"/>
        <rFont val="Segoe UI"/>
        <family val="2"/>
      </rPr>
      <t>henrik.walter@charite.de</t>
    </r>
    <r>
      <rPr>
        <sz val="8"/>
        <color rgb="FF999999"/>
        <rFont val="Segoe UI"/>
        <family val="2"/>
      </rPr>
      <t> </t>
    </r>
  </si>
  <si>
    <r>
      <t>Maddox@psy.utexas.edu</t>
    </r>
    <r>
      <rPr>
        <sz val="8"/>
        <color rgb="FF999999"/>
        <rFont val="Segoe UI"/>
        <family val="2"/>
      </rPr>
      <t>‎; </t>
    </r>
    <r>
      <rPr>
        <sz val="8"/>
        <color rgb="FF408CD9"/>
        <rFont val="Segoe UI"/>
        <family val="2"/>
      </rPr>
      <t>marissa.gorlick@yale.edu</t>
    </r>
    <r>
      <rPr>
        <sz val="8"/>
        <color rgb="FF999999"/>
        <rFont val="Segoe UI"/>
        <family val="2"/>
      </rPr>
      <t> </t>
    </r>
  </si>
  <si>
    <r>
      <t> </t>
    </r>
    <r>
      <rPr>
        <sz val="8"/>
        <color rgb="FF408CD9"/>
        <rFont val="Segoe UI"/>
        <family val="2"/>
      </rPr>
      <t>jmr@broadinstitute.org</t>
    </r>
    <r>
      <rPr>
        <sz val="8"/>
        <color rgb="FF999999"/>
        <rFont val="Segoe UI"/>
        <family val="2"/>
      </rPr>
      <t> </t>
    </r>
  </si>
  <si>
    <r>
      <t>dannlow@uni-muenster.de</t>
    </r>
    <r>
      <rPr>
        <sz val="8"/>
        <color rgb="FF999999"/>
        <rFont val="Segoe UI"/>
        <family val="2"/>
      </rPr>
      <t> </t>
    </r>
  </si>
  <si>
    <t>xuesun@upenn.edu</t>
  </si>
  <si>
    <t>s.gardener@ecu.edu.au</t>
  </si>
  <si>
    <r>
      <t>carole.dufouil@inserm.fr</t>
    </r>
    <r>
      <rPr>
        <sz val="8.25"/>
        <color rgb="FF999999"/>
        <rFont val="Segoe UI"/>
        <family val="2"/>
      </rPr>
      <t> ; alexandre.vivot@htd.aphp.fr</t>
    </r>
  </si>
  <si>
    <r>
      <t> </t>
    </r>
    <r>
      <rPr>
        <sz val="8.25"/>
        <color rgb="FF408CD9"/>
        <rFont val="Segoe UI"/>
        <family val="2"/>
      </rPr>
      <t>luda.Diatchenko@mcgill.ca</t>
    </r>
    <r>
      <rPr>
        <sz val="8.25"/>
        <color rgb="FF999999"/>
        <rFont val="Segoe UI"/>
        <family val="2"/>
      </rPr>
      <t> ;carol.meloto@mail.mcgill.ca</t>
    </r>
  </si>
  <si>
    <t>f.kumpers@donders.ru.nl</t>
  </si>
  <si>
    <t>jy4u@virginia.edu</t>
  </si>
  <si>
    <r>
      <t>herta.flor@zi-mannheim.de</t>
    </r>
    <r>
      <rPr>
        <sz val="8"/>
        <color rgb="FF999999"/>
        <rFont val="Segoe UI"/>
        <family val="2"/>
      </rPr>
      <t>‎; </t>
    </r>
    <r>
      <rPr>
        <sz val="8"/>
        <color rgb="FF408CD9"/>
        <rFont val="Segoe UI"/>
        <family val="2"/>
      </rPr>
      <t>sebastian.pohlack@zi-mannheim.de</t>
    </r>
    <r>
      <rPr>
        <sz val="8"/>
        <color rgb="FF999999"/>
        <rFont val="Segoe UI"/>
        <family val="2"/>
      </rPr>
      <t> </t>
    </r>
  </si>
  <si>
    <t>green: author responded</t>
  </si>
  <si>
    <t>Michael_Frank@brown.edu; bradley.doll@nyu.edu</t>
  </si>
  <si>
    <t>yellow or orange: author contacted</t>
  </si>
  <si>
    <t>travis.e.baker.phd@gmail.com</t>
  </si>
  <si>
    <t>tab of each template colour coded</t>
  </si>
  <si>
    <r>
      <t> </t>
    </r>
    <r>
      <rPr>
        <sz val="8"/>
        <color rgb="FF408CD9"/>
        <rFont val="Segoe UI"/>
        <family val="2"/>
      </rPr>
      <t>lars.westberg@pharm.gu.se</t>
    </r>
    <r>
      <rPr>
        <sz val="8"/>
        <color rgb="FF999999"/>
        <rFont val="Segoe UI"/>
        <family val="2"/>
      </rPr>
      <t> </t>
    </r>
  </si>
  <si>
    <t>category: 0 = no resopnse; 1 said wld respond but didn't; 2 = responded ; 3 = other</t>
  </si>
  <si>
    <t>Author response</t>
  </si>
  <si>
    <t>Author contacted</t>
  </si>
  <si>
    <t>Study</t>
  </si>
  <si>
    <t>CC/CT</t>
  </si>
  <si>
    <t>Additive or dominant/recessive, depending on rarity of minor allele</t>
  </si>
  <si>
    <t>Additive, dominant, recessive</t>
  </si>
  <si>
    <t>Dominant</t>
  </si>
  <si>
    <t>Recessive</t>
  </si>
  <si>
    <t>X-linked, males only</t>
  </si>
  <si>
    <t>Bonferonni</t>
  </si>
  <si>
    <t>Cluster-based inference: P-value for each contiguous cluster on the basis of its size/mass to test whether a ROI size was significant or not using a conservative level of P &lt; 0.001. N neurophenotypes unclear: 0-11 for each of 13 genetic contrasts. Estimated at 5 or quantitative comparisons</t>
  </si>
  <si>
    <t>G x G interaction (2 x 2 giving 4 effective models?)</t>
  </si>
  <si>
    <r>
      <rPr>
        <strike/>
        <sz val="11"/>
        <color rgb="FFFF0000"/>
        <rFont val="Calibri"/>
        <family val="2"/>
        <scheme val="minor"/>
      </rPr>
      <t>P</t>
    </r>
    <r>
      <rPr>
        <sz val="11"/>
        <color rgb="FFFF0000"/>
        <rFont val="Calibri"/>
        <family val="2"/>
        <scheme val="minor"/>
      </rPr>
      <t xml:space="preserve"> value of 0.01 was used instead of 0.05 to balance the risk of type I and type II errors,</t>
    </r>
  </si>
  <si>
    <t xml:space="preserve">Significance threshold was set to p .05, family-wise error corrected for multiple comparisons within our a priori defined anatomic regions of interest (FWEROI), the hippocampus and the pgACC. </t>
  </si>
  <si>
    <r>
      <t xml:space="preserve">FDR-corrected </t>
    </r>
    <r>
      <rPr>
        <sz val="11"/>
        <color rgb="FF211E1E"/>
        <rFont val="Calibri (Body)"/>
      </rPr>
      <t>p values for effect of APOE after adjusting for age, sex, and amyloid load (all ns)</t>
    </r>
  </si>
  <si>
    <r>
      <t xml:space="preserve">Metabolism in posterior cingulum: </t>
    </r>
    <r>
      <rPr>
        <i/>
        <sz val="11"/>
        <color theme="1"/>
        <rFont val="Calibri"/>
        <family val="2"/>
        <scheme val="minor"/>
      </rPr>
      <t>APOE</t>
    </r>
    <r>
      <rPr>
        <sz val="11"/>
        <color theme="1"/>
        <rFont val="Calibri"/>
        <family val="2"/>
        <scheme val="minor"/>
      </rPr>
      <t xml:space="preserve"> ε4 carriers compared with noncarriers (NS after accounting for amyloid load, Figure 2).</t>
    </r>
  </si>
  <si>
    <t>Initial test of association of variants with categorical pain phenotype corrected using spectral decomposition</t>
  </si>
  <si>
    <t>Separate Bonferronis: α level of .0055 for internal state analyses (9 time points); α level of .005 for perceptual ratings data (5 perceptual qualities for 2 types of stimuli)</t>
  </si>
  <si>
    <t>Authors reply to query:  "We did not correct for multiple testing as we only assayed 5-HTTLPR"</t>
  </si>
  <si>
    <t>Approach to correction</t>
  </si>
  <si>
    <t>N ROIs</t>
  </si>
  <si>
    <t>Correction for N ROI (0: no correction; 1: Bonferroni; 2: FDR; 3: Permutation; 4: Other; 5: not needed)</t>
  </si>
  <si>
    <t xml:space="preserve">fMRI BOLD response; Functional data analysis (volume preprocessing, single subject and group analyses) for both studies performed using SPM8. Using the general linear model fixed effects analyses were conducted for each phase independently with the phase-dependent experimental conditions. ROI based on a priori hypotheses: hippocampus and amygdala. </t>
  </si>
  <si>
    <t>Discovery: peak voxel FWE corrected for the ROI. Replication: peak voxel FWE corrected for 6-mm sphere around peak voxel from discovery study</t>
  </si>
  <si>
    <r>
      <t xml:space="preserve">Whole-brain results were thresholded at </t>
    </r>
    <r>
      <rPr>
        <sz val="11"/>
        <color theme="1"/>
        <rFont val="Calibri"/>
        <family val="2"/>
        <scheme val="minor"/>
      </rPr>
      <t xml:space="preserve">p &lt; .001 uncorrected combined with a cluster threshold of p &lt; .05 FWE corrected for multiple comparisons according to random field theory implemented in SPM. In sample 2, used ROI giving significant genotype effects in sample  1  (dmPFC and insula) that showed a genotype effect in sample 1. In this way, we could test in a single, focused analysis per region whether the effects in sample 1 were validated by the data from the same regions in sample 2.These clusters of interest defined using a cluster-defining threshold of .005 uncorrected </t>
    </r>
  </si>
  <si>
    <t>fMRI during experiments with threat conditions; SPM; Reactions to threat and safe cues  contrasted in each subject to index threat-related responses.  Single subject contrast maps were then subjected to random effects analyses. Exploratory study 1 confirmed with replication sample 2</t>
  </si>
  <si>
    <r>
      <t>t</t>
    </r>
    <r>
      <rPr>
        <sz val="11"/>
        <color theme="1"/>
        <rFont val="Calibri"/>
        <family val="2"/>
        <scheme val="minor"/>
      </rPr>
      <t xml:space="preserve">-map threshold was set at </t>
    </r>
    <r>
      <rPr>
        <i/>
        <sz val="11"/>
        <color theme="1"/>
        <rFont val="Calibri"/>
        <family val="2"/>
        <scheme val="minor"/>
      </rPr>
      <t xml:space="preserve">p </t>
    </r>
    <r>
      <rPr>
        <sz val="11"/>
        <color theme="1"/>
        <rFont val="Calibri"/>
        <family val="2"/>
        <scheme val="minor"/>
      </rPr>
      <t xml:space="preserve">uncorrected &lt; 0.005 and a 5-voxel cluster size. Unpredicted responses were considered significant at a peak-level </t>
    </r>
    <r>
      <rPr>
        <i/>
        <sz val="11"/>
        <color theme="1"/>
        <rFont val="Calibri"/>
        <family val="2"/>
        <scheme val="minor"/>
      </rPr>
      <t xml:space="preserve">p &lt; </t>
    </r>
    <r>
      <rPr>
        <sz val="11"/>
        <color theme="1"/>
        <rFont val="Calibri"/>
        <family val="2"/>
        <scheme val="minor"/>
      </rPr>
      <t xml:space="preserve">0.05 familywise error (FWE) corrected across the entire brain for multiple comparisons; none were identified. For predicted responses, a region of interest (ROI) approach was used. ROIs included 3 regions of amygdala plus caudate. Peaks in ROI analyses were considered significant at a peak level of p  &lt; 0.05 FWE corrected across the total number of voxels across the ROI. </t>
    </r>
  </si>
  <si>
    <t>For DTI and fMRI  used uncorrected, lenient statistical thresholds for (P &lt; 0.01, k = 10 for the bilateral hippocampus, and P &lt; 0.005, k = 30 for the entire brain) to detect small statistical effects. For the DTI analysis, three hippocampus- related fiber tracts (fornix, cingulum and uncinate fasciculus) were added to the hippocampus mask.  Structural MRI: to control for multiple statistical testing within ROI, maintained cluster-level false positive detection rate at p &lt; .05, using a voxel-level threshold of p &lt;.01 with a cluster extent (k) empirically determined by Monte Carlo simulation. Also did exploratory whole-brain analyses at a lenient, exploratory threshold (p &lt; .001, cluster size k=100)</t>
  </si>
  <si>
    <t xml:space="preserve">Voxel-based morphometry (VBM9) in both samples to measure local gray matter volume. A region-of-interest (ROI) approach: focus on bilateral hippocampus (including the parahippocampal gyrus). Also DTI for white matter structure in subset. Limbic responsiveness measured with fMRI during facial emotion processing for a subset. Also G x E and G x G analyses. </t>
  </si>
  <si>
    <t>To address the multiple hypothesis testing burden, we corrected for the number of independent haplotypes being tested in the TREM region.  Sequential approach: "Where we observed a genetic variant significantly associated with NP pathology, we then assessed the association between that variant and 5 secondary phenotypes, DP, amyloid, NFT, tau, and global cognitive decline, using a secondary Bonferroni-corrected significance threshold of p &lt; 0.01 "</t>
  </si>
  <si>
    <t>Behavioural outcome: global cognitive decline. and clinical AD diagnosis. Neuropathology: visualized neurotic plaques, diffuse plaques and neurofibrillary tangles in tissue sections from 5 brain regions. Also alpha-beta and tau tangle densities measured by immunohistochemistry. Cerebral amyloid angiopathy assessed in 5 regions on a 5-point scale and averaged across all regions into a summary score. Density of terminally activated stage III microglia averaged over the inferior temporal gyrus, the midfrontal cortex, the posterior putamen, and the ventral medial caudate based on immunohistochemistry and morphology. Microvascular and macrovascular cerebral infarct as binary variable of presence or absence.</t>
  </si>
  <si>
    <t>fMRI BOLD with anatomical ROI masks for the bilateral dACC and amygdala based on anatomy rather than activation. Also examined visual cortex as control area where no activation predicted. First conducted separate random effects between-group general linear model analyses for the three bilateral ROIs, followed by separate analyses for the relevant ROIs in each hemisphere. Effect sizes for the BOLD data were calculated from the exported parameter estimates.</t>
  </si>
  <si>
    <t>Main focus of paper is association between hypometabolism in specific brain regions of interest (ROIs) and amyloid load. Question of whether moderated by APOE status a secondary aim, covered in 2nd analysis. 1st analysis ignored here.</t>
  </si>
  <si>
    <t xml:space="preserve"> Analysis 2: differences in regional FDG by APOE e4 carrier status after accounting for age, sex, and PiB; uncorrected p values and corrected for FDR reported</t>
  </si>
  <si>
    <r>
      <t>Tests were conducted at a signi</t>
    </r>
    <r>
      <rPr>
        <sz val="11"/>
        <color theme="1"/>
        <rFont val="Calibri"/>
        <family val="2"/>
        <scheme val="minor"/>
      </rPr>
      <t xml:space="preserve">ficance level of 0.005 (0.05/10; Bonferroni corrected for the number of genetic tests conducted). We did not perform additional corrections for the number of phenotypes examined.  </t>
    </r>
  </si>
  <si>
    <t>BOLD fMRI during encoding and retrieval of aversive and neutral scences; Condition effects at each voxel for each subject were created using a t-statistic in SPM5, producing statistical images of significantly-activated brain regions for the following contrasts of interest: neutral encoding &gt; baseline and neutral retrieval &gt; baseline. Gives So 2 conditions (encoding vs retrieval) for 4 ROIs (L &amp; R hippocampus and parahippocampal gyrus)</t>
  </si>
  <si>
    <t>fMRI BOLD activation during working memory task; analysed with SPM5. For each individual, first-level contrasts were created by contrasting the working memory 2- back with the control 0-back. These individual contrast images were examined for genetic interaction via multiple regressions</t>
  </si>
  <si>
    <t>Statistical significance determined using 2-tailed t-tests within SPM5 at uncorrected whole-brain threshold of P &lt; 0.001 and small volume correction</t>
  </si>
  <si>
    <r>
      <t xml:space="preserve">Significance at </t>
    </r>
    <r>
      <rPr>
        <i/>
        <sz val="11"/>
        <color theme="1"/>
        <rFont val="Calibri"/>
        <family val="2"/>
        <scheme val="minor"/>
      </rPr>
      <t xml:space="preserve">p &lt; </t>
    </r>
    <r>
      <rPr>
        <sz val="11"/>
        <color theme="1"/>
        <rFont val="Calibri"/>
        <family val="2"/>
        <scheme val="minor"/>
      </rPr>
      <t xml:space="preserve">0.05 FWE corrected for multiple comparisons at the voxel level. . Outside ROI, findings  considered significant if they passed a significance threshold of </t>
    </r>
    <r>
      <rPr>
        <i/>
        <sz val="11"/>
        <color theme="1"/>
        <rFont val="Calibri"/>
        <family val="2"/>
        <scheme val="minor"/>
      </rPr>
      <t xml:space="preserve">p </t>
    </r>
    <r>
      <rPr>
        <sz val="11"/>
        <color theme="1"/>
        <rFont val="Calibri"/>
        <family val="2"/>
        <scheme val="minor"/>
      </rPr>
      <t xml:space="preserve">0.05 FWE corrected for multiple comparisons across the whole brain. </t>
    </r>
  </si>
  <si>
    <t>Structural and functional MRI in SPM8; contrasted successful Stop trials vs. successful Go trials; The normalized and smoothed single-subject contrast images were then taken to a second-level random effects analysis. Averaged beta values based on all voxels in the regions of interest were used for all analyses; ROI is ventral striatum and IFG</t>
  </si>
  <si>
    <r>
      <t>Random field. p</t>
    </r>
    <r>
      <rPr>
        <i/>
        <sz val="8"/>
        <color theme="1"/>
        <rFont val="TimesNewRomanPS"/>
      </rPr>
      <t xml:space="preserve">FWE-corrected </t>
    </r>
    <r>
      <rPr>
        <i/>
        <sz val="12"/>
        <color theme="1"/>
        <rFont val="TimesNewRomanPS"/>
      </rPr>
      <t xml:space="preserve">&lt; </t>
    </r>
    <r>
      <rPr>
        <sz val="12"/>
        <color theme="1"/>
        <rFont val="TimesNewRomanPSMT"/>
      </rPr>
      <t xml:space="preserve">0.05). </t>
    </r>
  </si>
  <si>
    <t xml:space="preserve">"Analyses involving genotype were conducted using these extracted values outside of SPM2, thereby eliminating any possibility of correlations that are artificially inflated because of extraction and correlation techniques that capitalize on the same data twice". </t>
  </si>
  <si>
    <t>fMRI BOLD response to threat; sensorimotor control task;  ROI amygdala. SPM2. Habituation of amygdala response as dependent measure. Voxel-wise signal intensities were ratio-normalized to the whole-brain global mean. These pre-processed data sets were analyzed using second-level random-effects models that accounted for both scan- to-scan and participant-to-participant variability to determine task-specific regional responses.  Amygdala habituation to threat- related stimuli was calculated as the linear decrease over successive face matching blocks. Individual BOLD values from the functional amygdala clusters exhibiting habituation were extracted using the VOI tool in SPM2.</t>
  </si>
  <si>
    <t>fMRI to taste or 2 types of  odour vs baseline. First eigenvariate time course extracted and subjected to bootstrap analysis. Also dynamic causal modeling for R hemisphere only.</t>
  </si>
  <si>
    <t>Not reported: graphs show 'size of effect' but on arbitrary scale</t>
  </si>
  <si>
    <t>Corrections for multiple contrasts in imaging</t>
  </si>
  <si>
    <t>0) a priori whole ROI, 1) peak in a priori ROI, 2) post hoc ROI</t>
  </si>
  <si>
    <t>fMRI for episodic memory: recall phase of memory task  compared to comparison task within a priori ROI:  hippocampus and pgACC.  Used SPM8</t>
  </si>
  <si>
    <t>FWE corrected for multiple comparisons across region of interest., p &lt; .05</t>
  </si>
  <si>
    <r>
      <t>Bonferroni separately for AA &amp; EA ethnic groups;  significance threshold for AA = 1.13 × 10</t>
    </r>
    <r>
      <rPr>
        <vertAlign val="superscript"/>
        <sz val="11"/>
        <color theme="1"/>
        <rFont val="Calibri (Body)"/>
      </rPr>
      <t>-4</t>
    </r>
    <r>
      <rPr>
        <sz val="11"/>
        <color theme="1"/>
        <rFont val="Calibri"/>
        <family val="2"/>
        <scheme val="minor"/>
      </rPr>
      <t xml:space="preserve"> for 49 variants, 3 genetic models &amp; 3 phenotypes; for EA=1.09 × 10</t>
    </r>
    <r>
      <rPr>
        <vertAlign val="superscript"/>
        <sz val="11"/>
        <color theme="1"/>
        <rFont val="Calibri (Body)"/>
      </rPr>
      <t>-4</t>
    </r>
    <r>
      <rPr>
        <sz val="11"/>
        <color theme="1"/>
        <rFont val="Calibri"/>
        <family val="2"/>
        <scheme val="minor"/>
      </rPr>
      <t xml:space="preserve"> for 51 variants, 3 genetic models &amp; 3 phenotypes)</t>
    </r>
  </si>
  <si>
    <t xml:space="preserve">Gene-wide significance was empirically determined with permutations that corrected for 23 SNPs (accounting for LD structure), 4 ROIs, &amp; N tests (main effects of SNPs, G E interactions). </t>
  </si>
  <si>
    <t>No correction for multiple testing in initial sample because analysis conducted for discovery purposes.</t>
  </si>
  <si>
    <t>Permutations with 100,000 iterations to control for hemisphere specific tests of VS BOLD response</t>
  </si>
  <si>
    <t xml:space="preserve">p &lt; .05, with Bonferroni correction where appropriate. No Bonferroni for control analyses. </t>
  </si>
  <si>
    <t>P-values adjusted for N inheritance modes. Considering the inter-correlation of  9 measures, reported nominal levels of significance. Bonferroni correction for 32 tests gave significance level of P=0.0016</t>
  </si>
  <si>
    <r>
      <t xml:space="preserve">36 SNPs captured the common haplotypic diversity of the TREM region: locus-wide Bonferroni-corrected p </t>
    </r>
    <r>
      <rPr>
        <sz val="11"/>
        <color rgb="FF211E1E"/>
        <rFont val="Calibri"/>
        <family val="2"/>
        <scheme val="minor"/>
      </rPr>
      <t>&lt; 1.4 x 10</t>
    </r>
    <r>
      <rPr>
        <vertAlign val="superscript"/>
        <sz val="11"/>
        <color rgb="FF211E1E"/>
        <rFont val="Calibri"/>
        <scheme val="minor"/>
      </rPr>
      <t>-3</t>
    </r>
    <r>
      <rPr>
        <sz val="11"/>
        <color rgb="FF211E1E"/>
        <rFont val="Calibri (Body)"/>
      </rPr>
      <t>; where genetic variant significantly associated with NP pathology, tested association with 5 secondary phenotypes, using Bonferroni-corrected p &lt; 0.01</t>
    </r>
  </si>
  <si>
    <t>p &lt; .05 with no correction given strong prior evidence for all hypotheses</t>
  </si>
  <si>
    <t>2nd Feb 2017 I hope your project is proceeding well. (DB replied to say, yes please send data, and these were sent as xls file, which is now appended to to this workbook)
Biological Psychiatry have just formally approved the erratum to our paper.
I'm therefore happy to help you now to get the right estimates for your paper, in case this would still be desired.
While reading your previous message better, i realized that you now propose to take the effect size based on the dmPFC bargraph for sample 1. This bargraph is however created based only on voxels where the genotype effect is significant. Therefore, estimating effect size based on this bargraph is likely to give an inflated estimate (see http://www.nature.com/neuro/journal/v12/n5/abs/nn.2303.html). This is also the reason why we do not report statistics on these numbers in the paper, the bargraph is just for illustrative purposes.
A better effect size estimate could be obtained from the data extracted from a functional ROI of this region that we created based on an independent contrast not involving genotype. We did the mediation analysis also on these data  to avoid exactly this circularity. Please let me know if you would still like me to send you those data, corrected obviously for the error we found.</t>
  </si>
  <si>
    <t>genotype (scarriers, LL)</t>
  </si>
  <si>
    <t>scr</t>
  </si>
  <si>
    <t>dmpfc</t>
  </si>
  <si>
    <t>genotype (SS/SL/SS)</t>
  </si>
  <si>
    <t>This file contains all the input that we've used for the mediation analysis (including genotypes, dmPFC activity as extracted from the ROI that was created based on the task effect (independent of genotype) &amp; skin conductance responses).</t>
  </si>
  <si>
    <t>from authors 2/2/17</t>
  </si>
  <si>
    <t>S alleles</t>
  </si>
  <si>
    <t>These are corrected data sent by authors after error found in original.
Correction has been published in the journal</t>
  </si>
  <si>
    <t>DMPFC</t>
  </si>
  <si>
    <t>SCR</t>
  </si>
  <si>
    <t>Healthy, medication free, recruited from medical school/university adverts. Sample D  (all male); sample R  (21 male); 18-30 years. Sample R oversampled homozygotes</t>
  </si>
  <si>
    <t>2 group comparisons, as in paper</t>
  </si>
  <si>
    <t>SS+SL</t>
  </si>
  <si>
    <t>These are orignal published data below prior to correction. NB analysis combined SS+SL</t>
  </si>
  <si>
    <t>5-HTTLPR variant relates to dmPFC activity threat vs safe, Expt 1  (from corrected data sent by authors)</t>
  </si>
  <si>
    <t xml:space="preserve">None reported. </t>
  </si>
  <si>
    <t>Authors discovered error in genotype assignment of some participants; a correction has been published, and figures here are based on raw data sent by first author.</t>
  </si>
  <si>
    <t>10.1038/mp.2015.144</t>
  </si>
  <si>
    <t>rs75775 rs2268498 rs4564970 rs53576 rs2254298 rs237887 rs1042778 rs7632287</t>
  </si>
  <si>
    <t>OXTR + autism meta analysis (rs7632287, rs237887, rs2268491 and rs2254298) LoParo et al., 2014</t>
  </si>
  <si>
    <t>rs7632287 associated with overt aggression in boys, recessive model, discovery sample</t>
  </si>
  <si>
    <t>rs7632287 and rs4564970 polymorphisms in OXTR may independently affect antisocial behaviour in adolescent boys</t>
  </si>
  <si>
    <t>rs1800955 rs12720364 rs4680</t>
  </si>
  <si>
    <t>personality meta-analysis Munafo et al., 2009; personality meta-analysis Balestri et al., 2014; SZ meta-analyses Shi et al., 2008</t>
  </si>
  <si>
    <t>rs4680 rs907094</t>
  </si>
  <si>
    <t>Discovery: controls=198 patients=200; Replication: controls=859; patients=106</t>
  </si>
  <si>
    <t>Caucasian females 18-55; D and R both case-control series of patients with chronic facial pain</t>
  </si>
  <si>
    <t>9 SNPs within COMT gene locus (rs2020917, rs737865, rs1544325, rs6269, rs4633, rs165774, rs174697, rs9332381, rs 165599)</t>
  </si>
  <si>
    <t xml:space="preserve">APOE,  CR1 (rs3818361), CLU (rs11136000), BIN1 (rs744373), PICALM (rs541458), ABCA7 (rs3764650), MS4A4E(rs670139), CD33 (rs3865444),  MS4A6A (rs610932), CD2AP (rs9296559) </t>
  </si>
  <si>
    <t>Food frequency questionnaire and neuropsychological assessment; at baseline, 18, 36 month follow up; 6 cognitive domains and overall score (verbal memory, visual memory, executive function, language, attention, visuospatial functioning, global cognitive score), three dietary patterns (Australian-style Mediterranean diet, Western diet, prudent diet)</t>
  </si>
  <si>
    <t>food frequency questionnaire and neuropsychological assessment; change 18, 36 month follow up; 6 cognitive domains and overall score(verbal memory, visual memory, executive function, language, attention, visuospatial functioning, global cognitive score), three dietary patterns (Australian-style Mediterranean diet, western diet, prudent diet)</t>
  </si>
  <si>
    <t>Model 2(adjusted model without CVD risk factors, same covariates as fully adjusted model without past smoking status, history of hypertension, angina, stroke, heart attack and diabetes) change in cognitive domain standardised beta values, portion of variance explained by diet score: AusMeDi non carriers verbal memory 0.0170, visual memory -0.0142, executive function 0.0101, language -0.0041, attention 0.0026, visuospatial -0.0090, global cognitive score -0.002; AusMeDi carriers verbal memory 0.0297, visual memory 0.0119, executive function 0.0815 (8.6%) p&lt;0.01, language 0.0276, attention 0.0289, visuospatial -0.0690, global cognitive score 0.0200</t>
  </si>
  <si>
    <t xml:space="preserve">Right handed; 15 male M=25.3 years, SD=5.6, range 18-40; greater New Haven area; were enrolled based on BMI and genotype, matched on age, sex, genotype </t>
  </si>
  <si>
    <t>General sample: n=187 (60 men); 18-35 years; University of Texas at Austin introductory participant pool; Screened sample n=221 (96 men), given more detailed neuropsychiatric screening</t>
  </si>
  <si>
    <t>N = 3873</t>
  </si>
  <si>
    <t>Health in Men Study: males aged 65-83 years</t>
  </si>
  <si>
    <t>Alcohol consumption + depression status at follow up after 3-8 years</t>
  </si>
  <si>
    <t xml:space="preserve">N = 381 </t>
  </si>
  <si>
    <t>N = 38</t>
  </si>
  <si>
    <t>COMT rs4680 Val/Met allele; dys haplotype associated with decreased DTNBP1 expression ('Bray haplotype')</t>
  </si>
  <si>
    <t>NB THERE MAY BE ERRORS IN COLUMNS BELOW THIS POINT - NOT CHECKED FOR INADVERTENT 8 -&gt; 9 ERROR</t>
  </si>
  <si>
    <t>48-base pair VNTR in exon 3; short (both alleles &lt;7 repeat)  vs. long (7+ repeats)</t>
  </si>
  <si>
    <t>D = 112; R = 72</t>
  </si>
  <si>
    <t>N = 682</t>
  </si>
  <si>
    <t xml:space="preserve">rs12843268 </t>
  </si>
  <si>
    <t>In women, the A-allele was associated with higher sense of coherence (P=0.00028)</t>
  </si>
  <si>
    <t>1804 men and 1989 women</t>
  </si>
  <si>
    <t>Bonferroni correction for 8 SNPs x 4 measures of phenotype x 2 genders.</t>
  </si>
  <si>
    <t>Substance misuse (questionnaire); EEG (Theta power, reward positivity ERP amplitude, both at electrode FCz) + Virtual T-Maze reward-based choice task (experimental task giving 2 measures)</t>
  </si>
  <si>
    <t>Error bars are SEM</t>
  </si>
  <si>
    <t>NB PT redigitised versions of means used here; SD calculated from his SEM</t>
  </si>
  <si>
    <t>1)      While your extracted numbers for our figure are appropriate, we would like to point out that the values are not means and the error bars SDs, but rather effect sizes and the error bars indicate SEM as written in the Figure caption</t>
  </si>
  <si>
    <t>2)      Results are not uncorrected but family-wise error (FWE)corrected (written on page 3 as well as in the supplement)</t>
  </si>
  <si>
    <t>3)      We do not have combined GC and CC genotypes for fMRI data analyses, but rather employed a regression approach to investigate gene-dose dependent effects in our samples (see supplement). However, due to power reasons we did have to combine genotype groups for the SCR analyses, where we had to struggle with technical problems resulting in missing data (see supplement) – but this should not impact on your extracted key result...</t>
  </si>
  <si>
    <t>4)      The effect sizes are bigger for the replication sample (with smaller N) due to a technical detail: While in the discovery sample we applied a region-of-interest (ROI) approach, for the replication sample we used a 6mm sphere around the peak-voxel from the discovery sample – an established method in neuroscience (e.g. Lederbogen et al., 2011, Nature). Hence, the effect sizes in the larger discovery sample could be interpreted as more conservative. Therefore, we would suggest to take the, albeit smaller, reduced hippocampal activation of the discovery sample as key result.</t>
  </si>
  <si>
    <t xml:space="preserve">Reply </t>
  </si>
  <si>
    <t>This is all OK: SD was computed from independent points, and I have now checked SEM and it agrees with their error bars</t>
  </si>
  <si>
    <t>Replication sample: Reduced left sided HPC activation during late acquisition in female carriers of the PAC1-R (t = 4.92; p &lt; .001)</t>
  </si>
  <si>
    <t xml:space="preserve">Imaging data FWE corrected, but no further correction reported for N overall analyses </t>
  </si>
  <si>
    <t>Just for imaging, but no correction for numerous analyses</t>
  </si>
  <si>
    <t>This agrees with what we said</t>
  </si>
  <si>
    <t>1. Means are taken from effect sizes for activation in each genotype as reported in Figure 1.  2. Authors noted that effect sizes are bigger for the replication sample (with smaller N) because for the replication sample they used a 6 mm sphere around the peak-voxel from the discovery sample, whereas a ROI approach was used for the discovery sample. 3. Authors' analysis combined GC and CC genotypes for some behavioural analyses to achieve sufficient power, but main analysis used additive model.</t>
  </si>
  <si>
    <t>Now added to comment</t>
  </si>
  <si>
    <t>Quasi effect size</t>
  </si>
  <si>
    <t>Sample 1 (Selected result): Contrasts to threat and safe cues were constructed in each subject to index threat-related responses. Single subject contrast maps subjected to random effects analyses. Whole-brain results thresholded at a cluster threshold of p &lt; .05 FWE corrected for multiple comparisons according to random field theory implemented in SPM (p &lt; .001 cluster forming threshold). In sample 2, used ROI giving significant genotype effects in sample 1 (dmPFC and insula) that showed a genotype effect in sample 1. In this way, effects in sample 1 were validated by the data from the same regions in sample 2.These clusters of interest defined using a cluster-defining threshold of .005 uncorrected</t>
  </si>
  <si>
    <t>Cluster-wise RFT for imaging data. No other corrections reported</t>
  </si>
  <si>
    <t>LOAD-associated SNPs related to standardized b = -.22 for change in verbal fluency over 10 yr</t>
  </si>
  <si>
    <t>6/2/17- found errors in coding ; sent corrected data</t>
  </si>
  <si>
    <t xml:space="preserve">10/10/16 Sun: </t>
  </si>
  <si>
    <t>For this finding, we used FWE correction (peak-wise) within the BLA ROI, thresholds were set at p&lt;.005 and cluster size=5. This info can be found in the methods section in the paragraph on second-level SPM analyses. Also in case it is a cause for confusion, please note that the R^2 depicted in our figures is at the peak voxel. This is detailed in the figure legends. Let me know if you have other questions.</t>
  </si>
  <si>
    <t>Sample 1: N = 512; Sample 2: N = 721</t>
  </si>
  <si>
    <t xml:space="preserve">see email from Dannlowski, 1/10/16; </t>
  </si>
  <si>
    <t>argues VBM study not suitable; effect size overestimated</t>
  </si>
  <si>
    <t>MRI: regional brain volumes; 150 brain structures and six commissural tracts</t>
  </si>
  <si>
    <t>Quasi effect sizes</t>
  </si>
  <si>
    <t>Authors state re their method of Monte Carlo simulation gives higher power than the estimates we report from conventional power calculation.  'Our sample size of 381 yielded power &gt; 80% to detect a small/medium effect size, r ~ 0.06 for any given
SNP with this method of multiple comparison correction'. Other findings of association between RT components and SNPs, as well as evidence from mediation analysis that ADRA2A gene may be causally related to ADHD-like behaviors, in part through  influence on intra-individual variability</t>
  </si>
  <si>
    <t xml:space="preserve">Used a single-step Monte- Carlo permutation method to test for genetic associations with our cognitive variables </t>
  </si>
  <si>
    <t>No (except in context of power analysis)</t>
  </si>
  <si>
    <t>Discovery sample; treatment-seeking European ancestry smokers aged 18–65 who smoked 10+ cigarettes per day; Replication sample: participants in an open-label trial of nicotine patch versus nicotine nasal spray</t>
  </si>
  <si>
    <t>Baseline mood (Positive and Negative Affect Schedule-X;  provocation procedure;  baseline period fMRI and post-provocation period; self-reported anger control (5 items) and 2nd PANAS-X and hostility subscale</t>
  </si>
  <si>
    <t xml:space="preserve">All statistical tests are two-tailed, α = .05,  except for correlations where directional hypothesis that greater activation should correlate with heightened anger control </t>
  </si>
  <si>
    <t>ESR1 (rs9340799) predicted intracranial volume. Local variation in gray matter (GM) volume significantly associated with polymorphisms in DISC1 (rs821616), COMT, NRG1, APOE, ESR1 (rs9340799), and BDNF. No associations identified for DISC1 (rs6675281), ESR1 (rs2234693), or GAD1. Neonates homozygous for the DISC1 (rs821616) serine allele exhibited numerous large clusters of reduced GM in the frontal lobes, and neonates homozygous for the COMT valine allele exhibited reduced GM in temporal cortex and hippocampus</t>
  </si>
  <si>
    <t>Neonates (144 singleborn; 129 twins: for some analyses twins treated as one case so effective N = 186): ethnicity white; around 40% parents had psychiatric history</t>
  </si>
  <si>
    <t>DISC1 rs821616, DISC1 rs6675281, COMT rs4680, NRG1 rs6994992, NRG1 rs35753505, ESR1 rs9340799, ESR1 rs2234693, BDNF rs6265, GAD1 rs2270335, APOE ɛ4</t>
  </si>
  <si>
    <t>Additive or dominant/recessive, depending on polymorphism. One per SNP(?)</t>
  </si>
  <si>
    <t>Healthy, Caucasian subjects (18–89 years); for some analyses focus just on older subgroup]</t>
  </si>
  <si>
    <t xml:space="preserve">Our selected result is behavioural, but authors noted: 'The primary purpose of the study was to explore the modulatory effect of WWC1 genotype on age-related decline in episodic memory function using both cognitive (Weschler Memory Scale- WMS) and neurophysiological (BOLD fMRI during an episodic memory task) metrics'. </t>
  </si>
  <si>
    <t>Complex modulation of brain physiology by rs10748842, which does not fit the simple inefficiency model of risk association in DLPFC</t>
  </si>
  <si>
    <t>Healthy Caucasian volunteers (195 males, 215 females) aged 18-55 yr; 2nd sample included individuals with Sz and their siblings; our focus here is on sample 1</t>
  </si>
  <si>
    <t>Tested for a simple main effect of NRG3 rs10748842 genotype using multiple regression model with NRG3 genotype as covariate of interest and age, sex, and n-back task performance (percentage correct responses) as nuisance covariates. For fMRI used an a priori defined anatomical mask of the right DLPFC</t>
  </si>
  <si>
    <t>Highly significant and regionally specific effects of NRG3 genotype on right VLPFC function, whereby during working memory, greater activation was observed in rs10748842 minor allele (C) carriers compared with risk-associated T allele homozygotes. Finding was counter to hypothesis</t>
  </si>
  <si>
    <t>fMRI with n-back working memory paradigm. a priori defined anatomical mask of the right DLPFC. Effects of NRG3 genotype  examined in a summary statistic procedure using general linear models in SPM5 with random-effects group statistics. Tested for a simple main effect  using a multiple regression model with NRG3 genotype (T/T homozygotes, C allele carriers) as a covariate of interest and age, sex, and n-back task performance (percentage correct responses) as nuisance covariates. Also analysed interactions</t>
  </si>
  <si>
    <t>Qu</t>
  </si>
  <si>
    <t>Association of ADHD symptoms with distinct BOLD responses depending on MAOA genotype. In A hemizygotes of rs12843268, which express lower levels of MAOA, ADHD symptoms associated with lower ventral striatal BOLD response during monetary incentive delay task and lower inferior frontal gyrus BOLD response during stop signal task. In G hemizygotes, ADHD symptoms associated with increased IFG BOLD response during stop signal task in presence of increased ventral striatal BOLD response during monetary incentive delay task. Depending on MAOA genotype, ADHD symptoms in adolescent boys are associated with either reward deficiency or insufficient response inhibition</t>
  </si>
  <si>
    <t>MAOA rs129843268 is associated with left ventral striatum (VS) activation (F1,180 = 10.87 p = .002, partial η2: .061) in boys</t>
  </si>
  <si>
    <t>C385A (rs324420)</t>
  </si>
  <si>
    <t>Individuals carrying at least one lesser-expressing FAAH 385A variant showed greater amygdala-mediated habituation to threatening stimuli, largest effect R ventral cluster</t>
  </si>
  <si>
    <t xml:space="preserve">Unclear. Fig 2 shows results for all 3 cohorts combined. Unclear if there was significant effect in both cohorts independently </t>
  </si>
  <si>
    <t>Preliminary request for means/SDs on 28/9/16 by DB</t>
  </si>
  <si>
    <t>8/10/16 DB</t>
  </si>
  <si>
    <t>8/10/16 by DB; 27/10/16</t>
  </si>
  <si>
    <t>08/10/16 DB; 27/10/16</t>
  </si>
  <si>
    <t>08/10/2016 DB; 27/10/16</t>
  </si>
  <si>
    <t>NH</t>
  </si>
  <si>
    <t>N discovery</t>
  </si>
  <si>
    <t>N replication</t>
  </si>
  <si>
    <t>Difficult to determine effect size, because focus of interest is difference in sign of correlation coefficients for groups A1- and A1+.</t>
  </si>
  <si>
    <t>Used t-value for interaction term. This was NS. Means in rows 4-5 are residuals from this regression, which we entered into further regression with A- vs A+ as predictor</t>
  </si>
  <si>
    <t>Alternative is to add group into regression: this gave same result (i.e. r around .015 (NS))</t>
  </si>
  <si>
    <t>fMRI</t>
  </si>
  <si>
    <t>-</t>
  </si>
  <si>
    <t>Structural + fMRI</t>
  </si>
  <si>
    <t>authors only correct for geno and not pheno?</t>
  </si>
  <si>
    <t>Structural MRI</t>
  </si>
  <si>
    <t>PET</t>
  </si>
  <si>
    <t>Structural and fMRI</t>
  </si>
  <si>
    <t>Unclear how many tests were performed . Table S4 hard to interpret.</t>
  </si>
  <si>
    <t>which haplotype is Bray? Which alleles of the three SNPs are considered risk?</t>
  </si>
  <si>
    <t>Paper includes studies of mice in T-maze, where non-linear interaction between COMT and dysbindin was found; Study of humans motivated by hypothesis of epistasis derived from mice. Because the focus for human data is on G x G interaction and not main effects, computation of effect size  from available data is extremely tentative.</t>
  </si>
  <si>
    <t>p-value of interaction, evaluated with full N. Also Computed an effect size for the interaction by digitising data from Figure 3 and then computing means for the combinations of COMT and Bray haplotypes described in Figure 3. This gave r = .331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</si>
</sst>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6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color theme="1"/>
      <name val="Calibri"/>
      <family val="2"/>
      <scheme val="minor"/>
    </font>
    <font>
      <b/>
      <sz val="9"/>
      <color indexed="81"/>
      <name val="Tahoma"/>
      <family val="2"/>
    </font>
    <font>
      <sz val="9"/>
      <color indexed="81"/>
      <name val="Tahoma"/>
      <family val="2"/>
    </font>
    <font>
      <u/>
      <sz val="11"/>
      <color theme="10"/>
      <name val="Calibri"/>
      <family val="2"/>
      <scheme val="minor"/>
    </font>
    <font>
      <sz val="11"/>
      <color rgb="FFFF0000"/>
      <name val="Calibri"/>
      <family val="2"/>
      <scheme val="minor"/>
    </font>
    <font>
      <b/>
      <sz val="11"/>
      <color theme="1"/>
      <name val="Calibri"/>
      <family val="2"/>
      <scheme val="minor"/>
    </font>
    <font>
      <sz val="11"/>
      <color rgb="FFFF0000"/>
      <name val="Calibri"/>
      <family val="2"/>
    </font>
    <font>
      <sz val="11"/>
      <name val="Calibri"/>
      <family val="2"/>
      <scheme val="minor"/>
    </font>
    <font>
      <b/>
      <sz val="11"/>
      <name val="Calibri"/>
      <family val="2"/>
      <scheme val="minor"/>
    </font>
    <font>
      <sz val="9"/>
      <color theme="1"/>
      <name val="Calibri"/>
      <family val="2"/>
      <scheme val="minor"/>
    </font>
    <font>
      <u/>
      <sz val="9"/>
      <color theme="10"/>
      <name val="Calibri"/>
      <family val="2"/>
      <scheme val="minor"/>
    </font>
    <font>
      <sz val="8"/>
      <color theme="1"/>
      <name val="Calibri"/>
      <family val="2"/>
      <scheme val="minor"/>
    </font>
    <font>
      <i/>
      <sz val="8"/>
      <color theme="1"/>
      <name val="Calibri"/>
      <family val="2"/>
      <scheme val="minor"/>
    </font>
    <font>
      <i/>
      <sz val="11"/>
      <color theme="1"/>
      <name val="Calibri"/>
      <family val="2"/>
      <scheme val="minor"/>
    </font>
    <font>
      <vertAlign val="superscript"/>
      <sz val="11"/>
      <color theme="1"/>
      <name val="Calibri"/>
      <family val="2"/>
      <scheme val="minor"/>
    </font>
    <font>
      <sz val="10"/>
      <color rgb="FF000000"/>
      <name val="Arial"/>
      <family val="2"/>
    </font>
    <font>
      <i/>
      <sz val="10"/>
      <color theme="1"/>
      <name val="Calibri"/>
      <family val="2"/>
      <scheme val="minor"/>
    </font>
    <font>
      <i/>
      <sz val="9"/>
      <color theme="1"/>
      <name val="Calibri"/>
      <family val="2"/>
      <scheme val="minor"/>
    </font>
    <font>
      <strike/>
      <sz val="11"/>
      <color rgb="FFFF0000"/>
      <name val="Calibri"/>
      <family val="2"/>
      <scheme val="minor"/>
    </font>
    <font>
      <sz val="12"/>
      <color rgb="FF000000"/>
      <name val="Calibri"/>
      <family val="2"/>
      <scheme val="minor"/>
    </font>
    <font>
      <sz val="12"/>
      <color rgb="FF000000"/>
      <name val="Courier New"/>
      <family val="3"/>
    </font>
    <font>
      <sz val="10"/>
      <color indexed="81"/>
      <name val="Calibri"/>
    </font>
    <font>
      <b/>
      <sz val="10"/>
      <color indexed="81"/>
      <name val="Calibri"/>
    </font>
    <font>
      <u/>
      <sz val="11"/>
      <color theme="11"/>
      <name val="Calibri"/>
      <family val="2"/>
      <scheme val="minor"/>
    </font>
    <font>
      <sz val="10"/>
      <color theme="1"/>
      <name val="AdvTTc5020120"/>
    </font>
    <font>
      <sz val="10"/>
      <color theme="1"/>
      <name val="AdvTTc5020120+22"/>
    </font>
    <font>
      <sz val="10"/>
      <color theme="1"/>
      <name val="AdvTT74b11a14.I"/>
    </font>
    <font>
      <sz val="12"/>
      <color theme="1"/>
      <name val="Times New Roman"/>
    </font>
    <font>
      <sz val="7"/>
      <color theme="1"/>
      <name val="AdvOTf0129623"/>
    </font>
    <font>
      <sz val="7"/>
      <color theme="1"/>
      <name val="AdvOT3a037357.I"/>
    </font>
    <font>
      <sz val="7"/>
      <color theme="1"/>
      <name val="AdvOTf0129623+20"/>
    </font>
    <font>
      <sz val="10"/>
      <color theme="1"/>
      <name val="AdvOTf0129623"/>
    </font>
    <font>
      <sz val="9"/>
      <color theme="1"/>
      <name val="AdvOTf0129623"/>
    </font>
    <font>
      <sz val="9"/>
      <color theme="1"/>
      <name val="AdvOT8317d6aa"/>
    </font>
    <font>
      <sz val="9"/>
      <color theme="1"/>
      <name val="AdvOT3a037357.I"/>
    </font>
    <font>
      <sz val="6"/>
      <color theme="1"/>
      <name val="AdvOTf0129623"/>
    </font>
    <font>
      <sz val="9"/>
      <color rgb="FF2196D1"/>
      <name val="AdvOTf0129623"/>
    </font>
    <font>
      <b/>
      <sz val="11"/>
      <color theme="1"/>
      <name val="Calibri (Body)"/>
    </font>
    <font>
      <sz val="11"/>
      <color rgb="FF211E1E"/>
      <name val="Calibri (Body)"/>
    </font>
    <font>
      <sz val="9"/>
      <color rgb="FF211E1E"/>
      <name val="AdvOT65f8a23b.I"/>
    </font>
    <font>
      <sz val="11"/>
      <color rgb="FF211E1E"/>
      <name val="Calibri"/>
      <family val="2"/>
      <scheme val="minor"/>
    </font>
    <font>
      <sz val="11"/>
      <color theme="1"/>
      <name val="Calibri (Body)"/>
    </font>
    <font>
      <sz val="11"/>
      <color theme="1"/>
      <name val="Calibri"/>
      <family val="2"/>
    </font>
    <font>
      <i/>
      <sz val="11"/>
      <color rgb="FF000000"/>
      <name val="Calibri"/>
      <family val="2"/>
    </font>
    <font>
      <b/>
      <sz val="11"/>
      <color rgb="FF000000"/>
      <name val="Calibri"/>
      <scheme val="minor"/>
    </font>
    <font>
      <sz val="11"/>
      <color rgb="FF211E1E"/>
      <name val="AdvOT65f8a23b.I"/>
    </font>
    <font>
      <sz val="11"/>
      <color rgb="FF211E1E"/>
      <name val="AdvEls"/>
    </font>
    <font>
      <sz val="11"/>
      <color rgb="FF211E1E"/>
      <name val="AdvOT46dcae81"/>
    </font>
    <font>
      <sz val="11"/>
      <color rgb="FF000000"/>
      <name val="Calibri"/>
      <scheme val="minor"/>
    </font>
    <font>
      <sz val="10"/>
      <color rgb="FF000000"/>
      <name val="Segoe UI"/>
      <family val="2"/>
    </font>
    <font>
      <sz val="8"/>
      <color rgb="FF408CD9"/>
      <name val="Segoe UI"/>
      <family val="2"/>
    </font>
    <font>
      <sz val="8"/>
      <color rgb="FF999999"/>
      <name val="Segoe UI"/>
      <family val="2"/>
    </font>
    <font>
      <sz val="12"/>
      <color rgb="FF000000"/>
      <name val="Times New Roman"/>
      <family val="1"/>
    </font>
    <font>
      <sz val="8.25"/>
      <color rgb="FF408CD9"/>
      <name val="Segoe UI"/>
      <family val="2"/>
    </font>
    <font>
      <sz val="8.25"/>
      <color rgb="FF999999"/>
      <name val="Segoe UI"/>
      <family val="2"/>
    </font>
    <font>
      <sz val="12"/>
      <color rgb="FF000000"/>
      <name val="Tahoma"/>
      <family val="2"/>
    </font>
    <font>
      <vertAlign val="superscript"/>
      <sz val="11"/>
      <color theme="1"/>
      <name val="Calibri (Body)"/>
    </font>
    <font>
      <vertAlign val="superscript"/>
      <sz val="11"/>
      <color rgb="FF211E1E"/>
      <name val="Calibri"/>
      <scheme val="minor"/>
    </font>
    <font>
      <i/>
      <sz val="12"/>
      <color theme="1"/>
      <name val="TimesNewRomanPS"/>
    </font>
    <font>
      <i/>
      <sz val="8"/>
      <color theme="1"/>
      <name val="TimesNewRomanPS"/>
    </font>
    <font>
      <sz val="12"/>
      <color theme="1"/>
      <name val="TimesNewRomanPSMT"/>
    </font>
    <font>
      <b/>
      <sz val="11"/>
      <color rgb="FFFF0000"/>
      <name val="Calibri"/>
      <scheme val="minor"/>
    </font>
    <font>
      <sz val="10"/>
      <color rgb="FF000000"/>
      <name val="Lucida Console"/>
      <family val="3"/>
    </font>
  </fonts>
  <fills count="1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bgColor indexed="64"/>
      </patternFill>
    </fill>
    <fill>
      <patternFill patternType="solid">
        <fgColor theme="9" tint="0.59999389629810485"/>
        <bgColor indexed="64"/>
      </patternFill>
    </fill>
    <fill>
      <patternFill patternType="solid">
        <fgColor theme="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0000"/>
        <bgColor indexed="64"/>
      </patternFill>
    </fill>
    <fill>
      <patternFill patternType="solid">
        <fgColor theme="4"/>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bgColor indexed="64"/>
      </patternFill>
    </fill>
  </fills>
  <borders count="7">
    <border>
      <left/>
      <right/>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14">
    <xf numFmtId="0" fontId="0" fillId="0" borderId="0"/>
    <xf numFmtId="0" fontId="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 fillId="0" borderId="0"/>
    <xf numFmtId="0" fontId="29" fillId="0" borderId="0" applyNumberFormat="0" applyFill="0" applyBorder="0" applyAlignment="0" applyProtection="0"/>
    <xf numFmtId="0" fontId="1"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cellStyleXfs>
  <cellXfs count="237">
    <xf numFmtId="0" fontId="0" fillId="0" borderId="0" xfId="0"/>
    <xf numFmtId="0" fontId="6" fillId="0" borderId="0" xfId="0" applyFont="1" applyAlignment="1">
      <alignment wrapText="1"/>
    </xf>
    <xf numFmtId="0" fontId="6" fillId="0" borderId="0" xfId="0" applyFont="1" applyFill="1" applyAlignment="1">
      <alignment wrapText="1"/>
    </xf>
    <xf numFmtId="0" fontId="6" fillId="0" borderId="0" xfId="0" applyFont="1" applyAlignment="1">
      <alignment vertical="top" wrapText="1"/>
    </xf>
    <xf numFmtId="0" fontId="6" fillId="0" borderId="0" xfId="0" applyFont="1" applyAlignment="1">
      <alignment wrapText="1"/>
    </xf>
    <xf numFmtId="0" fontId="0" fillId="0" borderId="0" xfId="0" applyFont="1" applyFill="1" applyAlignment="1">
      <alignment horizontal="left" vertical="top" wrapText="1"/>
    </xf>
    <xf numFmtId="0" fontId="0" fillId="0" borderId="0" xfId="0" applyFont="1" applyAlignment="1">
      <alignment horizontal="left" vertical="top" wrapText="1" shrinkToFit="1"/>
    </xf>
    <xf numFmtId="0" fontId="0" fillId="0" borderId="0" xfId="0" applyFont="1" applyAlignment="1">
      <alignment horizontal="left" vertical="top" wrapText="1"/>
    </xf>
    <xf numFmtId="0" fontId="0" fillId="2" borderId="0" xfId="0" applyFont="1" applyFill="1" applyAlignment="1">
      <alignment horizontal="left" vertical="top" wrapText="1" shrinkToFit="1"/>
    </xf>
    <xf numFmtId="0" fontId="0" fillId="0" borderId="0" xfId="0" applyFont="1" applyFill="1" applyAlignment="1">
      <alignment horizontal="left" vertical="top" wrapText="1" shrinkToFit="1"/>
    </xf>
    <xf numFmtId="0" fontId="9" fillId="0" borderId="0" xfId="1" applyFont="1" applyAlignment="1">
      <alignment horizontal="left" vertical="top" wrapText="1"/>
    </xf>
    <xf numFmtId="0" fontId="0" fillId="2" borderId="0" xfId="0" applyFont="1" applyFill="1" applyAlignment="1">
      <alignment horizontal="left" vertical="top" wrapText="1"/>
    </xf>
    <xf numFmtId="0" fontId="10" fillId="0" borderId="0" xfId="0" applyFont="1" applyAlignment="1">
      <alignment horizontal="left" vertical="top" wrapText="1"/>
    </xf>
    <xf numFmtId="0" fontId="0" fillId="0" borderId="0" xfId="0" applyFont="1" applyAlignment="1">
      <alignment wrapText="1"/>
    </xf>
    <xf numFmtId="0" fontId="9" fillId="0" borderId="0" xfId="1" applyFont="1" applyAlignment="1">
      <alignment horizontal="left" vertical="top" wrapText="1" shrinkToFit="1"/>
    </xf>
    <xf numFmtId="0" fontId="0" fillId="0" borderId="0" xfId="0" quotePrefix="1" applyFont="1" applyAlignment="1">
      <alignment horizontal="left" vertical="top" wrapText="1" shrinkToFit="1"/>
    </xf>
    <xf numFmtId="0" fontId="13" fillId="0" borderId="0" xfId="0" applyFont="1" applyAlignment="1">
      <alignment horizontal="left" vertical="top" wrapText="1"/>
    </xf>
    <xf numFmtId="0" fontId="13" fillId="0" borderId="0" xfId="0" applyFont="1" applyAlignment="1">
      <alignment horizontal="left" vertical="top" wrapText="1" shrinkToFit="1"/>
    </xf>
    <xf numFmtId="0" fontId="10" fillId="0" borderId="0" xfId="0" applyFont="1" applyAlignment="1">
      <alignment horizontal="left" vertical="top" wrapText="1" shrinkToFit="1"/>
    </xf>
    <xf numFmtId="0" fontId="10" fillId="2" borderId="0" xfId="0" applyFont="1" applyFill="1" applyAlignment="1">
      <alignment horizontal="left" vertical="top" wrapText="1"/>
    </xf>
    <xf numFmtId="0" fontId="13" fillId="0" borderId="0" xfId="0" applyFont="1" applyFill="1" applyAlignment="1">
      <alignment horizontal="left" vertical="top" wrapText="1"/>
    </xf>
    <xf numFmtId="0" fontId="10" fillId="0" borderId="0" xfId="0" applyFont="1" applyFill="1" applyAlignment="1">
      <alignment horizontal="left" vertical="top" wrapText="1"/>
    </xf>
    <xf numFmtId="0" fontId="0" fillId="3" borderId="0" xfId="0" applyFont="1" applyFill="1" applyAlignment="1">
      <alignment horizontal="left" vertical="top" wrapText="1"/>
    </xf>
    <xf numFmtId="0" fontId="13" fillId="2" borderId="0" xfId="0" applyFont="1" applyFill="1" applyAlignment="1">
      <alignment horizontal="left" vertical="top" wrapText="1"/>
    </xf>
    <xf numFmtId="0" fontId="11" fillId="0" borderId="0" xfId="0" applyFont="1" applyAlignment="1">
      <alignment horizontal="left" vertical="top" wrapText="1"/>
    </xf>
    <xf numFmtId="0" fontId="0" fillId="0" borderId="0" xfId="0" applyFont="1" applyAlignment="1">
      <alignment vertical="top" wrapText="1"/>
    </xf>
    <xf numFmtId="0" fontId="0" fillId="2" borderId="0" xfId="0" applyFont="1" applyFill="1" applyAlignment="1">
      <alignment vertical="top" wrapText="1"/>
    </xf>
    <xf numFmtId="16" fontId="0" fillId="2" borderId="0" xfId="0" applyNumberFormat="1" applyFont="1" applyFill="1" applyAlignment="1">
      <alignment horizontal="left" vertical="top" wrapText="1"/>
    </xf>
    <xf numFmtId="0" fontId="9" fillId="0" borderId="0" xfId="1" applyFont="1" applyFill="1" applyAlignment="1">
      <alignment horizontal="left" vertical="top" wrapText="1"/>
    </xf>
    <xf numFmtId="0" fontId="0" fillId="0" borderId="0" xfId="0" applyFont="1" applyFill="1" applyAlignment="1">
      <alignment vertical="top" wrapText="1"/>
    </xf>
    <xf numFmtId="0" fontId="6" fillId="2" borderId="0" xfId="0" applyFont="1" applyFill="1" applyAlignment="1">
      <alignment wrapText="1"/>
    </xf>
    <xf numFmtId="0" fontId="6" fillId="4" borderId="0" xfId="0" applyFont="1" applyFill="1" applyAlignment="1">
      <alignment wrapText="1"/>
    </xf>
    <xf numFmtId="0" fontId="0" fillId="5" borderId="0" xfId="0" applyFont="1" applyFill="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right"/>
    </xf>
    <xf numFmtId="0" fontId="15" fillId="0" borderId="0" xfId="0" applyFont="1"/>
    <xf numFmtId="0" fontId="15" fillId="0" borderId="0" xfId="0" applyFont="1" applyAlignment="1">
      <alignment horizontal="left" vertical="top" wrapText="1" shrinkToFit="1"/>
    </xf>
    <xf numFmtId="0" fontId="15" fillId="0" borderId="0" xfId="0" applyFont="1" applyFill="1" applyAlignment="1">
      <alignment horizontal="left" vertical="top" wrapText="1" shrinkToFit="1"/>
    </xf>
    <xf numFmtId="0" fontId="15" fillId="2" borderId="0" xfId="0" applyFont="1" applyFill="1" applyAlignment="1">
      <alignment horizontal="left" vertical="top" wrapText="1" shrinkToFit="1"/>
    </xf>
    <xf numFmtId="0" fontId="15" fillId="0" borderId="0" xfId="0" applyFont="1" applyAlignment="1">
      <alignment horizontal="left" vertical="top" wrapText="1"/>
    </xf>
    <xf numFmtId="0" fontId="16" fillId="0" borderId="0" xfId="1" applyFont="1" applyAlignment="1">
      <alignment horizontal="left" vertical="top" wrapText="1"/>
    </xf>
    <xf numFmtId="0" fontId="15" fillId="0" borderId="0" xfId="0" applyFont="1" applyFill="1" applyAlignment="1">
      <alignment horizontal="left" vertical="top" wrapText="1"/>
    </xf>
    <xf numFmtId="0" fontId="15" fillId="2" borderId="0" xfId="0" applyFont="1" applyFill="1" applyAlignment="1">
      <alignment horizontal="left" vertical="top" wrapText="1"/>
    </xf>
    <xf numFmtId="0" fontId="15" fillId="6" borderId="0" xfId="0" applyFont="1" applyFill="1" applyAlignment="1">
      <alignment horizontal="left" vertical="top" wrapText="1"/>
    </xf>
    <xf numFmtId="0" fontId="15" fillId="6" borderId="0" xfId="0" applyFont="1" applyFill="1" applyAlignment="1">
      <alignment horizontal="left" vertical="top" wrapText="1" shrinkToFit="1"/>
    </xf>
    <xf numFmtId="0" fontId="15" fillId="6" borderId="0" xfId="0" applyFont="1" applyFill="1"/>
    <xf numFmtId="0" fontId="16" fillId="0" borderId="0" xfId="1" applyFont="1" applyAlignment="1">
      <alignment horizontal="left" vertical="top" wrapText="1" shrinkToFit="1"/>
    </xf>
    <xf numFmtId="0" fontId="6" fillId="6" borderId="0" xfId="0" applyFont="1" applyFill="1" applyAlignment="1">
      <alignment vertical="top" wrapText="1"/>
    </xf>
    <xf numFmtId="0" fontId="0" fillId="6" borderId="0" xfId="0" applyFont="1" applyFill="1" applyAlignment="1">
      <alignment horizontal="left" vertical="top" wrapText="1" shrinkToFit="1"/>
    </xf>
    <xf numFmtId="0" fontId="0" fillId="6" borderId="0" xfId="0" applyFont="1" applyFill="1" applyAlignment="1">
      <alignment horizontal="left" vertical="top" wrapText="1"/>
    </xf>
    <xf numFmtId="0" fontId="6" fillId="6" borderId="0" xfId="0" applyFont="1" applyFill="1" applyAlignment="1">
      <alignment wrapText="1"/>
    </xf>
    <xf numFmtId="0" fontId="0" fillId="2" borderId="0" xfId="0" applyFill="1" applyBorder="1"/>
    <xf numFmtId="0" fontId="0" fillId="0" borderId="0" xfId="0" applyBorder="1"/>
    <xf numFmtId="0" fontId="0" fillId="0" borderId="0" xfId="0" applyFill="1" applyBorder="1"/>
    <xf numFmtId="0" fontId="0" fillId="0" borderId="0" xfId="0" applyBorder="1" applyAlignment="1">
      <alignment vertical="center" wrapText="1"/>
    </xf>
    <xf numFmtId="0" fontId="0" fillId="0" borderId="0" xfId="0" applyFill="1" applyBorder="1" applyAlignment="1">
      <alignment vertical="center" wrapText="1"/>
    </xf>
    <xf numFmtId="0" fontId="0" fillId="2" borderId="0" xfId="0" applyFill="1" applyAlignment="1">
      <alignment horizontal="left" vertical="top" wrapText="1"/>
    </xf>
    <xf numFmtId="0" fontId="0" fillId="2" borderId="0" xfId="0" applyFill="1"/>
    <xf numFmtId="1" fontId="0" fillId="0" borderId="0" xfId="0" applyNumberFormat="1" applyBorder="1"/>
    <xf numFmtId="1" fontId="0" fillId="0" borderId="0" xfId="0" applyNumberFormat="1" applyFill="1" applyBorder="1"/>
    <xf numFmtId="1" fontId="0" fillId="0" borderId="0" xfId="0" applyNumberFormat="1" applyBorder="1" applyAlignment="1">
      <alignment vertical="center" wrapText="1"/>
    </xf>
    <xf numFmtId="164" fontId="0" fillId="0" borderId="0" xfId="0" applyNumberFormat="1" applyAlignment="1">
      <alignment horizontal="left" vertical="top" wrapText="1"/>
    </xf>
    <xf numFmtId="0" fontId="0" fillId="2" borderId="0" xfId="0" applyFill="1" applyAlignment="1">
      <alignment vertical="top" wrapText="1"/>
    </xf>
    <xf numFmtId="0" fontId="0" fillId="0" borderId="0" xfId="0" applyAlignment="1">
      <alignment wrapText="1"/>
    </xf>
    <xf numFmtId="0" fontId="0" fillId="0" borderId="0" xfId="0" applyFill="1" applyAlignment="1">
      <alignment horizontal="left" vertical="top" wrapText="1"/>
    </xf>
    <xf numFmtId="14" fontId="0" fillId="0" borderId="0" xfId="0" applyNumberFormat="1" applyAlignment="1">
      <alignment horizontal="left" vertical="top" wrapText="1"/>
    </xf>
    <xf numFmtId="0" fontId="0" fillId="3" borderId="0" xfId="0" applyFill="1" applyAlignment="1">
      <alignment horizontal="left" vertical="top" wrapText="1"/>
    </xf>
    <xf numFmtId="0" fontId="0" fillId="0" borderId="0" xfId="0" applyAlignment="1">
      <alignment vertical="center" wrapText="1"/>
    </xf>
    <xf numFmtId="0" fontId="0" fillId="0" borderId="0" xfId="0" applyBorder="1" applyAlignment="1">
      <alignment wrapText="1"/>
    </xf>
    <xf numFmtId="0" fontId="0" fillId="0" borderId="0" xfId="0" applyBorder="1" applyAlignment="1"/>
    <xf numFmtId="0" fontId="0" fillId="0" borderId="0" xfId="0" applyFill="1" applyAlignment="1">
      <alignment wrapText="1"/>
    </xf>
    <xf numFmtId="0" fontId="0" fillId="0" borderId="0" xfId="0" applyFill="1"/>
    <xf numFmtId="0" fontId="19" fillId="0" borderId="0" xfId="0" applyFont="1"/>
    <xf numFmtId="0" fontId="21" fillId="0" borderId="0" xfId="0" applyFont="1"/>
    <xf numFmtId="0" fontId="6" fillId="0" borderId="0" xfId="0" applyFont="1" applyFill="1" applyAlignment="1">
      <alignment vertical="top" wrapText="1"/>
    </xf>
    <xf numFmtId="0" fontId="0" fillId="7" borderId="0" xfId="0" applyFill="1" applyBorder="1" applyAlignment="1">
      <alignment wrapText="1"/>
    </xf>
    <xf numFmtId="0" fontId="0" fillId="7" borderId="0" xfId="0" applyFill="1"/>
    <xf numFmtId="0" fontId="22" fillId="0" borderId="0" xfId="0" applyFont="1"/>
    <xf numFmtId="0" fontId="23" fillId="0" borderId="0" xfId="0" applyFont="1"/>
    <xf numFmtId="164" fontId="10" fillId="0" borderId="0" xfId="0" applyNumberFormat="1" applyFont="1" applyAlignment="1">
      <alignment horizontal="left" vertical="top" wrapText="1"/>
    </xf>
    <xf numFmtId="164" fontId="0" fillId="0" borderId="0" xfId="0" applyNumberFormat="1" applyFill="1" applyAlignment="1">
      <alignment horizontal="left" vertical="top" wrapText="1"/>
    </xf>
    <xf numFmtId="0" fontId="0" fillId="0" borderId="0" xfId="0" applyAlignment="1">
      <alignment vertical="top"/>
    </xf>
    <xf numFmtId="0" fontId="0" fillId="2" borderId="0" xfId="0" applyFill="1" applyAlignment="1">
      <alignment vertical="top"/>
    </xf>
    <xf numFmtId="0" fontId="25" fillId="0" borderId="0" xfId="0" applyFont="1" applyAlignment="1">
      <alignment vertical="center" wrapText="1"/>
    </xf>
    <xf numFmtId="0" fontId="11" fillId="9" borderId="1" xfId="0" applyFont="1" applyFill="1" applyBorder="1" applyAlignment="1">
      <alignment horizontal="center" vertical="top" wrapText="1"/>
    </xf>
    <xf numFmtId="0" fontId="11" fillId="9" borderId="2" xfId="0" applyFont="1" applyFill="1" applyBorder="1" applyAlignment="1">
      <alignment horizontal="center" vertical="top" wrapText="1"/>
    </xf>
    <xf numFmtId="0" fontId="0" fillId="0" borderId="1" xfId="0" applyBorder="1" applyAlignment="1">
      <alignment vertical="top"/>
    </xf>
    <xf numFmtId="0" fontId="0" fillId="0" borderId="1" xfId="0" applyBorder="1" applyAlignment="1">
      <alignment horizontal="left" vertical="top" wrapText="1"/>
    </xf>
    <xf numFmtId="0" fontId="0" fillId="8" borderId="1" xfId="0" applyFill="1" applyBorder="1" applyAlignment="1">
      <alignment horizontal="lef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0" xfId="0" quotePrefix="1" applyAlignment="1">
      <alignment vertical="top"/>
    </xf>
    <xf numFmtId="0" fontId="0" fillId="9" borderId="1" xfId="0" applyFill="1" applyBorder="1" applyAlignment="1">
      <alignment vertical="top"/>
    </xf>
    <xf numFmtId="0" fontId="0" fillId="0" borderId="1" xfId="0" applyFill="1" applyBorder="1" applyAlignment="1">
      <alignment vertical="top"/>
    </xf>
    <xf numFmtId="0" fontId="0" fillId="10" borderId="1" xfId="0" applyFill="1" applyBorder="1" applyAlignment="1">
      <alignment vertical="top"/>
    </xf>
    <xf numFmtId="164" fontId="0" fillId="0" borderId="2" xfId="0" applyNumberFormat="1" applyBorder="1" applyAlignment="1">
      <alignment horizontal="center" vertical="top"/>
    </xf>
    <xf numFmtId="0" fontId="0" fillId="0" borderId="2" xfId="0"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vertical="top"/>
    </xf>
    <xf numFmtId="0" fontId="0" fillId="8" borderId="1" xfId="0" applyFill="1" applyBorder="1" applyAlignment="1">
      <alignment vertical="top"/>
    </xf>
    <xf numFmtId="164" fontId="0" fillId="0" borderId="2" xfId="0" applyNumberFormat="1" applyBorder="1" applyAlignment="1">
      <alignment horizontal="center" vertical="top" wrapText="1"/>
    </xf>
    <xf numFmtId="0" fontId="0" fillId="0" borderId="2" xfId="0" applyBorder="1" applyAlignment="1">
      <alignment horizontal="center" vertical="top"/>
    </xf>
    <xf numFmtId="0" fontId="0" fillId="0" borderId="1" xfId="0" applyBorder="1" applyAlignment="1">
      <alignment horizontal="center" vertical="top"/>
    </xf>
    <xf numFmtId="0" fontId="0" fillId="2" borderId="1" xfId="0" applyFill="1" applyBorder="1" applyAlignment="1">
      <alignment vertical="top"/>
    </xf>
    <xf numFmtId="0" fontId="0" fillId="2" borderId="1" xfId="0" applyFill="1" applyBorder="1" applyAlignment="1">
      <alignment horizontal="left" vertical="top" wrapText="1"/>
    </xf>
    <xf numFmtId="0" fontId="0" fillId="2" borderId="1" xfId="0" applyFill="1" applyBorder="1" applyAlignment="1">
      <alignment vertical="top" wrapText="1"/>
    </xf>
    <xf numFmtId="0" fontId="0" fillId="2" borderId="2" xfId="0" applyFill="1" applyBorder="1" applyAlignment="1">
      <alignment vertical="top" wrapText="1"/>
    </xf>
    <xf numFmtId="0" fontId="0" fillId="2" borderId="2" xfId="0" applyFill="1" applyBorder="1" applyAlignment="1">
      <alignment horizontal="center" vertical="top"/>
    </xf>
    <xf numFmtId="0" fontId="0" fillId="2" borderId="1" xfId="0" applyFill="1" applyBorder="1" applyAlignment="1">
      <alignment horizontal="center" vertical="top"/>
    </xf>
    <xf numFmtId="0" fontId="0" fillId="2" borderId="2" xfId="0" applyFill="1" applyBorder="1" applyAlignment="1">
      <alignment vertical="top"/>
    </xf>
    <xf numFmtId="0" fontId="0" fillId="0" borderId="2" xfId="0" applyFill="1" applyBorder="1" applyAlignment="1">
      <alignment vertical="top" wrapText="1"/>
    </xf>
    <xf numFmtId="0" fontId="0" fillId="2" borderId="1" xfId="0" applyFill="1" applyBorder="1" applyAlignment="1">
      <alignment wrapText="1"/>
    </xf>
    <xf numFmtId="0" fontId="0" fillId="2" borderId="1" xfId="0" applyFill="1" applyBorder="1"/>
    <xf numFmtId="0" fontId="0" fillId="2" borderId="2" xfId="0" applyFill="1" applyBorder="1"/>
    <xf numFmtId="0" fontId="0" fillId="0" borderId="2" xfId="0" applyFill="1" applyBorder="1" applyAlignment="1">
      <alignment vertical="top"/>
    </xf>
    <xf numFmtId="0" fontId="0" fillId="8" borderId="1" xfId="0" applyFill="1" applyBorder="1" applyAlignment="1">
      <alignment vertical="top" wrapText="1"/>
    </xf>
    <xf numFmtId="0" fontId="0" fillId="0" borderId="2" xfId="0" applyBorder="1" applyAlignment="1">
      <alignment horizontal="left" vertical="top" wrapText="1"/>
    </xf>
    <xf numFmtId="0" fontId="0" fillId="11" borderId="1" xfId="0" applyFill="1" applyBorder="1" applyAlignment="1">
      <alignment vertical="top"/>
    </xf>
    <xf numFmtId="0" fontId="0" fillId="10" borderId="1" xfId="0" applyFill="1" applyBorder="1" applyAlignment="1">
      <alignment horizontal="left" vertical="top" wrapText="1"/>
    </xf>
    <xf numFmtId="0" fontId="0" fillId="10" borderId="1" xfId="0" applyFill="1" applyBorder="1" applyAlignment="1">
      <alignment vertical="top" wrapText="1"/>
    </xf>
    <xf numFmtId="0" fontId="0" fillId="10" borderId="2" xfId="0" applyFill="1" applyBorder="1" applyAlignment="1">
      <alignment vertical="top" wrapText="1"/>
    </xf>
    <xf numFmtId="0" fontId="0" fillId="10" borderId="0" xfId="0" applyFill="1" applyAlignment="1">
      <alignment vertical="top"/>
    </xf>
    <xf numFmtId="0" fontId="0" fillId="10" borderId="2" xfId="0" applyFill="1" applyBorder="1" applyAlignment="1">
      <alignment horizontal="center" vertical="top"/>
    </xf>
    <xf numFmtId="0" fontId="0" fillId="10" borderId="1" xfId="0" applyFill="1" applyBorder="1" applyAlignment="1">
      <alignment horizontal="center" vertical="top"/>
    </xf>
    <xf numFmtId="0" fontId="0" fillId="10" borderId="2" xfId="0" applyFill="1" applyBorder="1" applyAlignment="1">
      <alignment vertical="top"/>
    </xf>
    <xf numFmtId="0" fontId="0" fillId="10" borderId="0" xfId="0" applyFill="1"/>
    <xf numFmtId="0" fontId="0" fillId="0" borderId="1" xfId="0" applyBorder="1"/>
    <xf numFmtId="0" fontId="0" fillId="0" borderId="1" xfId="0" applyBorder="1" applyAlignment="1">
      <alignment wrapText="1"/>
    </xf>
    <xf numFmtId="0" fontId="0" fillId="8" borderId="1" xfId="0" applyFill="1" applyBorder="1"/>
    <xf numFmtId="0" fontId="0" fillId="9" borderId="1" xfId="0" applyFill="1" applyBorder="1"/>
    <xf numFmtId="0" fontId="0" fillId="0" borderId="1" xfId="0" applyFill="1" applyBorder="1"/>
    <xf numFmtId="0" fontId="0" fillId="10" borderId="1" xfId="0" applyFill="1" applyBorder="1"/>
    <xf numFmtId="0" fontId="0" fillId="0" borderId="2" xfId="0" applyBorder="1" applyAlignment="1">
      <alignment horizontal="center" vertical="center"/>
    </xf>
    <xf numFmtId="0" fontId="0" fillId="0" borderId="1" xfId="0" applyBorder="1" applyAlignment="1">
      <alignment horizontal="center" vertical="center"/>
    </xf>
    <xf numFmtId="0" fontId="0" fillId="0" borderId="2" xfId="0" applyBorder="1"/>
    <xf numFmtId="0" fontId="0" fillId="6" borderId="0" xfId="0" applyFill="1"/>
    <xf numFmtId="0" fontId="11" fillId="12" borderId="0" xfId="0" applyFont="1" applyFill="1" applyBorder="1" applyAlignment="1">
      <alignment horizontal="left" vertical="top" wrapText="1"/>
    </xf>
    <xf numFmtId="0" fontId="0" fillId="13" borderId="0" xfId="0" applyFill="1" applyAlignment="1">
      <alignment vertical="top" wrapText="1"/>
    </xf>
    <xf numFmtId="0" fontId="0" fillId="13" borderId="0" xfId="0" applyFill="1" applyAlignment="1">
      <alignment horizontal="left" vertical="top" wrapText="1"/>
    </xf>
    <xf numFmtId="0" fontId="0" fillId="13" borderId="0" xfId="0" applyFill="1"/>
    <xf numFmtId="0" fontId="11" fillId="0" borderId="1" xfId="0" applyFont="1" applyBorder="1" applyAlignment="1">
      <alignment horizontal="center" vertical="top"/>
    </xf>
    <xf numFmtId="0" fontId="11" fillId="0" borderId="2" xfId="0" applyFont="1" applyBorder="1" applyAlignment="1">
      <alignment horizontal="center" vertical="top" wrapText="1"/>
    </xf>
    <xf numFmtId="0" fontId="0" fillId="8" borderId="2" xfId="0" applyFill="1" applyBorder="1" applyAlignment="1">
      <alignment horizontal="center" vertical="top"/>
    </xf>
    <xf numFmtId="0" fontId="11" fillId="0" borderId="3" xfId="0" applyFont="1" applyBorder="1" applyAlignment="1">
      <alignment horizontal="center" vertical="top" wrapText="1"/>
    </xf>
    <xf numFmtId="0" fontId="11" fillId="0" borderId="0" xfId="0" applyFont="1" applyBorder="1" applyAlignment="1">
      <alignment horizontal="center" vertical="top" wrapText="1"/>
    </xf>
    <xf numFmtId="0" fontId="11" fillId="0" borderId="1" xfId="0" applyFont="1" applyBorder="1" applyAlignment="1">
      <alignment horizontal="center" vertical="top" wrapText="1"/>
    </xf>
    <xf numFmtId="0" fontId="11" fillId="0" borderId="1" xfId="0" applyFont="1" applyFill="1" applyBorder="1" applyAlignment="1">
      <alignment horizontal="center" vertical="top" wrapText="1"/>
    </xf>
    <xf numFmtId="0" fontId="11" fillId="0" borderId="2" xfId="0" applyFont="1" applyFill="1" applyBorder="1" applyAlignment="1">
      <alignment horizontal="center" vertical="top" wrapText="1"/>
    </xf>
    <xf numFmtId="0" fontId="11" fillId="10" borderId="2" xfId="0" applyFont="1" applyFill="1" applyBorder="1" applyAlignment="1">
      <alignment horizontal="center" vertical="top" wrapText="1"/>
    </xf>
    <xf numFmtId="0" fontId="0" fillId="0" borderId="0" xfId="0" applyAlignment="1"/>
    <xf numFmtId="0" fontId="11" fillId="13" borderId="4" xfId="0" applyFont="1" applyFill="1" applyBorder="1" applyAlignment="1">
      <alignment horizontal="center" vertical="top"/>
    </xf>
    <xf numFmtId="0" fontId="11" fillId="13" borderId="5" xfId="0" applyFont="1" applyFill="1" applyBorder="1" applyAlignment="1">
      <alignment horizontal="center" vertical="top" wrapText="1"/>
    </xf>
    <xf numFmtId="0" fontId="0" fillId="13" borderId="5" xfId="0" applyFill="1" applyBorder="1" applyAlignment="1">
      <alignment horizontal="center" vertical="top"/>
    </xf>
    <xf numFmtId="0" fontId="0" fillId="13" borderId="6" xfId="0" applyFill="1" applyBorder="1" applyAlignment="1">
      <alignment vertical="top"/>
    </xf>
    <xf numFmtId="0" fontId="0" fillId="13" borderId="4" xfId="0" applyFill="1" applyBorder="1" applyAlignment="1">
      <alignment vertical="top"/>
    </xf>
    <xf numFmtId="0" fontId="11" fillId="13" borderId="4" xfId="0" applyFont="1" applyFill="1" applyBorder="1" applyAlignment="1">
      <alignment horizontal="center" vertical="top" wrapText="1"/>
    </xf>
    <xf numFmtId="0" fontId="0" fillId="13" borderId="0" xfId="0" applyFill="1" applyAlignment="1"/>
    <xf numFmtId="0" fontId="0" fillId="12" borderId="1" xfId="0" applyFill="1" applyBorder="1" applyAlignment="1">
      <alignment vertical="top"/>
    </xf>
    <xf numFmtId="0" fontId="0" fillId="12" borderId="0" xfId="0" applyFont="1" applyFill="1" applyBorder="1" applyAlignment="1">
      <alignment horizontal="left" vertical="top" wrapText="1"/>
    </xf>
    <xf numFmtId="0" fontId="0" fillId="3" borderId="1" xfId="0" applyFont="1" applyFill="1" applyBorder="1" applyAlignment="1">
      <alignment vertical="top"/>
    </xf>
    <xf numFmtId="0" fontId="0" fillId="12" borderId="1" xfId="0" applyFont="1" applyFill="1" applyBorder="1" applyAlignment="1">
      <alignment vertical="top" wrapText="1"/>
    </xf>
    <xf numFmtId="0" fontId="0" fillId="0" borderId="1" xfId="0" applyFont="1" applyFill="1" applyBorder="1" applyAlignment="1">
      <alignment vertical="top"/>
    </xf>
    <xf numFmtId="0" fontId="0" fillId="12" borderId="1" xfId="0" applyFont="1" applyFill="1" applyBorder="1" applyAlignment="1">
      <alignment vertical="top"/>
    </xf>
    <xf numFmtId="16" fontId="0" fillId="12" borderId="1" xfId="0" applyNumberFormat="1" applyFill="1" applyBorder="1" applyAlignment="1">
      <alignment vertical="top"/>
    </xf>
    <xf numFmtId="0" fontId="0" fillId="12" borderId="0" xfId="0" applyFill="1"/>
    <xf numFmtId="0" fontId="26" fillId="0" borderId="0" xfId="0" applyFont="1"/>
    <xf numFmtId="0" fontId="11" fillId="0" borderId="0" xfId="0" applyFont="1" applyAlignment="1">
      <alignment vertical="top" wrapText="1"/>
    </xf>
    <xf numFmtId="14" fontId="26" fillId="0" borderId="0" xfId="0" applyNumberFormat="1" applyFont="1"/>
    <xf numFmtId="0" fontId="10" fillId="0" borderId="0" xfId="0" applyFont="1" applyBorder="1" applyAlignment="1">
      <alignment vertical="center" wrapText="1"/>
    </xf>
    <xf numFmtId="0" fontId="10" fillId="0" borderId="0" xfId="0" applyFont="1" applyFill="1" applyBorder="1"/>
    <xf numFmtId="0" fontId="11" fillId="14" borderId="0" xfId="0" applyFont="1" applyFill="1" applyBorder="1" applyAlignment="1">
      <alignment horizontal="left" vertical="top" wrapText="1"/>
    </xf>
    <xf numFmtId="0" fontId="0" fillId="14" borderId="0" xfId="0" applyFill="1"/>
    <xf numFmtId="0" fontId="11" fillId="5" borderId="0" xfId="0" applyFont="1" applyFill="1" applyBorder="1" applyAlignment="1">
      <alignment horizontal="left" vertical="top" wrapText="1"/>
    </xf>
    <xf numFmtId="0" fontId="0" fillId="5" borderId="0" xfId="0" applyFill="1"/>
    <xf numFmtId="0" fontId="11" fillId="15" borderId="0" xfId="0" applyFont="1" applyFill="1" applyBorder="1" applyAlignment="1">
      <alignment horizontal="left" vertical="top" wrapText="1"/>
    </xf>
    <xf numFmtId="0" fontId="0" fillId="15" borderId="0" xfId="0" applyFill="1"/>
    <xf numFmtId="0" fontId="30" fillId="0" borderId="0" xfId="0" applyFont="1"/>
    <xf numFmtId="0" fontId="33" fillId="0" borderId="0" xfId="0" applyFont="1"/>
    <xf numFmtId="0" fontId="37" fillId="0" borderId="0" xfId="0" applyFont="1"/>
    <xf numFmtId="0" fontId="0" fillId="5" borderId="0" xfId="0" applyFill="1" applyAlignment="1">
      <alignment horizontal="left"/>
    </xf>
    <xf numFmtId="0" fontId="5" fillId="0" borderId="0" xfId="0" applyFont="1" applyAlignment="1">
      <alignment vertical="center"/>
    </xf>
    <xf numFmtId="0" fontId="43" fillId="12" borderId="0" xfId="0" applyFont="1" applyFill="1" applyBorder="1" applyAlignment="1">
      <alignment horizontal="left" vertical="top" wrapText="1"/>
    </xf>
    <xf numFmtId="0" fontId="45" fillId="0" borderId="0" xfId="0" applyFont="1" applyAlignment="1">
      <alignment horizontal="left"/>
    </xf>
    <xf numFmtId="0" fontId="4" fillId="0" borderId="0" xfId="0" applyFont="1" applyAlignment="1">
      <alignment vertical="center"/>
    </xf>
    <xf numFmtId="14" fontId="0" fillId="0" borderId="0" xfId="0" applyNumberFormat="1" applyFont="1" applyAlignment="1">
      <alignment horizontal="left" vertical="top" wrapText="1"/>
    </xf>
    <xf numFmtId="0" fontId="0" fillId="12" borderId="0" xfId="0" applyFill="1" applyAlignment="1">
      <alignment vertical="top"/>
    </xf>
    <xf numFmtId="0" fontId="0" fillId="0" borderId="0" xfId="0" applyFill="1" applyAlignment="1">
      <alignment vertical="top" wrapText="1"/>
    </xf>
    <xf numFmtId="0" fontId="0" fillId="2" borderId="0" xfId="0" applyFill="1" applyBorder="1" applyAlignment="1">
      <alignment vertical="center" wrapText="1"/>
    </xf>
    <xf numFmtId="0" fontId="47" fillId="12" borderId="0" xfId="0" applyFont="1" applyFill="1" applyBorder="1" applyAlignment="1">
      <alignment horizontal="left" vertical="top" wrapText="1"/>
    </xf>
    <xf numFmtId="0" fontId="0" fillId="15" borderId="0" xfId="0" applyFont="1" applyFill="1" applyBorder="1" applyAlignment="1">
      <alignment horizontal="left" vertical="top" wrapText="1"/>
    </xf>
    <xf numFmtId="0" fontId="48" fillId="0" borderId="0" xfId="0" applyFont="1" applyFill="1" applyAlignment="1">
      <alignment horizontal="left" vertical="top" wrapText="1"/>
    </xf>
    <xf numFmtId="164" fontId="48" fillId="0" borderId="0" xfId="0" applyNumberFormat="1" applyFont="1" applyFill="1" applyAlignment="1">
      <alignment horizontal="left" vertical="top" wrapText="1"/>
    </xf>
    <xf numFmtId="0" fontId="49" fillId="0" borderId="0" xfId="0" applyFont="1" applyFill="1"/>
    <xf numFmtId="0" fontId="48" fillId="0" borderId="0" xfId="0" applyFont="1" applyFill="1" applyAlignment="1">
      <alignment vertical="top" wrapText="1"/>
    </xf>
    <xf numFmtId="0" fontId="48" fillId="0" borderId="0" xfId="0" applyFont="1" applyFill="1" applyBorder="1"/>
    <xf numFmtId="0" fontId="48" fillId="0" borderId="0" xfId="0" applyFont="1" applyFill="1"/>
    <xf numFmtId="0" fontId="48" fillId="0" borderId="0" xfId="0" applyFont="1" applyFill="1" applyBorder="1" applyAlignment="1">
      <alignment vertical="center" wrapText="1"/>
    </xf>
    <xf numFmtId="0" fontId="0" fillId="5" borderId="0" xfId="0" applyFont="1" applyFill="1" applyBorder="1" applyAlignment="1">
      <alignment horizontal="left" vertical="top" wrapText="1"/>
    </xf>
    <xf numFmtId="0" fontId="0" fillId="14" borderId="0" xfId="0" applyFont="1" applyFill="1" applyBorder="1" applyAlignment="1">
      <alignment horizontal="left" vertical="top" wrapText="1"/>
    </xf>
    <xf numFmtId="164" fontId="0" fillId="0" borderId="0" xfId="0" applyNumberFormat="1" applyFont="1" applyAlignment="1">
      <alignment horizontal="left" vertical="top" wrapText="1"/>
    </xf>
    <xf numFmtId="2" fontId="0" fillId="0" borderId="0" xfId="0" applyNumberFormat="1" applyBorder="1" applyAlignment="1">
      <alignment vertical="center"/>
    </xf>
    <xf numFmtId="0" fontId="20" fillId="0" borderId="0" xfId="0" applyFont="1" applyAlignment="1">
      <alignment vertical="top"/>
    </xf>
    <xf numFmtId="0" fontId="50" fillId="0" borderId="0" xfId="0" applyFont="1" applyAlignment="1">
      <alignment vertical="center"/>
    </xf>
    <xf numFmtId="0" fontId="3" fillId="0" borderId="0" xfId="0" applyFont="1" applyAlignment="1">
      <alignment vertical="center"/>
    </xf>
    <xf numFmtId="0" fontId="0" fillId="15" borderId="0" xfId="0" applyFont="1" applyFill="1" applyAlignment="1">
      <alignment horizontal="left" vertical="top" wrapText="1"/>
    </xf>
    <xf numFmtId="0" fontId="0" fillId="15" borderId="0" xfId="0" applyFill="1" applyAlignment="1">
      <alignment vertical="top" wrapText="1"/>
    </xf>
    <xf numFmtId="0" fontId="0" fillId="9" borderId="0" xfId="0" applyFill="1" applyAlignment="1">
      <alignment vertical="top"/>
    </xf>
    <xf numFmtId="0" fontId="0" fillId="9" borderId="0" xfId="0" applyFill="1" applyAlignment="1">
      <alignment vertical="top" wrapText="1"/>
    </xf>
    <xf numFmtId="0" fontId="55" fillId="0" borderId="0" xfId="0" applyFont="1"/>
    <xf numFmtId="1" fontId="0" fillId="0" borderId="0" xfId="0" applyNumberFormat="1" applyAlignment="1">
      <alignment vertical="top" wrapText="1"/>
    </xf>
    <xf numFmtId="14" fontId="0" fillId="0" borderId="0" xfId="0" applyNumberFormat="1" applyAlignment="1">
      <alignment vertical="top" wrapText="1"/>
    </xf>
    <xf numFmtId="0" fontId="56" fillId="0" borderId="0" xfId="0" applyFont="1"/>
    <xf numFmtId="0" fontId="57" fillId="0" borderId="0" xfId="0" applyFont="1"/>
    <xf numFmtId="0" fontId="58" fillId="0" borderId="0" xfId="0" applyFont="1"/>
    <xf numFmtId="0" fontId="9" fillId="0" borderId="0" xfId="1"/>
    <xf numFmtId="0" fontId="59" fillId="0" borderId="0" xfId="0" applyFont="1" applyAlignment="1">
      <alignment vertical="center" wrapText="1"/>
    </xf>
    <xf numFmtId="0" fontId="60" fillId="0" borderId="0" xfId="0" applyFont="1" applyAlignment="1">
      <alignment vertical="center" wrapText="1"/>
    </xf>
    <xf numFmtId="0" fontId="61" fillId="0" borderId="0" xfId="0" applyFont="1"/>
    <xf numFmtId="0" fontId="0" fillId="4" borderId="0" xfId="0" applyFill="1"/>
    <xf numFmtId="0" fontId="0" fillId="4" borderId="0" xfId="0" applyFill="1" applyAlignment="1">
      <alignment vertical="top" wrapText="1"/>
    </xf>
    <xf numFmtId="0" fontId="47" fillId="0" borderId="0" xfId="0" applyFont="1" applyFill="1" applyAlignment="1">
      <alignment horizontal="left" vertical="top" wrapText="1"/>
    </xf>
    <xf numFmtId="0" fontId="47" fillId="0" borderId="0" xfId="0" applyFont="1" applyAlignment="1">
      <alignment horizontal="left" vertical="top" wrapText="1"/>
    </xf>
    <xf numFmtId="0" fontId="54" fillId="0" borderId="0" xfId="0" applyFont="1" applyAlignment="1">
      <alignment horizontal="left" vertical="top" wrapText="1"/>
    </xf>
    <xf numFmtId="0" fontId="46" fillId="0" borderId="0" xfId="0" applyFont="1" applyAlignment="1">
      <alignment horizontal="left" vertical="top" wrapText="1"/>
    </xf>
    <xf numFmtId="0" fontId="0" fillId="5" borderId="0" xfId="0" applyFill="1" applyAlignment="1">
      <alignment wrapText="1"/>
    </xf>
    <xf numFmtId="0" fontId="1" fillId="0" borderId="0" xfId="10"/>
    <xf numFmtId="0" fontId="1" fillId="0" borderId="0" xfId="10" applyFont="1" applyFill="1" applyBorder="1" applyAlignment="1">
      <alignment horizontal="center"/>
    </xf>
    <xf numFmtId="0" fontId="10" fillId="0" borderId="0" xfId="10" applyFont="1" applyFill="1" applyBorder="1" applyAlignment="1">
      <alignment horizontal="center"/>
    </xf>
    <xf numFmtId="0" fontId="1" fillId="0" borderId="0" xfId="10" applyAlignment="1">
      <alignment wrapText="1"/>
    </xf>
    <xf numFmtId="0" fontId="67" fillId="0" borderId="0" xfId="0" applyFont="1" applyAlignment="1">
      <alignment wrapText="1"/>
    </xf>
    <xf numFmtId="0" fontId="9" fillId="0" borderId="0" xfId="1" applyAlignment="1">
      <alignment horizontal="left" vertical="top" wrapText="1"/>
    </xf>
    <xf numFmtId="0" fontId="9" fillId="0" borderId="0" xfId="1" applyFill="1" applyAlignment="1">
      <alignment horizontal="left" vertical="top" wrapText="1"/>
    </xf>
    <xf numFmtId="0" fontId="9" fillId="0" borderId="0" xfId="1" applyAlignment="1">
      <alignment horizontal="left" vertical="top" wrapText="1" shrinkToFit="1"/>
    </xf>
    <xf numFmtId="0" fontId="6" fillId="2" borderId="0" xfId="0" applyFont="1" applyFill="1" applyAlignment="1">
      <alignment vertical="top" wrapText="1"/>
    </xf>
    <xf numFmtId="0" fontId="68" fillId="0" borderId="0" xfId="0" applyFont="1" applyAlignment="1">
      <alignment vertical="center"/>
    </xf>
    <xf numFmtId="0" fontId="0" fillId="16" borderId="0" xfId="0" applyFill="1"/>
  </cellXfs>
  <cellStyles count="14">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9" builtinId="9" hidden="1"/>
    <cellStyle name="Followed Hyperlink" xfId="11" builtinId="9" hidden="1"/>
    <cellStyle name="Followed Hyperlink" xfId="12" builtinId="9" hidden="1"/>
    <cellStyle name="Followed Hyperlink" xfId="13" builtinId="9" hidden="1"/>
    <cellStyle name="Hyperlink" xfId="1" builtinId="8"/>
    <cellStyle name="Normal" xfId="0" builtinId="0"/>
    <cellStyle name="Normal 2" xfId="8"/>
    <cellStyle name="Normal 3" xfId="1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46" Type="http://schemas.openxmlformats.org/officeDocument/2006/relationships/theme" Target="theme/theme1.xml"/><Relationship Id="rId47" Type="http://schemas.openxmlformats.org/officeDocument/2006/relationships/styles" Target="styles.xml"/><Relationship Id="rId48" Type="http://schemas.openxmlformats.org/officeDocument/2006/relationships/sharedStrings" Target="sharedStrings.xml"/><Relationship Id="rId49" Type="http://schemas.openxmlformats.org/officeDocument/2006/relationships/calcChain" Target="calcChain.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Obtained effect size in relation to sample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dPt>
            <c:idx val="3"/>
            <c:marker>
              <c:symbol val="circle"/>
              <c:size val="5"/>
              <c:spPr>
                <a:solidFill>
                  <a:schemeClr val="accent1"/>
                </a:solidFill>
                <a:ln w="9525">
                  <a:solidFill>
                    <a:srgbClr val="FF0000"/>
                  </a:solidFill>
                </a:ln>
                <a:effectLst/>
              </c:spPr>
            </c:marker>
            <c:bubble3D val="0"/>
          </c:dPt>
          <c:dPt>
            <c:idx val="4"/>
            <c:marker>
              <c:symbol val="circle"/>
              <c:size val="5"/>
              <c:spPr>
                <a:solidFill>
                  <a:schemeClr val="accent1"/>
                </a:solidFill>
                <a:ln w="9525">
                  <a:solidFill>
                    <a:srgbClr val="FF0000"/>
                  </a:solidFill>
                </a:ln>
                <a:effectLst/>
              </c:spPr>
            </c:marker>
            <c:bubble3D val="0"/>
          </c:dPt>
          <c:dPt>
            <c:idx val="9"/>
            <c:marker>
              <c:symbol val="x"/>
              <c:size val="5"/>
              <c:spPr>
                <a:noFill/>
                <a:ln w="9525">
                  <a:solidFill>
                    <a:srgbClr val="FF0000"/>
                  </a:solidFill>
                </a:ln>
                <a:effectLst/>
              </c:spPr>
            </c:marker>
            <c:bubble3D val="0"/>
          </c:dPt>
          <c:dPt>
            <c:idx val="10"/>
            <c:marker>
              <c:symbol val="circle"/>
              <c:size val="5"/>
              <c:spPr>
                <a:solidFill>
                  <a:schemeClr val="accent1"/>
                </a:solidFill>
                <a:ln w="9525">
                  <a:solidFill>
                    <a:srgbClr val="FF0000"/>
                  </a:solidFill>
                </a:ln>
                <a:effectLst/>
              </c:spPr>
            </c:marker>
            <c:bubble3D val="0"/>
          </c:dPt>
          <c:dPt>
            <c:idx val="13"/>
            <c:marker>
              <c:symbol val="x"/>
              <c:size val="5"/>
              <c:spPr>
                <a:noFill/>
                <a:ln w="9525">
                  <a:solidFill>
                    <a:srgbClr val="FF0000"/>
                  </a:solidFill>
                </a:ln>
                <a:effectLst/>
              </c:spPr>
            </c:marker>
            <c:bubble3D val="0"/>
          </c:dPt>
          <c:dPt>
            <c:idx val="23"/>
            <c:marker>
              <c:symbol val="circle"/>
              <c:size val="5"/>
              <c:spPr>
                <a:solidFill>
                  <a:schemeClr val="accent1"/>
                </a:solidFill>
                <a:ln w="9525">
                  <a:solidFill>
                    <a:srgbClr val="FF0000"/>
                  </a:solidFill>
                </a:ln>
                <a:effectLst/>
              </c:spPr>
            </c:marker>
            <c:bubble3D val="0"/>
          </c:dPt>
          <c:xVal>
            <c:numRef>
              <c:f>for_funnel!$B$2:$B$31</c:f>
              <c:numCache>
                <c:formatCode>General</c:formatCode>
                <c:ptCount val="30"/>
                <c:pt idx="0">
                  <c:v>999.0</c:v>
                </c:pt>
                <c:pt idx="1">
                  <c:v>195.0</c:v>
                </c:pt>
                <c:pt idx="2">
                  <c:v>101.0</c:v>
                </c:pt>
                <c:pt idx="3">
                  <c:v>24.0</c:v>
                </c:pt>
                <c:pt idx="4">
                  <c:v>3088.0</c:v>
                </c:pt>
                <c:pt idx="5">
                  <c:v>99.0</c:v>
                </c:pt>
                <c:pt idx="6">
                  <c:v>290.0</c:v>
                </c:pt>
                <c:pt idx="7">
                  <c:v>4602.0</c:v>
                </c:pt>
                <c:pt idx="8">
                  <c:v>528.0</c:v>
                </c:pt>
                <c:pt idx="9">
                  <c:v>32.0</c:v>
                </c:pt>
                <c:pt idx="10">
                  <c:v>721.0</c:v>
                </c:pt>
                <c:pt idx="11">
                  <c:v>3421.0</c:v>
                </c:pt>
                <c:pt idx="12">
                  <c:v>193.0</c:v>
                </c:pt>
                <c:pt idx="13">
                  <c:v>187.0</c:v>
                </c:pt>
                <c:pt idx="14">
                  <c:v>4424.0</c:v>
                </c:pt>
                <c:pt idx="15">
                  <c:v>3873.0</c:v>
                </c:pt>
                <c:pt idx="16">
                  <c:v>381.0</c:v>
                </c:pt>
                <c:pt idx="17">
                  <c:v>1445.0</c:v>
                </c:pt>
                <c:pt idx="18">
                  <c:v>423.0</c:v>
                </c:pt>
                <c:pt idx="19">
                  <c:v>38.0</c:v>
                </c:pt>
                <c:pt idx="20">
                  <c:v>600.0</c:v>
                </c:pt>
                <c:pt idx="21">
                  <c:v>282.0</c:v>
                </c:pt>
                <c:pt idx="22">
                  <c:v>66.0</c:v>
                </c:pt>
                <c:pt idx="23">
                  <c:v>176.0</c:v>
                </c:pt>
                <c:pt idx="24">
                  <c:v>410.0</c:v>
                </c:pt>
                <c:pt idx="25">
                  <c:v>682.0</c:v>
                </c:pt>
                <c:pt idx="26">
                  <c:v>107.0</c:v>
                </c:pt>
                <c:pt idx="27">
                  <c:v>190.0</c:v>
                </c:pt>
                <c:pt idx="28">
                  <c:v>81.0</c:v>
                </c:pt>
                <c:pt idx="29">
                  <c:v>1998.0</c:v>
                </c:pt>
              </c:numCache>
            </c:numRef>
          </c:xVal>
          <c:yVal>
            <c:numRef>
              <c:f>for_funnel!$C$2:$C$31</c:f>
              <c:numCache>
                <c:formatCode>General</c:formatCode>
                <c:ptCount val="30"/>
                <c:pt idx="0">
                  <c:v>0.141081316183089</c:v>
                </c:pt>
                <c:pt idx="1">
                  <c:v>0.158801395197484</c:v>
                </c:pt>
                <c:pt idx="2">
                  <c:v>0.33858432300086</c:v>
                </c:pt>
                <c:pt idx="3">
                  <c:v>0.561556394935018</c:v>
                </c:pt>
                <c:pt idx="4">
                  <c:v>0.0622080088586747</c:v>
                </c:pt>
                <c:pt idx="5">
                  <c:v>0.27547171266285</c:v>
                </c:pt>
                <c:pt idx="6">
                  <c:v>0.180939429755422</c:v>
                </c:pt>
                <c:pt idx="7">
                  <c:v>0.22</c:v>
                </c:pt>
                <c:pt idx="8">
                  <c:v>0.104287622981632</c:v>
                </c:pt>
                <c:pt idx="9">
                  <c:v>0.660026560424967</c:v>
                </c:pt>
                <c:pt idx="10">
                  <c:v>0.170382229102658</c:v>
                </c:pt>
                <c:pt idx="11">
                  <c:v>0.0520887850398442</c:v>
                </c:pt>
                <c:pt idx="12">
                  <c:v>0.188764795995489</c:v>
                </c:pt>
                <c:pt idx="13">
                  <c:v>0.330827517301925</c:v>
                </c:pt>
                <c:pt idx="14">
                  <c:v>0.053851648071345</c:v>
                </c:pt>
                <c:pt idx="15">
                  <c:v>0.0548696602747051</c:v>
                </c:pt>
                <c:pt idx="16">
                  <c:v>0.203377431600685</c:v>
                </c:pt>
                <c:pt idx="17">
                  <c:v>0.114343852739921</c:v>
                </c:pt>
                <c:pt idx="18">
                  <c:v>0.180333076993107</c:v>
                </c:pt>
                <c:pt idx="19">
                  <c:v>0.370141651690681</c:v>
                </c:pt>
                <c:pt idx="20">
                  <c:v>0.093</c:v>
                </c:pt>
                <c:pt idx="21">
                  <c:v>0.1767496049889</c:v>
                </c:pt>
                <c:pt idx="22">
                  <c:v>0.401801727046804</c:v>
                </c:pt>
                <c:pt idx="23">
                  <c:v>0.244646380464144</c:v>
                </c:pt>
                <c:pt idx="24">
                  <c:v>0.277208750768108</c:v>
                </c:pt>
                <c:pt idx="25">
                  <c:v>0.0927916335860916</c:v>
                </c:pt>
                <c:pt idx="26">
                  <c:v>0.39759238312645</c:v>
                </c:pt>
                <c:pt idx="27">
                  <c:v>0.233634889264881</c:v>
                </c:pt>
                <c:pt idx="28">
                  <c:v>0.389767983596111</c:v>
                </c:pt>
                <c:pt idx="29">
                  <c:v>0.0811561865691725</c:v>
                </c:pt>
              </c:numCache>
            </c:numRef>
          </c:yVal>
          <c:smooth val="0"/>
        </c:ser>
        <c:dLbls>
          <c:showLegendKey val="0"/>
          <c:showVal val="0"/>
          <c:showCatName val="0"/>
          <c:showSerName val="0"/>
          <c:showPercent val="0"/>
          <c:showBubbleSize val="0"/>
        </c:dLbls>
        <c:axId val="-2083983840"/>
        <c:axId val="-2072966080"/>
      </c:scatterChart>
      <c:valAx>
        <c:axId val="-2083983840"/>
        <c:scaling>
          <c:logBase val="10.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Sample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966080"/>
        <c:crosses val="autoZero"/>
        <c:crossBetween val="midCat"/>
      </c:valAx>
      <c:valAx>
        <c:axId val="-207296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Effect size (r)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983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 size</a:t>
            </a:r>
            <a:r>
              <a:rPr lang="en-US" baseline="0"/>
              <a:t>  detectable with 80% power</a:t>
            </a:r>
            <a:endParaRPr lang="en-US"/>
          </a:p>
        </c:rich>
      </c:tx>
      <c:layout>
        <c:manualLayout>
          <c:xMode val="edge"/>
          <c:yMode val="edge"/>
          <c:x val="0.280879531703478"/>
          <c:y val="0.008552272059222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for_funnel!$B$2:$B$31</c:f>
              <c:numCache>
                <c:formatCode>General</c:formatCode>
                <c:ptCount val="30"/>
                <c:pt idx="0">
                  <c:v>999.0</c:v>
                </c:pt>
                <c:pt idx="1">
                  <c:v>195.0</c:v>
                </c:pt>
                <c:pt idx="2">
                  <c:v>101.0</c:v>
                </c:pt>
                <c:pt idx="3">
                  <c:v>24.0</c:v>
                </c:pt>
                <c:pt idx="4">
                  <c:v>3088.0</c:v>
                </c:pt>
                <c:pt idx="5">
                  <c:v>99.0</c:v>
                </c:pt>
                <c:pt idx="6">
                  <c:v>290.0</c:v>
                </c:pt>
                <c:pt idx="7">
                  <c:v>4602.0</c:v>
                </c:pt>
                <c:pt idx="8">
                  <c:v>528.0</c:v>
                </c:pt>
                <c:pt idx="9">
                  <c:v>32.0</c:v>
                </c:pt>
                <c:pt idx="10">
                  <c:v>721.0</c:v>
                </c:pt>
                <c:pt idx="11">
                  <c:v>3421.0</c:v>
                </c:pt>
                <c:pt idx="12">
                  <c:v>193.0</c:v>
                </c:pt>
                <c:pt idx="13">
                  <c:v>187.0</c:v>
                </c:pt>
                <c:pt idx="14">
                  <c:v>4424.0</c:v>
                </c:pt>
                <c:pt idx="15">
                  <c:v>3873.0</c:v>
                </c:pt>
                <c:pt idx="16">
                  <c:v>381.0</c:v>
                </c:pt>
                <c:pt idx="17">
                  <c:v>1445.0</c:v>
                </c:pt>
                <c:pt idx="18">
                  <c:v>423.0</c:v>
                </c:pt>
                <c:pt idx="19">
                  <c:v>38.0</c:v>
                </c:pt>
                <c:pt idx="20">
                  <c:v>600.0</c:v>
                </c:pt>
                <c:pt idx="21">
                  <c:v>282.0</c:v>
                </c:pt>
                <c:pt idx="22">
                  <c:v>66.0</c:v>
                </c:pt>
                <c:pt idx="23">
                  <c:v>176.0</c:v>
                </c:pt>
                <c:pt idx="24">
                  <c:v>410.0</c:v>
                </c:pt>
                <c:pt idx="25">
                  <c:v>682.0</c:v>
                </c:pt>
                <c:pt idx="26">
                  <c:v>107.0</c:v>
                </c:pt>
                <c:pt idx="27">
                  <c:v>190.0</c:v>
                </c:pt>
                <c:pt idx="28">
                  <c:v>81.0</c:v>
                </c:pt>
                <c:pt idx="29">
                  <c:v>1998.0</c:v>
                </c:pt>
              </c:numCache>
            </c:numRef>
          </c:xVal>
          <c:yVal>
            <c:numRef>
              <c:f>for_funnel!$H$2:$H$31</c:f>
              <c:numCache>
                <c:formatCode>General</c:formatCode>
                <c:ptCount val="30"/>
                <c:pt idx="0">
                  <c:v>0.089</c:v>
                </c:pt>
                <c:pt idx="1">
                  <c:v>0.199</c:v>
                </c:pt>
                <c:pt idx="2">
                  <c:v>0.274</c:v>
                </c:pt>
                <c:pt idx="3">
                  <c:v>0.5376534</c:v>
                </c:pt>
                <c:pt idx="4">
                  <c:v>0.05</c:v>
                </c:pt>
                <c:pt idx="5">
                  <c:v>0.277</c:v>
                </c:pt>
                <c:pt idx="6">
                  <c:v>0.163</c:v>
                </c:pt>
                <c:pt idx="7">
                  <c:v>0.041</c:v>
                </c:pt>
                <c:pt idx="8">
                  <c:v>0.121</c:v>
                </c:pt>
                <c:pt idx="9">
                  <c:v>0.472</c:v>
                </c:pt>
                <c:pt idx="10">
                  <c:v>0.103</c:v>
                </c:pt>
                <c:pt idx="11">
                  <c:v>0.047</c:v>
                </c:pt>
                <c:pt idx="12">
                  <c:v>0.2</c:v>
                </c:pt>
                <c:pt idx="13">
                  <c:v>0.203</c:v>
                </c:pt>
                <c:pt idx="14">
                  <c:v>0.042</c:v>
                </c:pt>
                <c:pt idx="15">
                  <c:v>0.045</c:v>
                </c:pt>
                <c:pt idx="16">
                  <c:v>0.143</c:v>
                </c:pt>
                <c:pt idx="17">
                  <c:v>0.074</c:v>
                </c:pt>
                <c:pt idx="18">
                  <c:v>0.136</c:v>
                </c:pt>
                <c:pt idx="19">
                  <c:v>0.437</c:v>
                </c:pt>
                <c:pt idx="20">
                  <c:v>0.114</c:v>
                </c:pt>
                <c:pt idx="21">
                  <c:v>0.169</c:v>
                </c:pt>
                <c:pt idx="22">
                  <c:v>0.337</c:v>
                </c:pt>
                <c:pt idx="23">
                  <c:v>0.209</c:v>
                </c:pt>
                <c:pt idx="24">
                  <c:v>0.137</c:v>
                </c:pt>
                <c:pt idx="25">
                  <c:v>0.107</c:v>
                </c:pt>
                <c:pt idx="26">
                  <c:v>0.266</c:v>
                </c:pt>
                <c:pt idx="27">
                  <c:v>0.202</c:v>
                </c:pt>
                <c:pt idx="28">
                  <c:v>0.305</c:v>
                </c:pt>
                <c:pt idx="29">
                  <c:v>0.062</c:v>
                </c:pt>
              </c:numCache>
            </c:numRef>
          </c:yVal>
          <c:smooth val="0"/>
        </c:ser>
        <c:dLbls>
          <c:showLegendKey val="0"/>
          <c:showVal val="0"/>
          <c:showCatName val="0"/>
          <c:showSerName val="0"/>
          <c:showPercent val="0"/>
          <c:showBubbleSize val="0"/>
        </c:dLbls>
        <c:axId val="-2075889424"/>
        <c:axId val="-2077523104"/>
      </c:scatterChart>
      <c:valAx>
        <c:axId val="-2075889424"/>
        <c:scaling>
          <c:logBase val="10.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Sample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523104"/>
        <c:crosses val="autoZero"/>
        <c:crossBetween val="midCat"/>
      </c:valAx>
      <c:valAx>
        <c:axId val="-207752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Effect size (r)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894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7.png"/><Relationship Id="rId2" Type="http://schemas.openxmlformats.org/officeDocument/2006/relationships/image" Target="../media/image18.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9.png"/><Relationship Id="rId2" Type="http://schemas.openxmlformats.org/officeDocument/2006/relationships/image" Target="../media/image2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5.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6.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7.png"/><Relationship Id="rId2" Type="http://schemas.openxmlformats.org/officeDocument/2006/relationships/image" Target="../media/image28.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9.png"/></Relationships>
</file>

<file path=xl/drawings/_rels/drawing27.xml.rels><?xml version="1.0" encoding="UTF-8" standalone="yes"?>
<Relationships xmlns="http://schemas.openxmlformats.org/package/2006/relationships"><Relationship Id="rId1" Type="http://schemas.openxmlformats.org/officeDocument/2006/relationships/image" Target="../media/image30.png"/></Relationships>
</file>

<file path=xl/drawings/_rels/drawing28.xml.rels><?xml version="1.0" encoding="UTF-8" standalone="yes"?>
<Relationships xmlns="http://schemas.openxmlformats.org/package/2006/relationships"><Relationship Id="rId1" Type="http://schemas.openxmlformats.org/officeDocument/2006/relationships/image" Target="../media/image3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3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3" Type="http://schemas.openxmlformats.org/officeDocument/2006/relationships/image" Target="../media/image35.emf"/><Relationship Id="rId4" Type="http://schemas.openxmlformats.org/officeDocument/2006/relationships/image" Target="../media/image36.emf"/><Relationship Id="rId5" Type="http://schemas.openxmlformats.org/officeDocument/2006/relationships/image" Target="../media/image37.emf"/><Relationship Id="rId6" Type="http://schemas.openxmlformats.org/officeDocument/2006/relationships/image" Target="../media/image38.emf"/><Relationship Id="rId7" Type="http://schemas.openxmlformats.org/officeDocument/2006/relationships/image" Target="../media/image39.emf"/><Relationship Id="rId8" Type="http://schemas.openxmlformats.org/officeDocument/2006/relationships/image" Target="../media/image40.emf"/><Relationship Id="rId9" Type="http://schemas.openxmlformats.org/officeDocument/2006/relationships/image" Target="../media/image41.emf"/><Relationship Id="rId10" Type="http://schemas.openxmlformats.org/officeDocument/2006/relationships/image" Target="../media/image42.emf"/><Relationship Id="rId11" Type="http://schemas.openxmlformats.org/officeDocument/2006/relationships/image" Target="../media/image43.gif"/><Relationship Id="rId1" Type="http://schemas.openxmlformats.org/officeDocument/2006/relationships/image" Target="../media/image33.emf"/><Relationship Id="rId2" Type="http://schemas.openxmlformats.org/officeDocument/2006/relationships/image" Target="../media/image34.emf"/></Relationships>
</file>

<file path=xl/drawings/_rels/drawing31.xml.rels><?xml version="1.0" encoding="UTF-8" standalone="yes"?>
<Relationships xmlns="http://schemas.openxmlformats.org/package/2006/relationships"><Relationship Id="rId11" Type="http://schemas.openxmlformats.org/officeDocument/2006/relationships/image" Target="../media/image45.emf"/><Relationship Id="rId12" Type="http://schemas.openxmlformats.org/officeDocument/2006/relationships/image" Target="../media/image46.emf"/><Relationship Id="rId13" Type="http://schemas.openxmlformats.org/officeDocument/2006/relationships/image" Target="../media/image47.emf"/><Relationship Id="rId14" Type="http://schemas.openxmlformats.org/officeDocument/2006/relationships/image" Target="../media/image42.emf"/><Relationship Id="rId1" Type="http://schemas.openxmlformats.org/officeDocument/2006/relationships/image" Target="../media/image44.emf"/><Relationship Id="rId2" Type="http://schemas.openxmlformats.org/officeDocument/2006/relationships/image" Target="../media/image33.emf"/><Relationship Id="rId3" Type="http://schemas.openxmlformats.org/officeDocument/2006/relationships/image" Target="../media/image34.emf"/><Relationship Id="rId4" Type="http://schemas.openxmlformats.org/officeDocument/2006/relationships/image" Target="../media/image35.emf"/><Relationship Id="rId5" Type="http://schemas.openxmlformats.org/officeDocument/2006/relationships/image" Target="../media/image36.emf"/><Relationship Id="rId6" Type="http://schemas.openxmlformats.org/officeDocument/2006/relationships/image" Target="../media/image37.emf"/><Relationship Id="rId7" Type="http://schemas.openxmlformats.org/officeDocument/2006/relationships/image" Target="../media/image38.emf"/><Relationship Id="rId8" Type="http://schemas.openxmlformats.org/officeDocument/2006/relationships/image" Target="../media/image39.emf"/><Relationship Id="rId9" Type="http://schemas.openxmlformats.org/officeDocument/2006/relationships/image" Target="../media/image40.emf"/><Relationship Id="rId10" Type="http://schemas.openxmlformats.org/officeDocument/2006/relationships/image" Target="../media/image41.emf"/></Relationships>
</file>

<file path=xl/drawings/_rels/drawing32.xml.rels><?xml version="1.0" encoding="UTF-8" standalone="yes"?>
<Relationships xmlns="http://schemas.openxmlformats.org/package/2006/relationships"><Relationship Id="rId1" Type="http://schemas.openxmlformats.org/officeDocument/2006/relationships/image" Target="../media/image26.pn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JP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4</xdr:col>
      <xdr:colOff>0</xdr:colOff>
      <xdr:row>19</xdr:row>
      <xdr:rowOff>0</xdr:rowOff>
    </xdr:from>
    <xdr:ext cx="304800" cy="495299"/>
    <xdr:sp macro="" textlink="">
      <xdr:nvSpPr>
        <xdr:cNvPr id="2" name="divDividerLeft" descr="https://owa.nexus.ox.ac.uk/owa/14.3.248.2/themes/resources/clear1x1.gif"/>
        <xdr:cNvSpPr>
          <a:spLocks noChangeAspect="1" noChangeArrowheads="1"/>
        </xdr:cNvSpPr>
      </xdr:nvSpPr>
      <xdr:spPr bwMode="auto">
        <a:xfrm>
          <a:off x="2692400" y="3619500"/>
          <a:ext cx="304800" cy="49529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285750</xdr:colOff>
      <xdr:row>19</xdr:row>
      <xdr:rowOff>9525</xdr:rowOff>
    </xdr:from>
    <xdr:ext cx="304800" cy="495299"/>
    <xdr:sp macro="" textlink="">
      <xdr:nvSpPr>
        <xdr:cNvPr id="3" name="divDividerRight" descr="https://owa.nexus.ox.ac.uk/owa/14.3.248.2/themes/resources/clear1x1.gif"/>
        <xdr:cNvSpPr>
          <a:spLocks noChangeAspect="1" noChangeArrowheads="1"/>
        </xdr:cNvSpPr>
      </xdr:nvSpPr>
      <xdr:spPr bwMode="auto">
        <a:xfrm>
          <a:off x="2978150" y="3629025"/>
          <a:ext cx="304800" cy="49529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10.xml><?xml version="1.0" encoding="utf-8"?>
<xdr:wsDr xmlns:xdr="http://schemas.openxmlformats.org/drawingml/2006/spreadsheetDrawing" xmlns:a="http://schemas.openxmlformats.org/drawingml/2006/main">
  <xdr:twoCellAnchor editAs="oneCell">
    <xdr:from>
      <xdr:col>8</xdr:col>
      <xdr:colOff>0</xdr:colOff>
      <xdr:row>9</xdr:row>
      <xdr:rowOff>0</xdr:rowOff>
    </xdr:from>
    <xdr:to>
      <xdr:col>21</xdr:col>
      <xdr:colOff>416278</xdr:colOff>
      <xdr:row>12</xdr:row>
      <xdr:rowOff>1262944</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84667" y="2723444"/>
          <a:ext cx="9588500" cy="38735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0</xdr:colOff>
      <xdr:row>12</xdr:row>
      <xdr:rowOff>0</xdr:rowOff>
    </xdr:from>
    <xdr:to>
      <xdr:col>21</xdr:col>
      <xdr:colOff>166511</xdr:colOff>
      <xdr:row>14</xdr:row>
      <xdr:rowOff>83831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923889" y="5729111"/>
          <a:ext cx="10058400" cy="136794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9</xdr:col>
      <xdr:colOff>0</xdr:colOff>
      <xdr:row>14</xdr:row>
      <xdr:rowOff>0</xdr:rowOff>
    </xdr:from>
    <xdr:to>
      <xdr:col>15</xdr:col>
      <xdr:colOff>50800</xdr:colOff>
      <xdr:row>20</xdr:row>
      <xdr:rowOff>342900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35000" y="7150100"/>
          <a:ext cx="4241800" cy="14986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381000</xdr:colOff>
      <xdr:row>9</xdr:row>
      <xdr:rowOff>98778</xdr:rowOff>
    </xdr:from>
    <xdr:to>
      <xdr:col>25</xdr:col>
      <xdr:colOff>561622</xdr:colOff>
      <xdr:row>18</xdr:row>
      <xdr:rowOff>67156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141222" y="3203222"/>
          <a:ext cx="10058400" cy="331271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6</xdr:col>
      <xdr:colOff>565728</xdr:colOff>
      <xdr:row>20</xdr:row>
      <xdr:rowOff>739971</xdr:rowOff>
    </xdr:from>
    <xdr:to>
      <xdr:col>16</xdr:col>
      <xdr:colOff>128155</xdr:colOff>
      <xdr:row>24</xdr:row>
      <xdr:rowOff>353290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880273" y="9664607"/>
          <a:ext cx="6535882" cy="1483684"/>
        </a:xfrm>
        <a:prstGeom prst="rect">
          <a:avLst/>
        </a:prstGeom>
      </xdr:spPr>
    </xdr:pic>
    <xdr:clientData/>
  </xdr:twoCellAnchor>
  <xdr:twoCellAnchor editAs="oneCell">
    <xdr:from>
      <xdr:col>7</xdr:col>
      <xdr:colOff>230908</xdr:colOff>
      <xdr:row>24</xdr:row>
      <xdr:rowOff>369454</xdr:rowOff>
    </xdr:from>
    <xdr:to>
      <xdr:col>15</xdr:col>
      <xdr:colOff>288636</xdr:colOff>
      <xdr:row>29</xdr:row>
      <xdr:rowOff>3463</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57363" y="11164454"/>
          <a:ext cx="5715000" cy="8001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0</xdr:colOff>
      <xdr:row>12</xdr:row>
      <xdr:rowOff>0</xdr:rowOff>
    </xdr:from>
    <xdr:to>
      <xdr:col>18</xdr:col>
      <xdr:colOff>43744</xdr:colOff>
      <xdr:row>12</xdr:row>
      <xdr:rowOff>584200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17111" y="4035778"/>
          <a:ext cx="8496300" cy="5842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8</xdr:col>
      <xdr:colOff>0</xdr:colOff>
      <xdr:row>10</xdr:row>
      <xdr:rowOff>0</xdr:rowOff>
    </xdr:from>
    <xdr:to>
      <xdr:col>22</xdr:col>
      <xdr:colOff>279400</xdr:colOff>
      <xdr:row>16</xdr:row>
      <xdr:rowOff>55574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96800" y="3416300"/>
          <a:ext cx="10058400" cy="207487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9</xdr:col>
      <xdr:colOff>0</xdr:colOff>
      <xdr:row>10</xdr:row>
      <xdr:rowOff>0</xdr:rowOff>
    </xdr:from>
    <xdr:to>
      <xdr:col>13</xdr:col>
      <xdr:colOff>330200</xdr:colOff>
      <xdr:row>22</xdr:row>
      <xdr:rowOff>106507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36625" y="4095750"/>
          <a:ext cx="3124200" cy="5346700"/>
        </a:xfrm>
        <a:prstGeom prst="rect">
          <a:avLst/>
        </a:prstGeom>
      </xdr:spPr>
    </xdr:pic>
    <xdr:clientData/>
  </xdr:twoCellAnchor>
  <xdr:twoCellAnchor editAs="oneCell">
    <xdr:from>
      <xdr:col>23</xdr:col>
      <xdr:colOff>0</xdr:colOff>
      <xdr:row>15</xdr:row>
      <xdr:rowOff>0</xdr:rowOff>
    </xdr:from>
    <xdr:to>
      <xdr:col>28</xdr:col>
      <xdr:colOff>314036</xdr:colOff>
      <xdr:row>22</xdr:row>
      <xdr:rowOff>165100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518091" y="6684818"/>
          <a:ext cx="3835400" cy="33401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8</xdr:col>
      <xdr:colOff>0</xdr:colOff>
      <xdr:row>12</xdr:row>
      <xdr:rowOff>0</xdr:rowOff>
    </xdr:from>
    <xdr:to>
      <xdr:col>16</xdr:col>
      <xdr:colOff>393700</xdr:colOff>
      <xdr:row>20</xdr:row>
      <xdr:rowOff>88900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928600" y="4089400"/>
          <a:ext cx="5981700" cy="2565400"/>
        </a:xfrm>
        <a:prstGeom prst="rect">
          <a:avLst/>
        </a:prstGeom>
      </xdr:spPr>
    </xdr:pic>
    <xdr:clientData/>
  </xdr:twoCellAnchor>
  <xdr:twoCellAnchor editAs="oneCell">
    <xdr:from>
      <xdr:col>8</xdr:col>
      <xdr:colOff>169333</xdr:colOff>
      <xdr:row>9</xdr:row>
      <xdr:rowOff>1104900</xdr:rowOff>
    </xdr:from>
    <xdr:to>
      <xdr:col>16</xdr:col>
      <xdr:colOff>270933</xdr:colOff>
      <xdr:row>11</xdr:row>
      <xdr:rowOff>587022</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109222" y="4110567"/>
          <a:ext cx="5746044" cy="118956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8</xdr:col>
      <xdr:colOff>0</xdr:colOff>
      <xdr:row>12</xdr:row>
      <xdr:rowOff>0</xdr:rowOff>
    </xdr:from>
    <xdr:to>
      <xdr:col>16</xdr:col>
      <xdr:colOff>286456</xdr:colOff>
      <xdr:row>20</xdr:row>
      <xdr:rowOff>592667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939889" y="5334000"/>
          <a:ext cx="5930900" cy="330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513272</xdr:colOff>
      <xdr:row>1</xdr:row>
      <xdr:rowOff>21565</xdr:rowOff>
    </xdr:from>
    <xdr:to>
      <xdr:col>17</xdr:col>
      <xdr:colOff>116457</xdr:colOff>
      <xdr:row>16</xdr:row>
      <xdr:rowOff>47445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21</xdr:row>
      <xdr:rowOff>0</xdr:rowOff>
    </xdr:from>
    <xdr:to>
      <xdr:col>17</xdr:col>
      <xdr:colOff>272821</xdr:colOff>
      <xdr:row>36</xdr:row>
      <xdr:rowOff>25880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536223</xdr:colOff>
      <xdr:row>9</xdr:row>
      <xdr:rowOff>310445</xdr:rowOff>
    </xdr:from>
    <xdr:to>
      <xdr:col>19</xdr:col>
      <xdr:colOff>119945</xdr:colOff>
      <xdr:row>15</xdr:row>
      <xdr:rowOff>297745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56445" y="3033889"/>
          <a:ext cx="8064500" cy="40513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8</xdr:col>
      <xdr:colOff>98778</xdr:colOff>
      <xdr:row>9</xdr:row>
      <xdr:rowOff>352778</xdr:rowOff>
    </xdr:from>
    <xdr:to>
      <xdr:col>21</xdr:col>
      <xdr:colOff>324556</xdr:colOff>
      <xdr:row>18</xdr:row>
      <xdr:rowOff>182034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038667" y="3471334"/>
          <a:ext cx="9398000" cy="45847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8</xdr:col>
      <xdr:colOff>0</xdr:colOff>
      <xdr:row>9</xdr:row>
      <xdr:rowOff>0</xdr:rowOff>
    </xdr:from>
    <xdr:to>
      <xdr:col>14</xdr:col>
      <xdr:colOff>198967</xdr:colOff>
      <xdr:row>18</xdr:row>
      <xdr:rowOff>69145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939889" y="2864556"/>
          <a:ext cx="4432300" cy="48387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9</xdr:col>
      <xdr:colOff>225778</xdr:colOff>
      <xdr:row>11</xdr:row>
      <xdr:rowOff>409221</xdr:rowOff>
    </xdr:from>
    <xdr:to>
      <xdr:col>18</xdr:col>
      <xdr:colOff>213078</xdr:colOff>
      <xdr:row>21</xdr:row>
      <xdr:rowOff>639232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71222" y="4825999"/>
          <a:ext cx="6337300" cy="33909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12</xdr:col>
      <xdr:colOff>666750</xdr:colOff>
      <xdr:row>9</xdr:row>
      <xdr:rowOff>793750</xdr:rowOff>
    </xdr:from>
    <xdr:to>
      <xdr:col>18</xdr:col>
      <xdr:colOff>323850</xdr:colOff>
      <xdr:row>16</xdr:row>
      <xdr:rowOff>73025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891000" y="3270250"/>
          <a:ext cx="3848100" cy="31369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10</xdr:col>
      <xdr:colOff>493889</xdr:colOff>
      <xdr:row>9</xdr:row>
      <xdr:rowOff>409222</xdr:rowOff>
    </xdr:from>
    <xdr:to>
      <xdr:col>22</xdr:col>
      <xdr:colOff>447322</xdr:colOff>
      <xdr:row>13</xdr:row>
      <xdr:rowOff>155222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94000" y="2935111"/>
          <a:ext cx="8420100" cy="3175000"/>
        </a:xfrm>
        <a:prstGeom prst="rect">
          <a:avLst/>
        </a:prstGeom>
      </xdr:spPr>
    </xdr:pic>
    <xdr:clientData/>
  </xdr:twoCellAnchor>
  <xdr:twoCellAnchor editAs="oneCell">
    <xdr:from>
      <xdr:col>11</xdr:col>
      <xdr:colOff>225777</xdr:colOff>
      <xdr:row>14</xdr:row>
      <xdr:rowOff>70556</xdr:rowOff>
    </xdr:from>
    <xdr:to>
      <xdr:col>17</xdr:col>
      <xdr:colOff>704144</xdr:colOff>
      <xdr:row>21</xdr:row>
      <xdr:rowOff>400756</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931444" y="6223000"/>
          <a:ext cx="4711700" cy="21082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6</xdr:col>
      <xdr:colOff>423333</xdr:colOff>
      <xdr:row>9</xdr:row>
      <xdr:rowOff>451555</xdr:rowOff>
    </xdr:from>
    <xdr:to>
      <xdr:col>16</xdr:col>
      <xdr:colOff>56444</xdr:colOff>
      <xdr:row>20</xdr:row>
      <xdr:rowOff>385233</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60111" y="2991555"/>
          <a:ext cx="6858000" cy="40259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14</xdr:col>
      <xdr:colOff>318911</xdr:colOff>
      <xdr:row>23</xdr:row>
      <xdr:rowOff>138289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42333" y="2159000"/>
          <a:ext cx="5257800" cy="51054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7</xdr:col>
      <xdr:colOff>296334</xdr:colOff>
      <xdr:row>9</xdr:row>
      <xdr:rowOff>183444</xdr:rowOff>
    </xdr:from>
    <xdr:to>
      <xdr:col>12</xdr:col>
      <xdr:colOff>248356</xdr:colOff>
      <xdr:row>19</xdr:row>
      <xdr:rowOff>22577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73667" y="2525888"/>
          <a:ext cx="3479800" cy="28448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6</xdr:col>
      <xdr:colOff>660400</xdr:colOff>
      <xdr:row>13</xdr:row>
      <xdr:rowOff>139700</xdr:rowOff>
    </xdr:from>
    <xdr:to>
      <xdr:col>21</xdr:col>
      <xdr:colOff>88900</xdr:colOff>
      <xdr:row>30</xdr:row>
      <xdr:rowOff>16111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119100" y="4368800"/>
          <a:ext cx="10058400" cy="48040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10</xdr:row>
      <xdr:rowOff>0</xdr:rowOff>
    </xdr:from>
    <xdr:to>
      <xdr:col>22</xdr:col>
      <xdr:colOff>180622</xdr:colOff>
      <xdr:row>19</xdr:row>
      <xdr:rowOff>989287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010444" y="4755444"/>
          <a:ext cx="10058400" cy="413606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24</xdr:col>
      <xdr:colOff>35719</xdr:colOff>
      <xdr:row>16</xdr:row>
      <xdr:rowOff>151090</xdr:rowOff>
    </xdr:from>
    <xdr:to>
      <xdr:col>25</xdr:col>
      <xdr:colOff>442912</xdr:colOff>
      <xdr:row>17</xdr:row>
      <xdr:rowOff>981974</xdr:rowOff>
    </xdr:to>
    <xdr:pic>
      <xdr:nvPicPr>
        <xdr:cNvPr id="25" name="Picture 2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339125" y="68373903"/>
          <a:ext cx="2526507" cy="2211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20</xdr:row>
      <xdr:rowOff>0</xdr:rowOff>
    </xdr:from>
    <xdr:to>
      <xdr:col>24</xdr:col>
      <xdr:colOff>1270488</xdr:colOff>
      <xdr:row>21</xdr:row>
      <xdr:rowOff>60072</xdr:rowOff>
    </xdr:to>
    <xdr:pic>
      <xdr:nvPicPr>
        <xdr:cNvPr id="13" name="Picture 1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303881" y="79319437"/>
          <a:ext cx="1270488" cy="1878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20</xdr:row>
      <xdr:rowOff>0</xdr:rowOff>
    </xdr:from>
    <xdr:to>
      <xdr:col>24</xdr:col>
      <xdr:colOff>1062094</xdr:colOff>
      <xdr:row>20</xdr:row>
      <xdr:rowOff>1458178</xdr:rowOff>
    </xdr:to>
    <xdr:pic>
      <xdr:nvPicPr>
        <xdr:cNvPr id="14" name="Picture 1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931624" y="79343250"/>
          <a:ext cx="1062094" cy="17025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23</xdr:row>
      <xdr:rowOff>0</xdr:rowOff>
    </xdr:from>
    <xdr:to>
      <xdr:col>24</xdr:col>
      <xdr:colOff>472540</xdr:colOff>
      <xdr:row>23</xdr:row>
      <xdr:rowOff>723809</xdr:rowOff>
    </xdr:to>
    <xdr:pic>
      <xdr:nvPicPr>
        <xdr:cNvPr id="23" name="Picture 22"/>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4981075" y="92630626"/>
          <a:ext cx="472540" cy="7381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23</xdr:row>
      <xdr:rowOff>0</xdr:rowOff>
    </xdr:from>
    <xdr:to>
      <xdr:col>24</xdr:col>
      <xdr:colOff>476518</xdr:colOff>
      <xdr:row>23</xdr:row>
      <xdr:rowOff>764335</xdr:rowOff>
    </xdr:to>
    <xdr:pic>
      <xdr:nvPicPr>
        <xdr:cNvPr id="26" name="Picture 2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4985056" y="93464062"/>
          <a:ext cx="476518" cy="771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23</xdr:row>
      <xdr:rowOff>0</xdr:rowOff>
    </xdr:from>
    <xdr:to>
      <xdr:col>28</xdr:col>
      <xdr:colOff>107155</xdr:colOff>
      <xdr:row>23</xdr:row>
      <xdr:rowOff>1571205</xdr:rowOff>
    </xdr:to>
    <xdr:pic>
      <xdr:nvPicPr>
        <xdr:cNvPr id="37" name="Picture 3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1184969" y="90666094"/>
          <a:ext cx="1178719" cy="1574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23</xdr:row>
      <xdr:rowOff>0</xdr:rowOff>
    </xdr:from>
    <xdr:to>
      <xdr:col>27</xdr:col>
      <xdr:colOff>178594</xdr:colOff>
      <xdr:row>23</xdr:row>
      <xdr:rowOff>1663956</xdr:rowOff>
    </xdr:to>
    <xdr:pic>
      <xdr:nvPicPr>
        <xdr:cNvPr id="38" name="Picture 3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8422719" y="90666094"/>
          <a:ext cx="1166812" cy="166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23</xdr:row>
      <xdr:rowOff>0</xdr:rowOff>
    </xdr:from>
    <xdr:to>
      <xdr:col>28</xdr:col>
      <xdr:colOff>490829</xdr:colOff>
      <xdr:row>23</xdr:row>
      <xdr:rowOff>1676309</xdr:rowOff>
    </xdr:to>
    <xdr:pic>
      <xdr:nvPicPr>
        <xdr:cNvPr id="39" name="Picture 3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1184969" y="92547281"/>
          <a:ext cx="1562393" cy="16906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23</xdr:row>
      <xdr:rowOff>0</xdr:rowOff>
    </xdr:from>
    <xdr:to>
      <xdr:col>28</xdr:col>
      <xdr:colOff>128587</xdr:colOff>
      <xdr:row>23</xdr:row>
      <xdr:rowOff>1662552</xdr:rowOff>
    </xdr:to>
    <xdr:pic>
      <xdr:nvPicPr>
        <xdr:cNvPr id="40" name="Picture 3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8422719" y="92547281"/>
          <a:ext cx="1735931" cy="1676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15</xdr:row>
      <xdr:rowOff>252585</xdr:rowOff>
    </xdr:from>
    <xdr:to>
      <xdr:col>27</xdr:col>
      <xdr:colOff>240505</xdr:colOff>
      <xdr:row>16</xdr:row>
      <xdr:rowOff>0</xdr:rowOff>
    </xdr:to>
    <xdr:pic>
      <xdr:nvPicPr>
        <xdr:cNvPr id="17" name="Picture 16"/>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9704625" y="84009085"/>
          <a:ext cx="3355975" cy="16905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20</xdr:row>
      <xdr:rowOff>0</xdr:rowOff>
    </xdr:from>
    <xdr:to>
      <xdr:col>12</xdr:col>
      <xdr:colOff>112143</xdr:colOff>
      <xdr:row>20</xdr:row>
      <xdr:rowOff>172528</xdr:rowOff>
    </xdr:to>
    <xdr:pic>
      <xdr:nvPicPr>
        <xdr:cNvPr id="15" name="Picture 14" descr="greater than or equal to"/>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0636370" y="31555426"/>
          <a:ext cx="112143" cy="172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46</xdr:col>
      <xdr:colOff>219075</xdr:colOff>
      <xdr:row>24</xdr:row>
      <xdr:rowOff>38099</xdr:rowOff>
    </xdr:from>
    <xdr:to>
      <xdr:col>47</xdr:col>
      <xdr:colOff>1052511</xdr:colOff>
      <xdr:row>25</xdr:row>
      <xdr:rowOff>806298</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606700" y="18087974"/>
          <a:ext cx="3233737" cy="1587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47</xdr:col>
      <xdr:colOff>35719</xdr:colOff>
      <xdr:row>68</xdr:row>
      <xdr:rowOff>151090</xdr:rowOff>
    </xdr:from>
    <xdr:to>
      <xdr:col>48</xdr:col>
      <xdr:colOff>442914</xdr:colOff>
      <xdr:row>68</xdr:row>
      <xdr:rowOff>2362200</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5823644" y="108374140"/>
          <a:ext cx="2531269" cy="2211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45</xdr:col>
      <xdr:colOff>334475</xdr:colOff>
      <xdr:row>72</xdr:row>
      <xdr:rowOff>11906</xdr:rowOff>
    </xdr:from>
    <xdr:to>
      <xdr:col>45</xdr:col>
      <xdr:colOff>1604963</xdr:colOff>
      <xdr:row>72</xdr:row>
      <xdr:rowOff>1890713</xdr:rowOff>
    </xdr:to>
    <xdr:pic>
      <xdr:nvPicPr>
        <xdr:cNvPr id="4" name="Picture 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0788400" y="119884031"/>
          <a:ext cx="1270488" cy="1878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46</xdr:col>
      <xdr:colOff>33280</xdr:colOff>
      <xdr:row>72</xdr:row>
      <xdr:rowOff>35719</xdr:rowOff>
    </xdr:from>
    <xdr:to>
      <xdr:col>46</xdr:col>
      <xdr:colOff>1095374</xdr:colOff>
      <xdr:row>72</xdr:row>
      <xdr:rowOff>1738312</xdr:rowOff>
    </xdr:to>
    <xdr:pic>
      <xdr:nvPicPr>
        <xdr:cNvPr id="5" name="Picture 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3420905" y="119907844"/>
          <a:ext cx="1062094" cy="17025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41</xdr:col>
      <xdr:colOff>60044</xdr:colOff>
      <xdr:row>79</xdr:row>
      <xdr:rowOff>83345</xdr:rowOff>
    </xdr:from>
    <xdr:to>
      <xdr:col>41</xdr:col>
      <xdr:colOff>532584</xdr:colOff>
      <xdr:row>79</xdr:row>
      <xdr:rowOff>821532</xdr:rowOff>
    </xdr:to>
    <xdr:pic>
      <xdr:nvPicPr>
        <xdr:cNvPr id="6" name="Picture 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4475119" y="136481345"/>
          <a:ext cx="472540" cy="7381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41</xdr:col>
      <xdr:colOff>64025</xdr:colOff>
      <xdr:row>80</xdr:row>
      <xdr:rowOff>47624</xdr:rowOff>
    </xdr:from>
    <xdr:to>
      <xdr:col>41</xdr:col>
      <xdr:colOff>540543</xdr:colOff>
      <xdr:row>80</xdr:row>
      <xdr:rowOff>819148</xdr:rowOff>
    </xdr:to>
    <xdr:pic>
      <xdr:nvPicPr>
        <xdr:cNvPr id="7" name="Picture 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4479100" y="137312399"/>
          <a:ext cx="476518" cy="771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xdr:col>
      <xdr:colOff>0</xdr:colOff>
      <xdr:row>77</xdr:row>
      <xdr:rowOff>0</xdr:rowOff>
    </xdr:from>
    <xdr:to>
      <xdr:col>51</xdr:col>
      <xdr:colOff>107157</xdr:colOff>
      <xdr:row>78</xdr:row>
      <xdr:rowOff>752595</xdr:rowOff>
    </xdr:to>
    <xdr:pic>
      <xdr:nvPicPr>
        <xdr:cNvPr id="8" name="Picture 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8445400" y="134521575"/>
          <a:ext cx="1183482" cy="1571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48</xdr:col>
      <xdr:colOff>0</xdr:colOff>
      <xdr:row>77</xdr:row>
      <xdr:rowOff>0</xdr:rowOff>
    </xdr:from>
    <xdr:to>
      <xdr:col>50</xdr:col>
      <xdr:colOff>178593</xdr:colOff>
      <xdr:row>78</xdr:row>
      <xdr:rowOff>845346</xdr:rowOff>
    </xdr:to>
    <xdr:pic>
      <xdr:nvPicPr>
        <xdr:cNvPr id="9" name="Picture 8"/>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57912000" y="134521575"/>
          <a:ext cx="1169194" cy="16644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xdr:col>
      <xdr:colOff>0</xdr:colOff>
      <xdr:row>79</xdr:row>
      <xdr:rowOff>0</xdr:rowOff>
    </xdr:from>
    <xdr:to>
      <xdr:col>51</xdr:col>
      <xdr:colOff>490831</xdr:colOff>
      <xdr:row>80</xdr:row>
      <xdr:rowOff>821529</xdr:rowOff>
    </xdr:to>
    <xdr:pic>
      <xdr:nvPicPr>
        <xdr:cNvPr id="10" name="Picture 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8445400" y="136398000"/>
          <a:ext cx="1567156" cy="16883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48</xdr:col>
      <xdr:colOff>0</xdr:colOff>
      <xdr:row>79</xdr:row>
      <xdr:rowOff>0</xdr:rowOff>
    </xdr:from>
    <xdr:to>
      <xdr:col>51</xdr:col>
      <xdr:colOff>128587</xdr:colOff>
      <xdr:row>80</xdr:row>
      <xdr:rowOff>807772</xdr:rowOff>
    </xdr:to>
    <xdr:pic>
      <xdr:nvPicPr>
        <xdr:cNvPr id="11" name="Picture 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7912000" y="136398000"/>
          <a:ext cx="1738313" cy="1674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47</xdr:col>
      <xdr:colOff>317500</xdr:colOff>
      <xdr:row>35</xdr:row>
      <xdr:rowOff>141557</xdr:rowOff>
    </xdr:from>
    <xdr:to>
      <xdr:col>55</xdr:col>
      <xdr:colOff>250824</xdr:colOff>
      <xdr:row>36</xdr:row>
      <xdr:rowOff>1307915</xdr:rowOff>
    </xdr:to>
    <xdr:pic>
      <xdr:nvPicPr>
        <xdr:cNvPr id="12" name="Picture 11"/>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56105425" y="32288432"/>
          <a:ext cx="6162673" cy="27951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47</xdr:col>
      <xdr:colOff>142875</xdr:colOff>
      <xdr:row>98</xdr:row>
      <xdr:rowOff>206650</xdr:rowOff>
    </xdr:from>
    <xdr:to>
      <xdr:col>47</xdr:col>
      <xdr:colOff>1800225</xdr:colOff>
      <xdr:row>98</xdr:row>
      <xdr:rowOff>2527300</xdr:rowOff>
    </xdr:to>
    <xdr:pic>
      <xdr:nvPicPr>
        <xdr:cNvPr id="13" name="Picture 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930800" y="159864700"/>
          <a:ext cx="1657350" cy="232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45</xdr:col>
      <xdr:colOff>0</xdr:colOff>
      <xdr:row>92</xdr:row>
      <xdr:rowOff>0</xdr:rowOff>
    </xdr:from>
    <xdr:to>
      <xdr:col>47</xdr:col>
      <xdr:colOff>638175</xdr:colOff>
      <xdr:row>96</xdr:row>
      <xdr:rowOff>755648</xdr:rowOff>
    </xdr:to>
    <xdr:pic>
      <xdr:nvPicPr>
        <xdr:cNvPr id="14" name="Picture 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50453925" y="153447750"/>
          <a:ext cx="5972175" cy="31654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45</xdr:col>
      <xdr:colOff>127000</xdr:colOff>
      <xdr:row>66</xdr:row>
      <xdr:rowOff>252585</xdr:rowOff>
    </xdr:from>
    <xdr:to>
      <xdr:col>46</xdr:col>
      <xdr:colOff>546100</xdr:colOff>
      <xdr:row>66</xdr:row>
      <xdr:rowOff>1943100</xdr:rowOff>
    </xdr:to>
    <xdr:pic>
      <xdr:nvPicPr>
        <xdr:cNvPr id="15" name="Picture 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0580925" y="106142010"/>
          <a:ext cx="3352799" cy="16905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12</xdr:col>
      <xdr:colOff>666750</xdr:colOff>
      <xdr:row>9</xdr:row>
      <xdr:rowOff>793750</xdr:rowOff>
    </xdr:from>
    <xdr:to>
      <xdr:col>18</xdr:col>
      <xdr:colOff>323850</xdr:colOff>
      <xdr:row>16</xdr:row>
      <xdr:rowOff>73025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884650" y="3282950"/>
          <a:ext cx="3848100" cy="31400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669637</xdr:colOff>
      <xdr:row>9</xdr:row>
      <xdr:rowOff>103909</xdr:rowOff>
    </xdr:from>
    <xdr:to>
      <xdr:col>10</xdr:col>
      <xdr:colOff>22961</xdr:colOff>
      <xdr:row>12</xdr:row>
      <xdr:rowOff>346756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134273" y="3417454"/>
          <a:ext cx="2320506" cy="218248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0</xdr:colOff>
      <xdr:row>9</xdr:row>
      <xdr:rowOff>0</xdr:rowOff>
    </xdr:from>
    <xdr:to>
      <xdr:col>20</xdr:col>
      <xdr:colOff>48491</xdr:colOff>
      <xdr:row>13</xdr:row>
      <xdr:rowOff>130364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65000" y="3729182"/>
          <a:ext cx="10058400" cy="379027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584200</xdr:colOff>
      <xdr:row>10</xdr:row>
      <xdr:rowOff>304800</xdr:rowOff>
    </xdr:from>
    <xdr:to>
      <xdr:col>16</xdr:col>
      <xdr:colOff>241300</xdr:colOff>
      <xdr:row>12</xdr:row>
      <xdr:rowOff>262173</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75700" y="4051300"/>
          <a:ext cx="10058400" cy="148137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285750</xdr:colOff>
      <xdr:row>9</xdr:row>
      <xdr:rowOff>317500</xdr:rowOff>
    </xdr:from>
    <xdr:to>
      <xdr:col>15</xdr:col>
      <xdr:colOff>323850</xdr:colOff>
      <xdr:row>21</xdr:row>
      <xdr:rowOff>292100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01750" y="3159125"/>
          <a:ext cx="4229100" cy="4419600"/>
        </a:xfrm>
        <a:prstGeom prst="rect">
          <a:avLst/>
        </a:prstGeom>
      </xdr:spPr>
    </xdr:pic>
    <xdr:clientData/>
  </xdr:twoCellAnchor>
  <xdr:twoCellAnchor editAs="oneCell">
    <xdr:from>
      <xdr:col>15</xdr:col>
      <xdr:colOff>539750</xdr:colOff>
      <xdr:row>9</xdr:row>
      <xdr:rowOff>301625</xdr:rowOff>
    </xdr:from>
    <xdr:to>
      <xdr:col>21</xdr:col>
      <xdr:colOff>69850</xdr:colOff>
      <xdr:row>12</xdr:row>
      <xdr:rowOff>120650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446750" y="3143250"/>
          <a:ext cx="3721100" cy="16129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649110</xdr:colOff>
      <xdr:row>11</xdr:row>
      <xdr:rowOff>14111</xdr:rowOff>
    </xdr:from>
    <xdr:to>
      <xdr:col>14</xdr:col>
      <xdr:colOff>611423</xdr:colOff>
      <xdr:row>18</xdr:row>
      <xdr:rowOff>155275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070666" y="4459111"/>
          <a:ext cx="2803585" cy="24412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0</xdr:colOff>
      <xdr:row>10</xdr:row>
      <xdr:rowOff>0</xdr:rowOff>
    </xdr:from>
    <xdr:to>
      <xdr:col>21</xdr:col>
      <xdr:colOff>166511</xdr:colOff>
      <xdr:row>15</xdr:row>
      <xdr:rowOff>327443</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90778" y="2935111"/>
          <a:ext cx="10058400" cy="44337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kumpers@donders.ru.nl" TargetMode="External"/><Relationship Id="rId4" Type="http://schemas.openxmlformats.org/officeDocument/2006/relationships/hyperlink" Target="mailto:s.gardener@ecu.edu.au" TargetMode="External"/><Relationship Id="rId5" Type="http://schemas.openxmlformats.org/officeDocument/2006/relationships/hyperlink" Target="mailto:xuesun@upenn.edu" TargetMode="External"/><Relationship Id="rId6" Type="http://schemas.openxmlformats.org/officeDocument/2006/relationships/hyperlink" Target="mailto:gunter.schumann@kcl.ac.uk" TargetMode="External"/><Relationship Id="rId7" Type="http://schemas.openxmlformats.org/officeDocument/2006/relationships/printerSettings" Target="../printerSettings/printerSettings1.bin"/><Relationship Id="rId8" Type="http://schemas.openxmlformats.org/officeDocument/2006/relationships/drawing" Target="../drawings/drawing1.xml"/><Relationship Id="rId1" Type="http://schemas.openxmlformats.org/officeDocument/2006/relationships/hyperlink" Target="mailto:travis.e.baker.phd@gmail.com" TargetMode="External"/><Relationship Id="rId2" Type="http://schemas.openxmlformats.org/officeDocument/2006/relationships/hyperlink" Target="https://owa.nexus.ox.ac.uk/owa/redir.aspx?SURL=71_LOSB5zNWS1PbgMDY4MiC3HNWmo75gToyms-57_l8ay3BejP7TCG0AYQBpAGwAdABvADoATQBpAGMAaABhAGUAbABfAEYAcgBhAG4AawBAAGIAcgBvAHcAbgAuAGUAZAB1AA..&amp;URL=mailto%3aMichael_Frank%40brown.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 Id="rId2"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4" Type="http://schemas.openxmlformats.org/officeDocument/2006/relationships/comments" Target="../comments3.xml"/><Relationship Id="rId1" Type="http://schemas.openxmlformats.org/officeDocument/2006/relationships/printerSettings" Target="../printerSettings/printerSettings10.bin"/><Relationship Id="rId2"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 Id="rId2"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 Id="rId2"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 Id="rId2"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 Id="rId2"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4" Type="http://schemas.openxmlformats.org/officeDocument/2006/relationships/comments" Target="../comments4.xml"/><Relationship Id="rId1" Type="http://schemas.openxmlformats.org/officeDocument/2006/relationships/printerSettings" Target="../printerSettings/printerSettings15.bin"/><Relationship Id="rId2"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 Id="rId2"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5.vml"/><Relationship Id="rId4" Type="http://schemas.openxmlformats.org/officeDocument/2006/relationships/comments" Target="../comments5.xml"/><Relationship Id="rId1" Type="http://schemas.openxmlformats.org/officeDocument/2006/relationships/printerSettings" Target="../printerSettings/printerSettings18.bin"/><Relationship Id="rId2"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 Id="rId2" Type="http://schemas.openxmlformats.org/officeDocument/2006/relationships/drawing" Target="../drawings/drawing13.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 Id="rId2" Type="http://schemas.openxmlformats.org/officeDocument/2006/relationships/drawing" Target="../drawings/drawing14.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5.xml"/><Relationship Id="rId4" Type="http://schemas.openxmlformats.org/officeDocument/2006/relationships/vmlDrawing" Target="../drawings/vmlDrawing7.vml"/><Relationship Id="rId5" Type="http://schemas.openxmlformats.org/officeDocument/2006/relationships/comments" Target="../comments7.xml"/><Relationship Id="rId1" Type="http://schemas.openxmlformats.org/officeDocument/2006/relationships/hyperlink" Target="http://www.nature.com/mp/journal/v19/n9/full/mp2013117a.html" TargetMode="External"/><Relationship Id="rId2"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6.xml"/><Relationship Id="rId4" Type="http://schemas.openxmlformats.org/officeDocument/2006/relationships/vmlDrawing" Target="../drawings/vmlDrawing8.vml"/><Relationship Id="rId5" Type="http://schemas.openxmlformats.org/officeDocument/2006/relationships/comments" Target="../comments8.xml"/><Relationship Id="rId1" Type="http://schemas.openxmlformats.org/officeDocument/2006/relationships/hyperlink" Target="http://topics.sciencedirect.com/topics/page/Superior_temporal_gyrus" TargetMode="External"/><Relationship Id="rId2"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9.vml"/><Relationship Id="rId4" Type="http://schemas.openxmlformats.org/officeDocument/2006/relationships/comments" Target="../comments9.xml"/><Relationship Id="rId1" Type="http://schemas.openxmlformats.org/officeDocument/2006/relationships/printerSettings" Target="../printerSettings/printerSettings24.bin"/><Relationship Id="rId2" Type="http://schemas.openxmlformats.org/officeDocument/2006/relationships/drawing" Target="../drawings/drawing17.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10.vml"/><Relationship Id="rId4" Type="http://schemas.openxmlformats.org/officeDocument/2006/relationships/comments" Target="../comments10.xml"/><Relationship Id="rId1" Type="http://schemas.openxmlformats.org/officeDocument/2006/relationships/printerSettings" Target="../printerSettings/printerSettings25.bin"/><Relationship Id="rId2" Type="http://schemas.openxmlformats.org/officeDocument/2006/relationships/drawing" Target="../drawings/drawing18.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 Id="rId2" Type="http://schemas.openxmlformats.org/officeDocument/2006/relationships/vmlDrawing" Target="../drawings/vmlDrawing11.vml"/><Relationship Id="rId3" Type="http://schemas.openxmlformats.org/officeDocument/2006/relationships/comments" Target="../comments11.xm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2.vml"/><Relationship Id="rId4" Type="http://schemas.openxmlformats.org/officeDocument/2006/relationships/comments" Target="../comments12.xml"/><Relationship Id="rId1" Type="http://schemas.openxmlformats.org/officeDocument/2006/relationships/printerSettings" Target="../printerSettings/printerSettings27.bin"/><Relationship Id="rId2" Type="http://schemas.openxmlformats.org/officeDocument/2006/relationships/drawing" Target="../drawings/drawing19.x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 Id="rId2"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13.vml"/><Relationship Id="rId4" Type="http://schemas.openxmlformats.org/officeDocument/2006/relationships/comments" Target="../comments13.xml"/><Relationship Id="rId1" Type="http://schemas.openxmlformats.org/officeDocument/2006/relationships/printerSettings" Target="../printerSettings/printerSettings29.bin"/><Relationship Id="rId2" Type="http://schemas.openxmlformats.org/officeDocument/2006/relationships/drawing" Target="../drawings/drawing21.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nature.com/mp/journal/v20/n10/full/mp201562a.html" TargetMode="External"/><Relationship Id="rId2" Type="http://schemas.openxmlformats.org/officeDocument/2006/relationships/printerSettings" Target="../printerSettings/printerSettings30.bin"/><Relationship Id="rId3" Type="http://schemas.openxmlformats.org/officeDocument/2006/relationships/drawing" Target="../drawings/drawing22.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4.vml"/><Relationship Id="rId4" Type="http://schemas.openxmlformats.org/officeDocument/2006/relationships/comments" Target="../comments14.xml"/><Relationship Id="rId1" Type="http://schemas.openxmlformats.org/officeDocument/2006/relationships/printerSettings" Target="../printerSettings/printerSettings31.bin"/><Relationship Id="rId2" Type="http://schemas.openxmlformats.org/officeDocument/2006/relationships/drawing" Target="../drawings/drawing23.x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 Id="rId2" Type="http://schemas.openxmlformats.org/officeDocument/2006/relationships/drawing" Target="../drawings/drawing24.xm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5.vml"/><Relationship Id="rId4" Type="http://schemas.openxmlformats.org/officeDocument/2006/relationships/comments" Target="../comments15.xml"/><Relationship Id="rId1" Type="http://schemas.openxmlformats.org/officeDocument/2006/relationships/printerSettings" Target="../printerSettings/printerSettings33.bin"/><Relationship Id="rId2" Type="http://schemas.openxmlformats.org/officeDocument/2006/relationships/drawing" Target="../drawings/drawing25.x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 Id="rId2" Type="http://schemas.openxmlformats.org/officeDocument/2006/relationships/drawing" Target="../drawings/drawing26.x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 Id="rId2" Type="http://schemas.openxmlformats.org/officeDocument/2006/relationships/drawing" Target="../drawings/drawing27.x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 Id="rId2" Type="http://schemas.openxmlformats.org/officeDocument/2006/relationships/drawing" Target="../drawings/drawing28.xm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 Id="rId2" Type="http://schemas.openxmlformats.org/officeDocument/2006/relationships/drawing" Target="../drawings/drawing29.xml"/></Relationships>
</file>

<file path=xl/worksheets/_rels/sheet39.xml.rels><?xml version="1.0" encoding="UTF-8" standalone="yes"?>
<Relationships xmlns="http://schemas.openxmlformats.org/package/2006/relationships"><Relationship Id="rId11" Type="http://schemas.openxmlformats.org/officeDocument/2006/relationships/hyperlink" Target="http://snpedia.com/index.php/Rs17070145" TargetMode="External"/><Relationship Id="rId12" Type="http://schemas.openxmlformats.org/officeDocument/2006/relationships/hyperlink" Target="http://snpedia.com/index.php/Rs10748842" TargetMode="External"/><Relationship Id="rId13" Type="http://schemas.openxmlformats.org/officeDocument/2006/relationships/hyperlink" Target="http://www.jneurosci.org/content/34/3/1051.full" TargetMode="External"/><Relationship Id="rId14" Type="http://schemas.openxmlformats.org/officeDocument/2006/relationships/hyperlink" Target="http://www.nature.com/mp/journal/v18/n7/full/mp201272a.html" TargetMode="External"/><Relationship Id="rId15" Type="http://schemas.openxmlformats.org/officeDocument/2006/relationships/hyperlink" Target="http://snpedia.com/index.php/Rs1800497" TargetMode="External"/><Relationship Id="rId16" Type="http://schemas.openxmlformats.org/officeDocument/2006/relationships/printerSettings" Target="../printerSettings/printerSettings38.bin"/><Relationship Id="rId17" Type="http://schemas.openxmlformats.org/officeDocument/2006/relationships/drawing" Target="../drawings/drawing30.xml"/><Relationship Id="rId1" Type="http://schemas.openxmlformats.org/officeDocument/2006/relationships/hyperlink" Target="http://snpedia.com/index.php/Rs1800955" TargetMode="External"/><Relationship Id="rId2" Type="http://schemas.openxmlformats.org/officeDocument/2006/relationships/hyperlink" Target="http://snpedia.com/index.php/Rs4680" TargetMode="External"/><Relationship Id="rId3" Type="http://schemas.openxmlformats.org/officeDocument/2006/relationships/hyperlink" Target="http://snpedia.com/index.php/Rs2267735" TargetMode="External"/><Relationship Id="rId4" Type="http://schemas.openxmlformats.org/officeDocument/2006/relationships/hyperlink" Target="http://snpedia.com/index.php/Rs7294919" TargetMode="External"/><Relationship Id="rId5" Type="http://schemas.openxmlformats.org/officeDocument/2006/relationships/hyperlink" Target="http://www.ncbi.nlm.nih.gov/gene/1815" TargetMode="External"/><Relationship Id="rId6" Type="http://schemas.openxmlformats.org/officeDocument/2006/relationships/hyperlink" Target="http://snpedia.com/index.php/Rs1006737" TargetMode="External"/><Relationship Id="rId7" Type="http://schemas.openxmlformats.org/officeDocument/2006/relationships/hyperlink" Target="http://snpedia.com/index.php/Rs1990622" TargetMode="External"/><Relationship Id="rId8" Type="http://schemas.openxmlformats.org/officeDocument/2006/relationships/hyperlink" Target="http://snpedia.com/index.php/Rs1229984" TargetMode="External"/><Relationship Id="rId9" Type="http://schemas.openxmlformats.org/officeDocument/2006/relationships/hyperlink" Target="http://snpedia.com/index.php/Rs821616" TargetMode="External"/><Relationship Id="rId10" Type="http://schemas.openxmlformats.org/officeDocument/2006/relationships/hyperlink" Target="http://snpedia.com/index.php/Rs468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0.xml.rels><?xml version="1.0" encoding="UTF-8" standalone="yes"?>
<Relationships xmlns="http://schemas.openxmlformats.org/package/2006/relationships"><Relationship Id="rId13" Type="http://schemas.openxmlformats.org/officeDocument/2006/relationships/hyperlink" Target="http://snpedia.com/index.php/Rs2267735" TargetMode="External"/><Relationship Id="rId14" Type="http://schemas.openxmlformats.org/officeDocument/2006/relationships/hyperlink" Target="http://snpedia.com/index.php/Rs3818361" TargetMode="External"/><Relationship Id="rId15" Type="http://schemas.openxmlformats.org/officeDocument/2006/relationships/hyperlink" Target="http://snpedia.com/index.php/Rs11136000" TargetMode="External"/><Relationship Id="rId16" Type="http://schemas.openxmlformats.org/officeDocument/2006/relationships/hyperlink" Target="http://snpedia.com/index.php/Rs744373" TargetMode="External"/><Relationship Id="rId17" Type="http://schemas.openxmlformats.org/officeDocument/2006/relationships/hyperlink" Target="http://snpedia.com/index.php/Rs541458" TargetMode="External"/><Relationship Id="rId18" Type="http://schemas.openxmlformats.org/officeDocument/2006/relationships/hyperlink" Target="http://snpedia.com/index.php/Rs3764650" TargetMode="External"/><Relationship Id="rId19" Type="http://schemas.openxmlformats.org/officeDocument/2006/relationships/hyperlink" Target="http://snpedia.com/index.php/Rs670139" TargetMode="External"/><Relationship Id="rId50" Type="http://schemas.openxmlformats.org/officeDocument/2006/relationships/hyperlink" Target="http://snpedia.com/index.php/Rs1390938" TargetMode="External"/><Relationship Id="rId51" Type="http://schemas.openxmlformats.org/officeDocument/2006/relationships/printerSettings" Target="../printerSettings/printerSettings39.bin"/><Relationship Id="rId52" Type="http://schemas.openxmlformats.org/officeDocument/2006/relationships/drawing" Target="../drawings/drawing31.xml"/><Relationship Id="rId53" Type="http://schemas.openxmlformats.org/officeDocument/2006/relationships/vmlDrawing" Target="../drawings/vmlDrawing16.vml"/><Relationship Id="rId54" Type="http://schemas.openxmlformats.org/officeDocument/2006/relationships/comments" Target="../comments16.xml"/><Relationship Id="rId40" Type="http://schemas.openxmlformats.org/officeDocument/2006/relationships/hyperlink" Target="http://snpedia.com/index.php/Rs4680" TargetMode="External"/><Relationship Id="rId41" Type="http://schemas.openxmlformats.org/officeDocument/2006/relationships/hyperlink" Target="http://snpedia.com/index.php/Rs35753505" TargetMode="External"/><Relationship Id="rId42" Type="http://schemas.openxmlformats.org/officeDocument/2006/relationships/hyperlink" Target="http://snpedia.com/index.php/Rs9340799" TargetMode="External"/><Relationship Id="rId43" Type="http://schemas.openxmlformats.org/officeDocument/2006/relationships/hyperlink" Target="http://snpedia.com/index.php/Rs2234693" TargetMode="External"/><Relationship Id="rId44" Type="http://schemas.openxmlformats.org/officeDocument/2006/relationships/hyperlink" Target="http://snpedia.com/index.php/Rs6265" TargetMode="External"/><Relationship Id="rId45" Type="http://schemas.openxmlformats.org/officeDocument/2006/relationships/hyperlink" Target="http://www.ncbi.nlm.nih.gov/projects/SNP/snp_ref.cgi?rs=2270335" TargetMode="External"/><Relationship Id="rId46" Type="http://schemas.openxmlformats.org/officeDocument/2006/relationships/hyperlink" Target="http://snpedia.com/index.php/Rs17070145" TargetMode="External"/><Relationship Id="rId47" Type="http://schemas.openxmlformats.org/officeDocument/2006/relationships/hyperlink" Target="http://snpedia.com/index.php/Rs1625579" TargetMode="External"/><Relationship Id="rId48" Type="http://schemas.openxmlformats.org/officeDocument/2006/relationships/hyperlink" Target="http://snpedia.com/index.php/Rs10748842" TargetMode="External"/><Relationship Id="rId49" Type="http://schemas.openxmlformats.org/officeDocument/2006/relationships/hyperlink" Target="http://snpedia.com/index.php/Rs2281617" TargetMode="External"/><Relationship Id="rId1" Type="http://schemas.openxmlformats.org/officeDocument/2006/relationships/hyperlink" Target="http://snpedia.com/index.php/Rs2268498" TargetMode="External"/><Relationship Id="rId2" Type="http://schemas.openxmlformats.org/officeDocument/2006/relationships/hyperlink" Target="http://snpedia.com/index.php/Rs4564970" TargetMode="External"/><Relationship Id="rId3" Type="http://schemas.openxmlformats.org/officeDocument/2006/relationships/hyperlink" Target="http://snpedia.com/index.php/Rs53576" TargetMode="External"/><Relationship Id="rId4" Type="http://schemas.openxmlformats.org/officeDocument/2006/relationships/hyperlink" Target="http://snpedia.com/index.php/Rs2254298" TargetMode="External"/><Relationship Id="rId5" Type="http://schemas.openxmlformats.org/officeDocument/2006/relationships/hyperlink" Target="http://snpedia.com/index.php/Rs237887" TargetMode="External"/><Relationship Id="rId6" Type="http://schemas.openxmlformats.org/officeDocument/2006/relationships/hyperlink" Target="http://snpedia.com/index.php/Rs1042778" TargetMode="External"/><Relationship Id="rId7" Type="http://schemas.openxmlformats.org/officeDocument/2006/relationships/hyperlink" Target="http://snpedia.com/index.php/Rs7632287" TargetMode="External"/><Relationship Id="rId8" Type="http://schemas.openxmlformats.org/officeDocument/2006/relationships/hyperlink" Target="http://snpedia.com/index.php/Rs1800955" TargetMode="External"/><Relationship Id="rId9" Type="http://schemas.openxmlformats.org/officeDocument/2006/relationships/hyperlink" Target="http://www.ncbi.nlm.nih.gov/projects/SNP/snp_ref.cgi?rs=12720364" TargetMode="External"/><Relationship Id="rId30" Type="http://schemas.openxmlformats.org/officeDocument/2006/relationships/hyperlink" Target="http://snpedia.com/index.php/Rs4680" TargetMode="External"/><Relationship Id="rId31" Type="http://schemas.openxmlformats.org/officeDocument/2006/relationships/hyperlink" Target="http://snpedia.com/index.php/Rs1990622" TargetMode="External"/><Relationship Id="rId32" Type="http://schemas.openxmlformats.org/officeDocument/2006/relationships/hyperlink" Target="http://snpedia.com/index.php/Rs1229984" TargetMode="External"/><Relationship Id="rId33" Type="http://schemas.openxmlformats.org/officeDocument/2006/relationships/hyperlink" Target="http://snpedia.com/index.php/Rs13273672" TargetMode="External"/><Relationship Id="rId34" Type="http://schemas.openxmlformats.org/officeDocument/2006/relationships/hyperlink" Target="http://snpedia.com/index.php/Rs11136000" TargetMode="External"/><Relationship Id="rId35" Type="http://schemas.openxmlformats.org/officeDocument/2006/relationships/hyperlink" Target="http://snpedia.com/index.php/Rs1532278" TargetMode="External"/><Relationship Id="rId36" Type="http://schemas.openxmlformats.org/officeDocument/2006/relationships/hyperlink" Target="http://snpedia.com/index.php/Rs821616" TargetMode="External"/><Relationship Id="rId37" Type="http://schemas.openxmlformats.org/officeDocument/2006/relationships/hyperlink" Target="http://snpedia.com/index.php/Rs6675281" TargetMode="External"/><Relationship Id="rId38" Type="http://schemas.openxmlformats.org/officeDocument/2006/relationships/hyperlink" Target="http://snpedia.com/index.php/Rs4680" TargetMode="External"/><Relationship Id="rId39" Type="http://schemas.openxmlformats.org/officeDocument/2006/relationships/hyperlink" Target="http://snpedia.com/index.php/Rs6994992" TargetMode="External"/><Relationship Id="rId20" Type="http://schemas.openxmlformats.org/officeDocument/2006/relationships/hyperlink" Target="http://snpedia.com/index.php/Rs3865444" TargetMode="External"/><Relationship Id="rId21" Type="http://schemas.openxmlformats.org/officeDocument/2006/relationships/hyperlink" Target="http://snpedia.com/index.php/Rs610932" TargetMode="External"/><Relationship Id="rId22" Type="http://schemas.openxmlformats.org/officeDocument/2006/relationships/hyperlink" Target="http://www.ncbi.nlm.nih.gov/snp" TargetMode="External"/><Relationship Id="rId23" Type="http://schemas.openxmlformats.org/officeDocument/2006/relationships/hyperlink" Target="http://snpedia.com/index.php/Rs1800497" TargetMode="External"/><Relationship Id="rId24" Type="http://schemas.openxmlformats.org/officeDocument/2006/relationships/hyperlink" Target="http://snpedia.com/index.php/Rs7294919" TargetMode="External"/><Relationship Id="rId25" Type="http://schemas.openxmlformats.org/officeDocument/2006/relationships/hyperlink" Target="http://www.ncbi.nlm.nih.gov/gene/1815" TargetMode="External"/><Relationship Id="rId26" Type="http://schemas.openxmlformats.org/officeDocument/2006/relationships/hyperlink" Target="http://www.ncbi.nlm.nih.gov/projects/SNP/snp_ref.cgi?rs=10875995" TargetMode="External"/><Relationship Id="rId27" Type="http://schemas.openxmlformats.org/officeDocument/2006/relationships/hyperlink" Target="http://snpedia.com/index.php/Rs685012" TargetMode="External"/><Relationship Id="rId28" Type="http://schemas.openxmlformats.org/officeDocument/2006/relationships/hyperlink" Target="http://snpedia.com/index.php/Rs6277" TargetMode="External"/><Relationship Id="rId29" Type="http://schemas.openxmlformats.org/officeDocument/2006/relationships/hyperlink" Target="http://snpedia.com/index.php/Rs1006737" TargetMode="External"/><Relationship Id="rId10" Type="http://schemas.openxmlformats.org/officeDocument/2006/relationships/hyperlink" Target="http://snpedia.com/index.php/Rs4680" TargetMode="External"/><Relationship Id="rId11" Type="http://schemas.openxmlformats.org/officeDocument/2006/relationships/hyperlink" Target="http://snpedia.com/index.php/Rs4680" TargetMode="External"/><Relationship Id="rId12" Type="http://schemas.openxmlformats.org/officeDocument/2006/relationships/hyperlink" Target="http://snpedia.com/index.php/Rs907094" TargetMode="External"/></Relationships>
</file>

<file path=xl/worksheets/_rels/sheet43.xml.rels><?xml version="1.0" encoding="UTF-8" standalone="yes"?>
<Relationships xmlns="http://schemas.openxmlformats.org/package/2006/relationships"><Relationship Id="rId11" Type="http://schemas.openxmlformats.org/officeDocument/2006/relationships/hyperlink" Target="http://snpedia.com/index.php/Rs4680" TargetMode="External"/><Relationship Id="rId12" Type="http://schemas.openxmlformats.org/officeDocument/2006/relationships/hyperlink" Target="http://snpedia.com/index.php/Rs907094" TargetMode="External"/><Relationship Id="rId13" Type="http://schemas.openxmlformats.org/officeDocument/2006/relationships/hyperlink" Target="http://snpedia.com/index.php/Rs2267735" TargetMode="External"/><Relationship Id="rId14" Type="http://schemas.openxmlformats.org/officeDocument/2006/relationships/printerSettings" Target="../printerSettings/printerSettings40.bin"/><Relationship Id="rId15" Type="http://schemas.openxmlformats.org/officeDocument/2006/relationships/vmlDrawing" Target="../drawings/vmlDrawing17.vml"/><Relationship Id="rId16" Type="http://schemas.openxmlformats.org/officeDocument/2006/relationships/comments" Target="../comments17.xml"/><Relationship Id="rId1" Type="http://schemas.openxmlformats.org/officeDocument/2006/relationships/hyperlink" Target="http://snpedia.com/index.php/Rs2268498" TargetMode="External"/><Relationship Id="rId2" Type="http://schemas.openxmlformats.org/officeDocument/2006/relationships/hyperlink" Target="http://snpedia.com/index.php/Rs4564970" TargetMode="External"/><Relationship Id="rId3" Type="http://schemas.openxmlformats.org/officeDocument/2006/relationships/hyperlink" Target="http://snpedia.com/index.php/Rs53576" TargetMode="External"/><Relationship Id="rId4" Type="http://schemas.openxmlformats.org/officeDocument/2006/relationships/hyperlink" Target="http://snpedia.com/index.php/Rs2254298" TargetMode="External"/><Relationship Id="rId5" Type="http://schemas.openxmlformats.org/officeDocument/2006/relationships/hyperlink" Target="http://snpedia.com/index.php/Rs237887" TargetMode="External"/><Relationship Id="rId6" Type="http://schemas.openxmlformats.org/officeDocument/2006/relationships/hyperlink" Target="http://snpedia.com/index.php/Rs1042778" TargetMode="External"/><Relationship Id="rId7" Type="http://schemas.openxmlformats.org/officeDocument/2006/relationships/hyperlink" Target="http://snpedia.com/index.php/Rs7632287" TargetMode="External"/><Relationship Id="rId8" Type="http://schemas.openxmlformats.org/officeDocument/2006/relationships/hyperlink" Target="http://snpedia.com/index.php/Rs1800955" TargetMode="External"/><Relationship Id="rId9" Type="http://schemas.openxmlformats.org/officeDocument/2006/relationships/hyperlink" Target="http://www.ncbi.nlm.nih.gov/projects/SNP/snp_ref.cgi?rs=12720364" TargetMode="External"/><Relationship Id="rId10" Type="http://schemas.openxmlformats.org/officeDocument/2006/relationships/hyperlink" Target="http://snpedia.com/index.php/Rs4680" TargetMode="Externa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1.bin"/><Relationship Id="rId2" Type="http://schemas.openxmlformats.org/officeDocument/2006/relationships/drawing" Target="../drawings/drawing3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zoomScale="90" zoomScaleNormal="90" zoomScalePageLayoutView="90" workbookViewId="0">
      <pane xSplit="1" ySplit="1" topLeftCell="B2" activePane="bottomRight" state="frozen"/>
      <selection pane="topRight" activeCell="B1" sqref="B1"/>
      <selection pane="bottomLeft" activeCell="A2" sqref="A2"/>
      <selection pane="bottomRight" activeCell="E27" sqref="E27"/>
    </sheetView>
  </sheetViews>
  <sheetFormatPr baseColWidth="10" defaultColWidth="8.83203125" defaultRowHeight="15" x14ac:dyDescent="0.2"/>
  <cols>
    <col min="1" max="1" width="11.33203125" style="34" customWidth="1"/>
    <col min="2" max="2" width="28.5" style="34" customWidth="1"/>
    <col min="3" max="3" width="38.5" style="34" customWidth="1"/>
    <col min="4" max="4" width="19.1640625" style="34" customWidth="1"/>
    <col min="5" max="5" width="30.33203125" customWidth="1"/>
  </cols>
  <sheetData>
    <row r="1" spans="1:6" s="219" customFormat="1" ht="60" x14ac:dyDescent="0.2">
      <c r="A1" s="220" t="s">
        <v>2255</v>
      </c>
      <c r="B1" s="220" t="s">
        <v>2254</v>
      </c>
      <c r="C1" s="220" t="s">
        <v>2253</v>
      </c>
      <c r="D1" s="220" t="s">
        <v>2252</v>
      </c>
    </row>
    <row r="2" spans="1:6" s="82" customFormat="1" ht="30" x14ac:dyDescent="0.15">
      <c r="A2" s="34">
        <v>1</v>
      </c>
      <c r="B2" s="34" t="s">
        <v>1631</v>
      </c>
      <c r="C2" s="211" t="str">
        <f>overview_1!$B$48</f>
        <v>04/10/2016 by Lars Westberg - see comments re multiple comparisons</v>
      </c>
      <c r="D2" s="210">
        <v>2</v>
      </c>
      <c r="E2" s="213" t="s">
        <v>2251</v>
      </c>
      <c r="F2" s="82" t="s">
        <v>2250</v>
      </c>
    </row>
    <row r="3" spans="1:6" ht="30" x14ac:dyDescent="0.2">
      <c r="A3" s="34">
        <v>2</v>
      </c>
      <c r="B3" s="34" t="s">
        <v>1634</v>
      </c>
      <c r="C3" s="211" t="str">
        <f>overview_2!$B$48</f>
        <v>27th September 2016, Travis Baker, noted errors that we have since corrected</v>
      </c>
      <c r="D3" s="210">
        <v>2</v>
      </c>
      <c r="E3" s="215" t="s">
        <v>2249</v>
      </c>
      <c r="F3" t="s">
        <v>2248</v>
      </c>
    </row>
    <row r="4" spans="1:6" ht="48.75" customHeight="1" x14ac:dyDescent="0.2">
      <c r="A4" s="34">
        <v>3</v>
      </c>
      <c r="B4" s="211" t="s">
        <v>1636</v>
      </c>
      <c r="C4" s="211" t="str">
        <f>overview_3!$B$48</f>
        <v>27/09/2016 - replies from both Frank and Doll, queries about what we included and sent further references</v>
      </c>
      <c r="D4" s="210">
        <v>2</v>
      </c>
      <c r="E4" s="215" t="s">
        <v>2247</v>
      </c>
      <c r="F4" t="s">
        <v>2246</v>
      </c>
    </row>
    <row r="5" spans="1:6" x14ac:dyDescent="0.2">
      <c r="A5" s="34">
        <v>4</v>
      </c>
      <c r="B5" s="211" t="s">
        <v>1638</v>
      </c>
      <c r="C5" s="211">
        <f>overview_4!$B$48</f>
        <v>42685</v>
      </c>
      <c r="D5" s="210">
        <v>2</v>
      </c>
      <c r="E5" s="212" t="s">
        <v>2245</v>
      </c>
    </row>
    <row r="6" spans="1:6" ht="16" x14ac:dyDescent="0.2">
      <c r="A6" s="34">
        <v>5</v>
      </c>
      <c r="B6" s="211" t="s">
        <v>1642</v>
      </c>
      <c r="C6" s="211" t="str">
        <f>overview_5!$B$48</f>
        <v>14/10/16 Jackie Yang</v>
      </c>
      <c r="D6" s="210">
        <v>2</v>
      </c>
      <c r="E6" s="218" t="s">
        <v>2244</v>
      </c>
    </row>
    <row r="7" spans="1:6" ht="30" x14ac:dyDescent="0.2">
      <c r="A7" s="34">
        <v>6</v>
      </c>
      <c r="B7" s="211" t="s">
        <v>2409</v>
      </c>
      <c r="C7" s="211" t="str">
        <f>overview_6!$B$48</f>
        <v>6/2/17- found errors in coding ; sent corrected data</v>
      </c>
      <c r="D7" s="210">
        <v>2</v>
      </c>
      <c r="E7" s="215" t="s">
        <v>2243</v>
      </c>
    </row>
    <row r="8" spans="1:6" ht="22" x14ac:dyDescent="0.2">
      <c r="A8" s="34">
        <v>7</v>
      </c>
      <c r="B8" s="211" t="s">
        <v>1779</v>
      </c>
      <c r="C8" s="211">
        <f>overview_7!$B$48</f>
        <v>0</v>
      </c>
      <c r="D8" s="210">
        <v>0</v>
      </c>
      <c r="E8" s="217" t="s">
        <v>2242</v>
      </c>
    </row>
    <row r="9" spans="1:6" ht="22" x14ac:dyDescent="0.2">
      <c r="A9" s="34">
        <v>8</v>
      </c>
      <c r="B9" s="211" t="s">
        <v>1780</v>
      </c>
      <c r="C9" s="211">
        <f>overview_8!$B$48</f>
        <v>0</v>
      </c>
      <c r="D9" s="210">
        <v>0</v>
      </c>
      <c r="E9" s="216" t="s">
        <v>2241</v>
      </c>
    </row>
    <row r="10" spans="1:6" ht="30" x14ac:dyDescent="0.2">
      <c r="A10" s="34">
        <v>9</v>
      </c>
      <c r="B10" s="211" t="s">
        <v>1481</v>
      </c>
      <c r="C10" s="211" t="str">
        <f>overview_9!$B$48</f>
        <v>3/10/16 Samantha Gardener, did some edits to template (in red above) and also commented</v>
      </c>
      <c r="D10" s="210">
        <v>2</v>
      </c>
      <c r="E10" s="215" t="s">
        <v>2240</v>
      </c>
    </row>
    <row r="11" spans="1:6" ht="24.75" customHeight="1" x14ac:dyDescent="0.2">
      <c r="A11" s="34">
        <v>10</v>
      </c>
      <c r="B11" s="211" t="s">
        <v>1481</v>
      </c>
      <c r="C11" s="211" t="str">
        <f>overview_10!$B$48</f>
        <v xml:space="preserve">10/10/16 Sun: </v>
      </c>
      <c r="D11" s="210">
        <v>2</v>
      </c>
      <c r="E11" s="215" t="s">
        <v>2239</v>
      </c>
    </row>
    <row r="12" spans="1:6" x14ac:dyDescent="0.2">
      <c r="A12" s="34">
        <v>11</v>
      </c>
      <c r="B12" s="211" t="s">
        <v>1478</v>
      </c>
      <c r="C12" s="211" t="str">
        <f>overview_11!$B$48</f>
        <v xml:space="preserve">see email from Dannlowski, 1/10/16; </v>
      </c>
      <c r="D12" s="210">
        <v>2</v>
      </c>
      <c r="E12" s="212" t="s">
        <v>2238</v>
      </c>
    </row>
    <row r="13" spans="1:6" x14ac:dyDescent="0.2">
      <c r="A13" s="34">
        <v>12</v>
      </c>
      <c r="B13" s="211" t="s">
        <v>1781</v>
      </c>
      <c r="C13" s="211">
        <f>overview_12!$B$48</f>
        <v>0</v>
      </c>
      <c r="D13" s="210">
        <v>0</v>
      </c>
      <c r="E13" s="213" t="s">
        <v>2237</v>
      </c>
    </row>
    <row r="14" spans="1:6" x14ac:dyDescent="0.2">
      <c r="A14" s="34">
        <v>13</v>
      </c>
      <c r="B14" s="211" t="s">
        <v>1782</v>
      </c>
      <c r="C14" s="211">
        <f>overview_13!$B$48</f>
        <v>0</v>
      </c>
      <c r="D14" s="210">
        <v>0</v>
      </c>
      <c r="E14" s="212" t="s">
        <v>2236</v>
      </c>
    </row>
    <row r="15" spans="1:6" x14ac:dyDescent="0.2">
      <c r="A15" s="34">
        <v>14</v>
      </c>
      <c r="B15" s="211" t="s">
        <v>1783</v>
      </c>
      <c r="C15" s="211">
        <f>overview_14!$B$48</f>
        <v>42674</v>
      </c>
      <c r="D15" s="210">
        <v>2</v>
      </c>
      <c r="E15" s="212" t="s">
        <v>2235</v>
      </c>
    </row>
    <row r="16" spans="1:6" x14ac:dyDescent="0.2">
      <c r="A16" s="34">
        <v>15</v>
      </c>
      <c r="B16" s="211" t="s">
        <v>1479</v>
      </c>
      <c r="C16" s="211">
        <f>overview_15!$B$48</f>
        <v>42667</v>
      </c>
      <c r="D16" s="210">
        <v>2</v>
      </c>
      <c r="E16" t="s">
        <v>2234</v>
      </c>
    </row>
    <row r="17" spans="1:6" x14ac:dyDescent="0.2">
      <c r="A17" s="34">
        <v>16</v>
      </c>
      <c r="B17" s="211" t="s">
        <v>1479</v>
      </c>
      <c r="C17" s="211" t="str">
        <f>overview_16!$B$48</f>
        <v>1/10/16. confirmed template accurate</v>
      </c>
      <c r="D17" s="210">
        <v>2</v>
      </c>
      <c r="E17" s="213" t="s">
        <v>2233</v>
      </c>
    </row>
    <row r="18" spans="1:6" x14ac:dyDescent="0.2">
      <c r="A18" s="34">
        <v>17</v>
      </c>
      <c r="B18" s="211" t="s">
        <v>1479</v>
      </c>
      <c r="C18" s="211">
        <f>overview_17!$B$48</f>
        <v>42644</v>
      </c>
      <c r="D18" s="210">
        <v>2</v>
      </c>
      <c r="E18" t="s">
        <v>2232</v>
      </c>
    </row>
    <row r="19" spans="1:6" x14ac:dyDescent="0.2">
      <c r="A19" s="34">
        <v>18</v>
      </c>
      <c r="B19" s="211" t="s">
        <v>1536</v>
      </c>
      <c r="C19" s="211" t="str">
        <f>overview_18!$B$48</f>
        <v>4/10/16, author Schuman responded all OK</v>
      </c>
      <c r="D19" s="210">
        <v>2</v>
      </c>
      <c r="E19" s="215" t="s">
        <v>2231</v>
      </c>
    </row>
    <row r="20" spans="1:6" x14ac:dyDescent="0.2">
      <c r="A20" s="34">
        <v>19</v>
      </c>
      <c r="B20" s="211" t="s">
        <v>1536</v>
      </c>
      <c r="C20" s="211" t="str">
        <f>overview_19!$B$48</f>
        <v>4/10/16 Julie Blendy replied all OK</v>
      </c>
      <c r="D20" s="210">
        <v>2</v>
      </c>
      <c r="E20" t="s">
        <v>2230</v>
      </c>
    </row>
    <row r="21" spans="1:6" x14ac:dyDescent="0.2">
      <c r="A21" s="34">
        <v>20</v>
      </c>
      <c r="B21" s="211" t="s">
        <v>1536</v>
      </c>
      <c r="C21" s="211">
        <f>overview_20!$B$48</f>
        <v>42655</v>
      </c>
      <c r="D21" s="210">
        <v>2</v>
      </c>
      <c r="E21" s="213" t="s">
        <v>2229</v>
      </c>
    </row>
    <row r="22" spans="1:6" ht="30" x14ac:dyDescent="0.2">
      <c r="A22" s="34">
        <v>21</v>
      </c>
      <c r="B22" s="211" t="s">
        <v>1536</v>
      </c>
      <c r="C22" s="211" t="str">
        <f>overview_21!$B$48</f>
        <v>5/10/16 Stephen Weigand, added red material above</v>
      </c>
      <c r="D22" s="210">
        <v>2</v>
      </c>
      <c r="E22" t="s">
        <v>2228</v>
      </c>
    </row>
    <row r="23" spans="1:6" ht="60" x14ac:dyDescent="0.2">
      <c r="A23" s="34">
        <v>22</v>
      </c>
      <c r="B23" s="211" t="s">
        <v>1785</v>
      </c>
      <c r="C23" s="211" t="str">
        <f>overview_22!$B$48</f>
        <v>reply to email 2:Thank you for the reminder. I will check the summary you sent and send you any corrections or clarifications I have early next week.</v>
      </c>
      <c r="D23" s="210">
        <v>1</v>
      </c>
      <c r="E23" s="212" t="s">
        <v>2227</v>
      </c>
    </row>
    <row r="24" spans="1:6" ht="45" x14ac:dyDescent="0.2">
      <c r="A24" s="34">
        <v>23</v>
      </c>
      <c r="B24" s="211" t="s">
        <v>1572</v>
      </c>
      <c r="C24" s="211" t="str">
        <f>overview_23!$B$48</f>
        <v>14/10/16 Mattay replied with some queries</v>
      </c>
      <c r="D24" s="210">
        <v>1</v>
      </c>
      <c r="E24" s="213" t="s">
        <v>2226</v>
      </c>
    </row>
    <row r="25" spans="1:6" ht="30" x14ac:dyDescent="0.2">
      <c r="A25" s="34">
        <v>24</v>
      </c>
      <c r="B25" s="211" t="s">
        <v>1787</v>
      </c>
      <c r="C25" s="211" t="str">
        <f>overview_24!$B$48</f>
        <v xml:space="preserve">27/10 Weinberger: We are working on this…back to you soon. </v>
      </c>
      <c r="D25" s="210">
        <v>1</v>
      </c>
      <c r="E25" s="212" t="s">
        <v>2225</v>
      </c>
    </row>
    <row r="26" spans="1:6" x14ac:dyDescent="0.2">
      <c r="A26" s="34">
        <v>25</v>
      </c>
      <c r="B26" s="211" t="s">
        <v>1788</v>
      </c>
      <c r="C26" s="211" t="str">
        <f>overview_25!$B$48</f>
        <v>no reply</v>
      </c>
      <c r="D26" s="210">
        <v>0</v>
      </c>
      <c r="E26" s="209" t="s">
        <v>2224</v>
      </c>
      <c r="F26" t="s">
        <v>2223</v>
      </c>
    </row>
    <row r="27" spans="1:6" ht="49" customHeight="1" x14ac:dyDescent="0.2">
      <c r="A27" s="34">
        <v>26</v>
      </c>
      <c r="B27" s="211" t="s">
        <v>2410</v>
      </c>
      <c r="C27" s="211">
        <f>overview_26!$B$48</f>
        <v>42655</v>
      </c>
      <c r="D27" s="210">
        <v>2</v>
      </c>
      <c r="E27" s="214" t="s">
        <v>2222</v>
      </c>
    </row>
    <row r="28" spans="1:6" ht="60" x14ac:dyDescent="0.2">
      <c r="A28" s="34">
        <v>27</v>
      </c>
      <c r="B28" s="211" t="s">
        <v>2411</v>
      </c>
      <c r="C28" s="211" t="str">
        <f>overview_27!$B$48</f>
        <v>Farmer: . The data from the paper looks fine although we did not correct for multiple testing as we only assayed 5-HTTLPR._x000D_</v>
      </c>
      <c r="D28" s="210">
        <v>2</v>
      </c>
      <c r="E28" s="212" t="s">
        <v>2221</v>
      </c>
    </row>
    <row r="29" spans="1:6" x14ac:dyDescent="0.2">
      <c r="A29" s="34">
        <v>28</v>
      </c>
      <c r="B29" s="211" t="s">
        <v>2412</v>
      </c>
      <c r="C29" s="211" t="str">
        <f>overview_28!$B$48</f>
        <v>acknowledgement from last au on 29.10.16</v>
      </c>
      <c r="D29" s="210">
        <v>1</v>
      </c>
      <c r="E29" s="213" t="s">
        <v>2220</v>
      </c>
    </row>
    <row r="30" spans="1:6" x14ac:dyDescent="0.2">
      <c r="A30" s="34">
        <v>29</v>
      </c>
      <c r="B30" s="211" t="s">
        <v>2413</v>
      </c>
      <c r="C30" s="211" t="str">
        <f>overview_29!$B$48</f>
        <v>no reply</v>
      </c>
      <c r="D30" s="210">
        <v>0</v>
      </c>
      <c r="E30" s="212" t="s">
        <v>2219</v>
      </c>
    </row>
    <row r="31" spans="1:6" x14ac:dyDescent="0.2">
      <c r="A31" s="34">
        <v>30</v>
      </c>
      <c r="B31" s="211" t="s">
        <v>1752</v>
      </c>
      <c r="C31" s="211">
        <f>overview_30!$B$48</f>
        <v>0</v>
      </c>
      <c r="D31" s="210">
        <v>0</v>
      </c>
      <c r="E31" s="209" t="s">
        <v>2218</v>
      </c>
    </row>
    <row r="34" spans="3:4" x14ac:dyDescent="0.2">
      <c r="C34" s="34">
        <v>0</v>
      </c>
      <c r="D34" s="34">
        <f>COUNTIF(D$2:D$31,"="&amp;C34)</f>
        <v>7</v>
      </c>
    </row>
    <row r="35" spans="3:4" x14ac:dyDescent="0.2">
      <c r="C35" s="34">
        <v>1</v>
      </c>
      <c r="D35" s="34">
        <f>COUNTIF(D$2:D$31,"="&amp;C35)</f>
        <v>4</v>
      </c>
    </row>
    <row r="36" spans="3:4" x14ac:dyDescent="0.2">
      <c r="C36" s="34">
        <v>2</v>
      </c>
      <c r="D36" s="34">
        <f>COUNTIF(D$2:D$31,"="&amp;C36)</f>
        <v>19</v>
      </c>
    </row>
    <row r="37" spans="3:4" x14ac:dyDescent="0.2">
      <c r="C37" s="34">
        <v>3</v>
      </c>
      <c r="D37" s="34">
        <f>COUNTIF(D$2:D$31,"="&amp;C37)</f>
        <v>0</v>
      </c>
    </row>
  </sheetData>
  <hyperlinks>
    <hyperlink ref="E3" r:id="rId1"/>
    <hyperlink ref="E4" r:id="rId2" display="https://owa.nexus.ox.ac.uk/owa/redir.aspx?SURL=71_LOSB5zNWS1PbgMDY4MiC3HNWmo75gToyms-57_l8ay3BejP7TCG0AYQBpAGwAdABvADoATQBpAGMAaABhAGUAbABfAEYAcgBhAG4AawBAAGIAcgBvAHcAbgAuAGUAZAB1AA..&amp;URL=mailto%3aMichael_Frank%40brown.edu"/>
    <hyperlink ref="E7" r:id="rId3"/>
    <hyperlink ref="E10" r:id="rId4"/>
    <hyperlink ref="E11" r:id="rId5"/>
    <hyperlink ref="E19" r:id="rId6"/>
  </hyperlinks>
  <pageMargins left="0.7" right="0.7" top="0.75" bottom="0.75" header="0.3" footer="0.3"/>
  <pageSetup paperSize="9" orientation="portrait" horizontalDpi="0" verticalDpi="0" r:id="rId7"/>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249977111117893"/>
  </sheetPr>
  <dimension ref="A1:M48"/>
  <sheetViews>
    <sheetView zoomScale="110" zoomScaleNormal="110" zoomScalePageLayoutView="110" workbookViewId="0">
      <pane xSplit="1" ySplit="1" topLeftCell="B33"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3" max="3" width="11.1640625" customWidth="1"/>
    <col min="4" max="4" width="14.33203125" customWidth="1"/>
    <col min="5" max="5" width="9.83203125" customWidth="1"/>
    <col min="6" max="6" width="7.5" customWidth="1"/>
    <col min="7" max="7" width="10.83203125" customWidth="1"/>
    <col min="8" max="8" width="9.5" bestFit="1" customWidth="1"/>
  </cols>
  <sheetData>
    <row r="1" spans="1:13" s="58" customFormat="1" x14ac:dyDescent="0.2">
      <c r="A1" s="63" t="s">
        <v>1360</v>
      </c>
      <c r="B1" s="57">
        <v>29</v>
      </c>
      <c r="D1" s="52" t="s">
        <v>1851</v>
      </c>
      <c r="E1" s="52"/>
      <c r="F1" s="52"/>
      <c r="G1" s="52"/>
      <c r="H1" s="52"/>
      <c r="I1" s="52"/>
      <c r="J1" s="52"/>
      <c r="K1" s="52"/>
      <c r="L1" s="52"/>
      <c r="M1" s="52"/>
    </row>
    <row r="2" spans="1:13" ht="81" customHeight="1" x14ac:dyDescent="0.2">
      <c r="A2" s="34" t="s">
        <v>1321</v>
      </c>
      <c r="B2" s="33" t="str">
        <f ca="1">INDIRECT("main!"&amp;"C"&amp;B$1+2)</f>
        <v>Gunduz-Cinar, O.; MacPherson, K. P.; Cinar, R.; Gamble-George, J.; Sugden, K.; Williams, B.; Godlewski, G.; Ramikie, T. S.; Gorka, A. X.; Alapafuja, S. O.; Nikas, S. P.; Makriyannis, A.; Poulton, R.; Patel, S.; Hariri, A. R.; Caspi, A.; Moffitt, T. E.; Kunos, G.; Holmes, A.</v>
      </c>
      <c r="D2" s="73" t="s">
        <v>1537</v>
      </c>
      <c r="E2" s="53"/>
      <c r="F2" s="53"/>
      <c r="G2" s="53"/>
      <c r="H2" s="53"/>
      <c r="I2" s="53" t="s">
        <v>1382</v>
      </c>
      <c r="J2" s="53"/>
      <c r="K2" s="53"/>
      <c r="L2" s="53"/>
      <c r="M2" s="53"/>
    </row>
    <row r="3" spans="1:13" ht="33.75" customHeight="1" x14ac:dyDescent="0.2">
      <c r="A3" s="34" t="s">
        <v>1322</v>
      </c>
      <c r="B3" s="33" t="str">
        <f ca="1">INDIRECT("main!"&amp;"D"&amp;B$1+2)</f>
        <v>Convergent translational evidence of a role for anandamide in amygdala-mediated fear extinction, threat processing and stress-reactivity</v>
      </c>
      <c r="D3" s="53" t="s">
        <v>1395</v>
      </c>
      <c r="E3" s="53" t="s">
        <v>1366</v>
      </c>
      <c r="F3" s="53" t="s">
        <v>1367</v>
      </c>
      <c r="G3" s="53" t="s">
        <v>1368</v>
      </c>
      <c r="H3" s="54" t="s">
        <v>0</v>
      </c>
      <c r="I3" t="s">
        <v>1369</v>
      </c>
      <c r="J3" t="s">
        <v>1370</v>
      </c>
      <c r="K3" s="53" t="s">
        <v>1371</v>
      </c>
      <c r="L3" s="54" t="s">
        <v>1372</v>
      </c>
      <c r="M3" s="54" t="s">
        <v>1373</v>
      </c>
    </row>
    <row r="4" spans="1:13" x14ac:dyDescent="0.2">
      <c r="A4" s="34" t="s">
        <v>1324</v>
      </c>
      <c r="B4" s="33" t="str">
        <f ca="1">INDIRECT("main!"&amp;"J"&amp;B$1+2)</f>
        <v>10.1038/mp.2012.72</v>
      </c>
      <c r="C4" s="33"/>
      <c r="D4" t="s">
        <v>1361</v>
      </c>
      <c r="E4" s="55">
        <v>0</v>
      </c>
      <c r="F4">
        <v>7.0000000000000007E-2</v>
      </c>
      <c r="G4">
        <f>0.04*SQRT(50)</f>
        <v>0.28284271247461901</v>
      </c>
      <c r="H4" s="55">
        <v>50</v>
      </c>
      <c r="I4">
        <f>H4*F4</f>
        <v>3.5000000000000004</v>
      </c>
      <c r="J4">
        <f>(H4*(H4-1)*G4^2+I4^2)/H4</f>
        <v>4.165</v>
      </c>
      <c r="K4" s="53">
        <f>E4*I4</f>
        <v>0</v>
      </c>
      <c r="L4" s="53">
        <f>E4*H4</f>
        <v>0</v>
      </c>
      <c r="M4" s="53">
        <f>E4^2*H4</f>
        <v>0</v>
      </c>
    </row>
    <row r="5" spans="1:13" ht="60" customHeight="1" x14ac:dyDescent="0.2">
      <c r="A5" s="34" t="s">
        <v>1327</v>
      </c>
      <c r="B5" s="33" t="str">
        <f ca="1">INDIRECT("main!"&amp;"M"&amp;B$1+2)</f>
        <v>From the Adult Health and Behavior (AHAB) Study, which investigates a variety of behavioral and biological traits among non-patient, middle-aged community volunteers. Restricted to Caucasian participants,  mean age 44.70±6.49 years).</v>
      </c>
      <c r="D5" t="s">
        <v>1619</v>
      </c>
      <c r="E5" s="55">
        <v>1</v>
      </c>
      <c r="F5">
        <v>0.29499999999999998</v>
      </c>
      <c r="G5">
        <f>0.04*SQRT(H5)</f>
        <v>0.22271057451320087</v>
      </c>
      <c r="H5" s="55">
        <v>31</v>
      </c>
      <c r="I5">
        <f t="shared" ref="I5" si="0">H5*F5</f>
        <v>9.1449999999999996</v>
      </c>
      <c r="J5">
        <f t="shared" ref="J5" si="1">(H5*(H5-1)*G5^2+I5^2)/H5</f>
        <v>4.1857749999999996</v>
      </c>
      <c r="K5" s="53">
        <f t="shared" ref="K5" si="2">E5*I5</f>
        <v>9.1449999999999996</v>
      </c>
      <c r="L5" s="53">
        <f t="shared" ref="L5" si="3">E5*H5</f>
        <v>31</v>
      </c>
      <c r="M5" s="53">
        <f t="shared" ref="M5" si="4">E5^2*H5</f>
        <v>31</v>
      </c>
    </row>
    <row r="6" spans="1:13" x14ac:dyDescent="0.2">
      <c r="A6" s="34" t="s">
        <v>1333</v>
      </c>
      <c r="B6" s="33" t="str">
        <f ca="1">INDIRECT("main!"&amp;"L"&amp;B$1+2)</f>
        <v>N = 91 for imaging genetics; 975 for personality study</v>
      </c>
      <c r="D6" s="54" t="s">
        <v>1621</v>
      </c>
      <c r="E6" s="55"/>
      <c r="H6" s="55"/>
      <c r="I6" s="55"/>
      <c r="J6" s="55"/>
      <c r="K6" s="55"/>
      <c r="L6" s="55"/>
      <c r="M6" s="55"/>
    </row>
    <row r="7" spans="1:13" x14ac:dyDescent="0.2">
      <c r="A7" s="34" t="s">
        <v>1903</v>
      </c>
      <c r="B7" s="33">
        <v>1</v>
      </c>
      <c r="D7" s="54"/>
      <c r="E7" s="55"/>
      <c r="H7" s="55"/>
      <c r="I7" s="55"/>
      <c r="J7" s="55"/>
      <c r="K7" s="55"/>
      <c r="L7" s="55"/>
      <c r="M7" s="55"/>
    </row>
    <row r="8" spans="1:13" ht="20.25" customHeight="1" x14ac:dyDescent="0.2">
      <c r="A8" s="34" t="s">
        <v>343</v>
      </c>
      <c r="B8" s="33" t="str">
        <f ca="1">INDIRECT("main!"&amp;"q"&amp;B$1+2)</f>
        <v>fatty acid amide hydrolase: FAAH</v>
      </c>
      <c r="D8" s="54"/>
      <c r="E8" s="55" t="s">
        <v>1374</v>
      </c>
      <c r="F8" s="55"/>
      <c r="G8" s="55"/>
      <c r="H8" s="55">
        <f>SUM(H4:H6)</f>
        <v>81</v>
      </c>
      <c r="I8" s="55">
        <f>SUM(I4:I6)</f>
        <v>12.645</v>
      </c>
      <c r="J8" s="55">
        <f t="shared" ref="J8:M8" si="5">SUM(J4:J6)</f>
        <v>8.3507749999999987</v>
      </c>
      <c r="K8" s="55">
        <f t="shared" si="5"/>
        <v>9.1449999999999996</v>
      </c>
      <c r="L8" s="55">
        <f t="shared" si="5"/>
        <v>31</v>
      </c>
      <c r="M8" s="55">
        <f t="shared" si="5"/>
        <v>31</v>
      </c>
    </row>
    <row r="9" spans="1:13" ht="34.5" customHeight="1" x14ac:dyDescent="0.2">
      <c r="A9" s="34" t="s">
        <v>1329</v>
      </c>
      <c r="B9" s="33" t="str">
        <f ca="1">INDIRECT("main!"&amp;"r"&amp;B$1+2)</f>
        <v>C385A (rs324420)</v>
      </c>
      <c r="D9" s="53" t="s">
        <v>1620</v>
      </c>
      <c r="E9" s="55"/>
      <c r="F9" s="55"/>
      <c r="G9" s="55"/>
      <c r="H9" s="55"/>
      <c r="I9" s="55"/>
      <c r="J9" s="55"/>
      <c r="K9" s="53"/>
      <c r="L9" s="53"/>
      <c r="M9" s="53"/>
    </row>
    <row r="10" spans="1:13" ht="74.75" customHeight="1" x14ac:dyDescent="0.2">
      <c r="A10" s="34" t="s">
        <v>1323</v>
      </c>
      <c r="B10" s="33" t="str">
        <f ca="1">INDIRECT("main!"&amp;"O"&amp;B$1+2)</f>
        <v>Study 1: BOLD measured in face processing task: threat-related reactivity of the amygdala. Amygdala habituation to threat-related stimuli was calculated as the linear decrease over successive face matching blocks (that is, block 1&gt;block 2&gt;block 3&gt;block 4). Study 2: Measures of 10 personality traits</v>
      </c>
      <c r="D10" s="53" t="s">
        <v>1406</v>
      </c>
      <c r="E10" s="55"/>
      <c r="F10" s="55"/>
      <c r="G10" s="55"/>
      <c r="H10" s="55"/>
      <c r="I10" s="55"/>
      <c r="J10" s="55"/>
      <c r="K10" s="53"/>
      <c r="L10" s="53"/>
      <c r="M10" s="53"/>
    </row>
    <row r="11" spans="1:13" ht="36.75" customHeight="1" x14ac:dyDescent="0.2">
      <c r="A11" s="34" t="s">
        <v>1396</v>
      </c>
      <c r="B11" s="33" t="str">
        <f ca="1">INDIRECT("main!"&amp;"w"&amp;B$1+2)</f>
        <v>Association between rs324420 and personality traits tested using OLS regression  (with sex as a covariate)</v>
      </c>
      <c r="D11" s="53" t="s">
        <v>1376</v>
      </c>
      <c r="E11" s="69" t="s">
        <v>1377</v>
      </c>
      <c r="F11" s="69">
        <f>(H8*K8-L8*I8)/(H8*M8-L8^2)</f>
        <v>0.22500000000000001</v>
      </c>
      <c r="G11" s="55"/>
      <c r="H11" s="55"/>
      <c r="I11" s="55"/>
      <c r="J11" s="55"/>
      <c r="K11" s="53"/>
      <c r="L11" s="53"/>
      <c r="M11" s="53"/>
    </row>
    <row r="12" spans="1:13" ht="43.5" customHeight="1" x14ac:dyDescent="0.2">
      <c r="A12" s="34" t="s">
        <v>1898</v>
      </c>
      <c r="B12" s="33" t="s">
        <v>2407</v>
      </c>
      <c r="D12" s="53"/>
      <c r="E12" s="70" t="s">
        <v>1378</v>
      </c>
      <c r="F12" s="76">
        <f>(H8*K8-L8*I8)/SQRT((H8*M8-L8^2)*(H8*J8-I8^2))</f>
        <v>0.38976798359611098</v>
      </c>
      <c r="G12" s="53"/>
      <c r="H12" s="53"/>
      <c r="I12" s="53"/>
      <c r="J12" s="53"/>
      <c r="K12" s="53"/>
      <c r="L12" s="53"/>
      <c r="M12" s="53"/>
    </row>
    <row r="13" spans="1:13" ht="134.5" customHeight="1" x14ac:dyDescent="0.2">
      <c r="A13" s="34" t="s">
        <v>1326</v>
      </c>
      <c r="B13" s="33" t="s">
        <v>1622</v>
      </c>
      <c r="D13" s="53"/>
      <c r="E13" s="56" t="s">
        <v>1379</v>
      </c>
      <c r="F13" s="53">
        <f>F12^2</f>
        <v>0.15191908103657822</v>
      </c>
      <c r="G13" s="53"/>
      <c r="H13" s="53"/>
      <c r="I13" s="53"/>
      <c r="J13" s="53"/>
      <c r="K13" s="53"/>
      <c r="L13" s="53"/>
      <c r="M13" s="53"/>
    </row>
    <row r="14" spans="1:13" x14ac:dyDescent="0.2">
      <c r="A14" s="34" t="s">
        <v>1852</v>
      </c>
      <c r="B14" s="33" t="str">
        <f>D4&amp;" (N = "&amp;H4&amp;"); "&amp;D5&amp;" (N = "&amp;H5&amp;") "</f>
        <v xml:space="preserve">CC (N = 50); CA/AA (N = 31) </v>
      </c>
      <c r="E14" s="53"/>
      <c r="F14" s="53"/>
      <c r="G14" s="53"/>
      <c r="H14" s="53"/>
      <c r="I14" s="53"/>
      <c r="J14" s="53"/>
      <c r="K14" s="53"/>
      <c r="L14" s="53"/>
      <c r="M14" s="53"/>
    </row>
    <row r="15" spans="1:13" x14ac:dyDescent="0.2">
      <c r="A15" s="34" t="s">
        <v>1848</v>
      </c>
      <c r="B15" s="62">
        <f>F12</f>
        <v>0.38976798359611098</v>
      </c>
      <c r="D15" s="58" t="s">
        <v>2140</v>
      </c>
      <c r="E15" s="58"/>
      <c r="F15" s="58"/>
    </row>
    <row r="16" spans="1:13" x14ac:dyDescent="0.2">
      <c r="A16" s="34" t="s">
        <v>1899</v>
      </c>
      <c r="B16" s="62" t="s">
        <v>2152</v>
      </c>
      <c r="D16" s="58"/>
      <c r="E16" s="58"/>
      <c r="F16" s="58"/>
    </row>
    <row r="17" spans="1:6" ht="16" x14ac:dyDescent="0.2">
      <c r="A17" s="204" t="s">
        <v>2189</v>
      </c>
      <c r="B17" s="33">
        <v>0.30499999999999999</v>
      </c>
      <c r="E17" t="s">
        <v>1440</v>
      </c>
      <c r="F17" t="s">
        <v>1378</v>
      </c>
    </row>
    <row r="18" spans="1:6" x14ac:dyDescent="0.2">
      <c r="A18" s="64" t="s">
        <v>1401</v>
      </c>
      <c r="B18" s="33">
        <v>0.14399999999999999</v>
      </c>
      <c r="E18">
        <v>3.15</v>
      </c>
      <c r="F18">
        <f>SQRT(E18^2/(E18^2+H8))</f>
        <v>0.33035042472810605</v>
      </c>
    </row>
    <row r="19" spans="1:6" ht="30" x14ac:dyDescent="0.2">
      <c r="A19" s="64" t="s">
        <v>1346</v>
      </c>
      <c r="B19" s="33" t="s">
        <v>1653</v>
      </c>
    </row>
    <row r="20" spans="1:6" ht="30" x14ac:dyDescent="0.2">
      <c r="A20" s="33" t="s">
        <v>1388</v>
      </c>
      <c r="B20" s="33" t="s">
        <v>2306</v>
      </c>
      <c r="D20" s="58"/>
    </row>
    <row r="21" spans="1:6" ht="26" customHeight="1" x14ac:dyDescent="0.2">
      <c r="A21" s="33" t="s">
        <v>1390</v>
      </c>
      <c r="D21" s="236" t="s">
        <v>2415</v>
      </c>
      <c r="E21" s="236" t="s">
        <v>2416</v>
      </c>
    </row>
    <row r="22" spans="1:6" ht="42" customHeight="1" x14ac:dyDescent="0.2">
      <c r="A22" s="34" t="s">
        <v>1387</v>
      </c>
      <c r="B22" s="33" t="s">
        <v>1879</v>
      </c>
      <c r="D22" s="236">
        <v>975</v>
      </c>
      <c r="E22" s="236">
        <v>0</v>
      </c>
    </row>
    <row r="23" spans="1:6" ht="28.5" customHeight="1" x14ac:dyDescent="0.2">
      <c r="A23" s="63" t="s">
        <v>1426</v>
      </c>
      <c r="B23" s="57"/>
    </row>
    <row r="24" spans="1:6" s="140" customFormat="1" ht="28.5" customHeight="1" x14ac:dyDescent="0.2">
      <c r="A24" s="138" t="s">
        <v>1746</v>
      </c>
      <c r="B24" s="139"/>
    </row>
    <row r="25" spans="1:6" s="136" customFormat="1" ht="28.5" customHeight="1" x14ac:dyDescent="0.2">
      <c r="A25" s="137" t="s">
        <v>1753</v>
      </c>
      <c r="B25" s="137" t="s">
        <v>885</v>
      </c>
    </row>
    <row r="26" spans="1:6" s="136" customFormat="1" ht="28.5" customHeight="1" x14ac:dyDescent="0.2">
      <c r="A26" s="137" t="s">
        <v>1681</v>
      </c>
      <c r="B26" s="137">
        <f ca="1">INDIRECT("N_SNPs!"&amp;"L"&amp;B$1+2)</f>
        <v>0</v>
      </c>
    </row>
    <row r="27" spans="1:6" s="136" customFormat="1" ht="28.5" customHeight="1" x14ac:dyDescent="0.2">
      <c r="A27" s="137" t="s">
        <v>1747</v>
      </c>
      <c r="B27" s="137">
        <f ca="1">INDIRECT("N_SNPs!"&amp;"M"&amp;B$1+2)</f>
        <v>1</v>
      </c>
    </row>
    <row r="28" spans="1:6" s="136" customFormat="1" ht="28.5" customHeight="1" x14ac:dyDescent="0.2">
      <c r="A28" s="137" t="s">
        <v>1683</v>
      </c>
      <c r="B28" s="137" t="str">
        <f ca="1">INDIRECT("N_SNPs!"&amp;"N"&amp;B$1+2)</f>
        <v>not needed</v>
      </c>
    </row>
    <row r="29" spans="1:6" s="136" customFormat="1" ht="28.5" customHeight="1" x14ac:dyDescent="0.2">
      <c r="A29" s="137" t="s">
        <v>2171</v>
      </c>
      <c r="B29" s="137">
        <f ca="1">INDIRECT("N_SNPs!"&amp;"O"&amp;B$1+2)</f>
        <v>1</v>
      </c>
    </row>
    <row r="30" spans="1:6" s="136" customFormat="1" ht="28.5" customHeight="1" x14ac:dyDescent="0.2">
      <c r="A30" s="137" t="s">
        <v>2170</v>
      </c>
      <c r="B30" s="137">
        <v>0</v>
      </c>
    </row>
    <row r="31" spans="1:6" s="136" customFormat="1" ht="28.5" customHeight="1" x14ac:dyDescent="0.2">
      <c r="A31" s="137" t="s">
        <v>2172</v>
      </c>
      <c r="B31" s="137">
        <f ca="1">INDIRECT("N_SNPs!"&amp;"Q"&amp;B$1+2)</f>
        <v>5</v>
      </c>
    </row>
    <row r="32" spans="1:6" s="136" customFormat="1" ht="28.5" customHeight="1" x14ac:dyDescent="0.2">
      <c r="A32" s="137" t="s">
        <v>1686</v>
      </c>
      <c r="B32" s="137">
        <f ca="1">INDIRECT("N_SNPs!"&amp;"R"&amp;B$1+2)</f>
        <v>0</v>
      </c>
    </row>
    <row r="33" spans="1:3" s="172" customFormat="1" ht="28.5" customHeight="1" x14ac:dyDescent="0.2">
      <c r="A33" s="171" t="s">
        <v>1808</v>
      </c>
      <c r="B33" s="171">
        <v>10</v>
      </c>
    </row>
    <row r="34" spans="1:3" s="172" customFormat="1" ht="28.5" customHeight="1" x14ac:dyDescent="0.2">
      <c r="A34" s="203" t="s">
        <v>2177</v>
      </c>
      <c r="B34" s="171">
        <v>2</v>
      </c>
    </row>
    <row r="35" spans="1:3" s="172" customFormat="1" ht="28.5" customHeight="1" x14ac:dyDescent="0.2">
      <c r="A35" s="171" t="s">
        <v>1810</v>
      </c>
      <c r="B35" s="171">
        <v>0</v>
      </c>
      <c r="C35" s="172" t="s">
        <v>1813</v>
      </c>
    </row>
    <row r="36" spans="1:3" s="174" customFormat="1" ht="142" customHeight="1" x14ac:dyDescent="0.2">
      <c r="A36" s="173" t="s">
        <v>1835</v>
      </c>
      <c r="B36" s="198" t="s">
        <v>2295</v>
      </c>
      <c r="C36" s="174" t="s">
        <v>2420</v>
      </c>
    </row>
    <row r="37" spans="1:3" s="174" customFormat="1" ht="153" customHeight="1" x14ac:dyDescent="0.2">
      <c r="A37" s="173" t="s">
        <v>2272</v>
      </c>
      <c r="B37" s="198" t="s">
        <v>2294</v>
      </c>
    </row>
    <row r="38" spans="1:3" s="174" customFormat="1" ht="28.5" customHeight="1" x14ac:dyDescent="0.2">
      <c r="A38" s="173" t="s">
        <v>2299</v>
      </c>
      <c r="B38" s="173">
        <v>1</v>
      </c>
    </row>
    <row r="39" spans="1:3" s="174" customFormat="1" ht="28.5" customHeight="1" x14ac:dyDescent="0.2">
      <c r="A39" s="173" t="s">
        <v>2273</v>
      </c>
      <c r="B39" s="173">
        <v>4</v>
      </c>
    </row>
    <row r="40" spans="1:3" s="174" customFormat="1" ht="28.5" customHeight="1" x14ac:dyDescent="0.2">
      <c r="A40" s="173" t="s">
        <v>2274</v>
      </c>
      <c r="B40" s="173">
        <v>0</v>
      </c>
    </row>
    <row r="41" spans="1:3" s="176" customFormat="1" ht="28.5" customHeight="1" x14ac:dyDescent="0.2">
      <c r="A41" s="175" t="s">
        <v>1815</v>
      </c>
      <c r="B41" s="175" t="s">
        <v>2169</v>
      </c>
    </row>
    <row r="42" spans="1:3" s="176" customFormat="1" ht="28.5" customHeight="1" x14ac:dyDescent="0.2">
      <c r="A42" s="175" t="s">
        <v>1881</v>
      </c>
      <c r="B42" s="175" t="s">
        <v>494</v>
      </c>
    </row>
    <row r="43" spans="1:3" x14ac:dyDescent="0.2">
      <c r="A43" s="34" t="s">
        <v>1398</v>
      </c>
      <c r="B43" s="65"/>
    </row>
    <row r="44" spans="1:3" x14ac:dyDescent="0.2">
      <c r="A44" s="34" t="s">
        <v>1410</v>
      </c>
    </row>
    <row r="45" spans="1:3" x14ac:dyDescent="0.2">
      <c r="A45" s="34" t="s">
        <v>2374</v>
      </c>
      <c r="B45" s="33">
        <v>1</v>
      </c>
    </row>
    <row r="46" spans="1:3" x14ac:dyDescent="0.2">
      <c r="A46" s="34" t="s">
        <v>1416</v>
      </c>
      <c r="B46" s="66" t="s">
        <v>1915</v>
      </c>
    </row>
    <row r="48" spans="1:3" x14ac:dyDescent="0.2">
      <c r="A48" s="34" t="s">
        <v>1490</v>
      </c>
      <c r="B48" s="33" t="s">
        <v>1811</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48"/>
  <sheetViews>
    <sheetView zoomScale="110" zoomScaleNormal="110" zoomScalePageLayoutView="110" workbookViewId="0">
      <pane xSplit="1" ySplit="1" topLeftCell="B22"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3" max="3" width="16.1640625" customWidth="1"/>
    <col min="4" max="4" width="14.33203125" customWidth="1"/>
    <col min="5" max="5" width="9.83203125" customWidth="1"/>
    <col min="6" max="6" width="10.5" customWidth="1"/>
    <col min="7" max="7" width="10.83203125" customWidth="1"/>
    <col min="8" max="8" width="9.5" bestFit="1" customWidth="1"/>
  </cols>
  <sheetData>
    <row r="1" spans="1:13" s="58" customFormat="1" x14ac:dyDescent="0.2">
      <c r="A1" s="63" t="s">
        <v>1360</v>
      </c>
      <c r="B1" s="57">
        <v>28</v>
      </c>
      <c r="D1" s="52" t="s">
        <v>1851</v>
      </c>
      <c r="E1" s="52"/>
      <c r="F1" s="52"/>
      <c r="G1" s="52"/>
      <c r="H1" s="52"/>
      <c r="I1" s="52"/>
      <c r="J1" s="52"/>
      <c r="K1" s="52"/>
      <c r="L1" s="52"/>
      <c r="M1" s="52"/>
    </row>
    <row r="2" spans="1:13" ht="114.5" customHeight="1" x14ac:dyDescent="0.2">
      <c r="A2" s="34" t="s">
        <v>1321</v>
      </c>
      <c r="B2" s="33" t="str">
        <f ca="1">INDIRECT("main!"&amp;"C"&amp;B$1+2)</f>
        <v>Nymberg, Charlotte; Jia, Tianye; Lubbe, Steven; Ruggeri, Barbara; Desrivieres, Sylvane; Barker, Gareth; Buchel, Christian; Fauth-Buehler, Mira; Cattrell, Anna; Conrod, Patricia; Flor, Herta; Gallinat, Juergen; Garavan, Hugh; Heinz, Andreas; Ittermann, Bernd; Lawrence, Claire; Mann, Karl; Nees, Frauke; Salatino-Oliveira, Angelica; Martinot, Marie-Laure Paillere; Paus, Tomas; Rietschel, Marcella; Robbins, Trevor; Smolka, Michael; Banaschewski, Tobias; Rubia, Katya; Loth, Eva; Schumann, Gunter</v>
      </c>
      <c r="D2" s="73" t="s">
        <v>1537</v>
      </c>
      <c r="E2" s="53"/>
      <c r="F2" s="53"/>
      <c r="G2" s="53"/>
      <c r="H2" s="53"/>
      <c r="I2" s="53" t="s">
        <v>1382</v>
      </c>
      <c r="J2" s="53"/>
      <c r="K2" s="53"/>
      <c r="L2" s="53"/>
      <c r="M2" s="53"/>
    </row>
    <row r="3" spans="1:13" ht="33.75" customHeight="1" x14ac:dyDescent="0.2">
      <c r="A3" s="34" t="s">
        <v>1322</v>
      </c>
      <c r="B3" s="33" t="str">
        <f ca="1">INDIRECT("main!"&amp;"D"&amp;B$1+2)</f>
        <v>Neural Mechanisms of Attention-Deficit/Hyperactivity Disorder Symptoms Are Stratified by MAOA Genotype</v>
      </c>
      <c r="D3" s="53" t="s">
        <v>1395</v>
      </c>
      <c r="E3" s="53" t="s">
        <v>1366</v>
      </c>
      <c r="F3" s="53" t="s">
        <v>1367</v>
      </c>
      <c r="G3" s="53" t="s">
        <v>1368</v>
      </c>
      <c r="H3" s="54" t="s">
        <v>0</v>
      </c>
      <c r="I3" t="s">
        <v>1369</v>
      </c>
      <c r="J3" t="s">
        <v>1370</v>
      </c>
      <c r="K3" s="53" t="s">
        <v>1371</v>
      </c>
      <c r="L3" s="54" t="s">
        <v>1372</v>
      </c>
      <c r="M3" s="54" t="s">
        <v>1373</v>
      </c>
    </row>
    <row r="4" spans="1:13" x14ac:dyDescent="0.2">
      <c r="A4" s="34" t="s">
        <v>1324</v>
      </c>
      <c r="B4" s="33" t="str">
        <f ca="1">INDIRECT("main!"&amp;"J"&amp;B$1+2)</f>
        <v>10.1016/j.biopsych.2013.03.027</v>
      </c>
      <c r="C4" s="33"/>
      <c r="D4" t="s">
        <v>1612</v>
      </c>
      <c r="E4" s="55">
        <v>0</v>
      </c>
      <c r="F4">
        <v>0.53207547169911296</v>
      </c>
      <c r="G4">
        <v>0.61776247334996404</v>
      </c>
      <c r="H4" s="55">
        <v>67</v>
      </c>
      <c r="I4">
        <f>H4*F4</f>
        <v>35.64905660384057</v>
      </c>
      <c r="J4">
        <f>(H4*(H4-1)*G4^2+I4^2)/H4</f>
        <v>44.155599857761537</v>
      </c>
      <c r="K4" s="53">
        <f>E4*I4</f>
        <v>0</v>
      </c>
      <c r="L4" s="53">
        <f>E4*H4</f>
        <v>0</v>
      </c>
      <c r="M4" s="53">
        <f>E4^2*H4</f>
        <v>0</v>
      </c>
    </row>
    <row r="5" spans="1:13" ht="32.75" customHeight="1" x14ac:dyDescent="0.2">
      <c r="A5" s="34" t="s">
        <v>1327</v>
      </c>
      <c r="B5" s="33" t="str">
        <f ca="1">INDIRECT("main!"&amp;"M"&amp;B$1+2)</f>
        <v>Adolescents from the IMAGEN study who did not achieve diagnostic criteria for ADHD; 190 boys, 224 girls; mean age 14 yr</v>
      </c>
      <c r="D5" s="54" t="s">
        <v>1613</v>
      </c>
      <c r="E5" s="55">
        <v>1</v>
      </c>
      <c r="F5">
        <v>0.79967924529301904</v>
      </c>
      <c r="G5">
        <v>0.6277662173439218</v>
      </c>
      <c r="H5" s="55">
        <v>123</v>
      </c>
      <c r="I5">
        <f t="shared" ref="I5" si="0">H5*F5</f>
        <v>98.360547171041347</v>
      </c>
      <c r="J5">
        <f t="shared" ref="J5" si="1">(H5*(H5-1)*G5^2+I5^2)/H5</f>
        <v>126.73591981221887</v>
      </c>
      <c r="K5" s="53">
        <f t="shared" ref="K5" si="2">E5*I5</f>
        <v>98.360547171041347</v>
      </c>
      <c r="L5" s="53">
        <f t="shared" ref="L5" si="3">E5*H5</f>
        <v>123</v>
      </c>
      <c r="M5" s="53">
        <f t="shared" ref="M5" si="4">E5^2*H5</f>
        <v>123</v>
      </c>
    </row>
    <row r="6" spans="1:13" x14ac:dyDescent="0.2">
      <c r="A6" s="34" t="s">
        <v>1333</v>
      </c>
      <c r="B6" s="33">
        <f ca="1">INDIRECT("main!"&amp;"L"&amp;B$1+2)</f>
        <v>414</v>
      </c>
      <c r="D6" s="54"/>
      <c r="E6" s="55"/>
      <c r="H6" s="55"/>
      <c r="I6" s="55"/>
      <c r="J6" s="55"/>
      <c r="K6" s="55"/>
      <c r="L6" s="55"/>
      <c r="M6" s="55"/>
    </row>
    <row r="7" spans="1:13" x14ac:dyDescent="0.2">
      <c r="A7" s="34" t="s">
        <v>1903</v>
      </c>
      <c r="B7" s="33">
        <v>2</v>
      </c>
      <c r="D7" s="54"/>
      <c r="E7" s="55"/>
      <c r="H7" s="55"/>
      <c r="I7" s="55"/>
      <c r="J7" s="55"/>
      <c r="K7" s="55"/>
      <c r="L7" s="55"/>
      <c r="M7" s="55"/>
    </row>
    <row r="8" spans="1:13" ht="20.25" customHeight="1" x14ac:dyDescent="0.2">
      <c r="A8" s="34" t="s">
        <v>343</v>
      </c>
      <c r="B8" s="33" t="str">
        <f ca="1">INDIRECT("main!"&amp;"q"&amp;B$1+2)</f>
        <v>MAOA (X-linked)</v>
      </c>
      <c r="D8" s="54"/>
      <c r="E8" s="55" t="s">
        <v>1374</v>
      </c>
      <c r="F8" s="55"/>
      <c r="G8" s="55"/>
      <c r="H8" s="55">
        <f>SUM(H4:H6)</f>
        <v>190</v>
      </c>
      <c r="I8" s="55">
        <f>SUM(I4:I6)</f>
        <v>134.00960377488192</v>
      </c>
      <c r="J8" s="55">
        <f t="shared" ref="J8:M8" si="5">SUM(J4:J6)</f>
        <v>170.8915196699804</v>
      </c>
      <c r="K8" s="55">
        <f t="shared" si="5"/>
        <v>98.360547171041347</v>
      </c>
      <c r="L8" s="55">
        <f t="shared" si="5"/>
        <v>123</v>
      </c>
      <c r="M8" s="55">
        <f t="shared" si="5"/>
        <v>123</v>
      </c>
    </row>
    <row r="9" spans="1:13" ht="34.5" customHeight="1" x14ac:dyDescent="0.2">
      <c r="A9" s="34" t="s">
        <v>1329</v>
      </c>
      <c r="B9" s="33" t="str">
        <f ca="1">INDIRECT("main!"&amp;"r"&amp;B$1+2)</f>
        <v xml:space="preserve">rs12843268 </v>
      </c>
      <c r="D9" s="53"/>
      <c r="E9" s="55"/>
      <c r="F9" s="55"/>
      <c r="G9" s="55"/>
      <c r="H9" s="55"/>
      <c r="I9" s="55"/>
      <c r="J9" s="55"/>
      <c r="K9" s="53"/>
      <c r="L9" s="53"/>
      <c r="M9" s="53"/>
    </row>
    <row r="10" spans="1:13" ht="51" customHeight="1" x14ac:dyDescent="0.2">
      <c r="A10" s="34" t="s">
        <v>1323</v>
      </c>
      <c r="B10" s="33" t="str">
        <f ca="1">INDIRECT("main!"&amp;"O"&amp;B$1+2)</f>
        <v>Monetary incentive delay (MID) task  to study neural responses to reward anticipation and reward outcome; Stop Signal Task in subset of children; ADHD Symptoms (Strength and Difficulties Questionnaire); Structural and functional MRI</v>
      </c>
      <c r="D10" s="53" t="s">
        <v>1406</v>
      </c>
      <c r="E10" s="55"/>
      <c r="F10" s="55"/>
      <c r="G10" s="55"/>
      <c r="H10" s="55"/>
      <c r="I10" s="55"/>
      <c r="J10" s="55"/>
      <c r="K10" s="53"/>
      <c r="L10" s="53"/>
      <c r="M10" s="53"/>
    </row>
    <row r="11" spans="1:13" ht="36.75" customHeight="1" x14ac:dyDescent="0.2">
      <c r="A11" s="34" t="s">
        <v>1396</v>
      </c>
      <c r="B11" s="33" t="str">
        <f ca="1">INDIRECT("main!"&amp;"w"&amp;B$1+2)</f>
        <v>General linear model to determine associations among the SDQ measure, BOLD responses, and MAOA genotype.</v>
      </c>
      <c r="D11" s="53" t="s">
        <v>1376</v>
      </c>
      <c r="E11" s="69" t="s">
        <v>1377</v>
      </c>
      <c r="F11" s="69">
        <f>(H8*K8-L8*I8)/(H8*M8-L8^2)</f>
        <v>0.26760377359390625</v>
      </c>
      <c r="G11" s="55"/>
      <c r="H11" s="55"/>
      <c r="I11" s="55"/>
      <c r="J11" s="55"/>
      <c r="K11" s="53"/>
      <c r="L11" s="53"/>
      <c r="M11" s="53"/>
    </row>
    <row r="12" spans="1:13" ht="44" customHeight="1" x14ac:dyDescent="0.2">
      <c r="A12" s="34" t="s">
        <v>1898</v>
      </c>
      <c r="B12" s="33" t="s">
        <v>2405</v>
      </c>
      <c r="D12" s="53"/>
      <c r="E12" s="70" t="s">
        <v>1378</v>
      </c>
      <c r="F12" s="69">
        <f>(H8*K8-L8*I8)/SQRT((H8*M8-L8^2)*(H8*J8-I8^2))</f>
        <v>0.20166767445910866</v>
      </c>
      <c r="G12" s="53"/>
      <c r="H12" s="53"/>
      <c r="I12" s="53"/>
      <c r="J12" s="53"/>
      <c r="K12" s="53"/>
      <c r="L12" s="53"/>
      <c r="M12" s="53"/>
    </row>
    <row r="13" spans="1:13" ht="157.5" customHeight="1" x14ac:dyDescent="0.2">
      <c r="A13" s="34" t="s">
        <v>1326</v>
      </c>
      <c r="B13" s="33" t="s">
        <v>2404</v>
      </c>
      <c r="D13" s="53"/>
      <c r="E13" s="56" t="s">
        <v>1379</v>
      </c>
      <c r="F13" s="53">
        <f>F12^2</f>
        <v>4.0669850921745028E-2</v>
      </c>
      <c r="G13" s="53"/>
      <c r="H13" s="53"/>
      <c r="I13" s="53"/>
      <c r="J13" s="53"/>
      <c r="K13" s="53"/>
      <c r="L13" s="53"/>
      <c r="M13" s="53"/>
    </row>
    <row r="14" spans="1:13" x14ac:dyDescent="0.2">
      <c r="A14" s="34" t="s">
        <v>1852</v>
      </c>
      <c r="B14" s="33" t="str">
        <f>D4&amp;" (N = "&amp;H4&amp;"); "&amp;D5&amp;" (N = "&amp;H5&amp;") "</f>
        <v xml:space="preserve">A  (N = 67); G (N = 123) </v>
      </c>
      <c r="E14" s="53"/>
      <c r="F14" s="53"/>
      <c r="G14" s="53"/>
      <c r="H14" s="53"/>
      <c r="I14" s="53"/>
      <c r="J14" s="53"/>
      <c r="K14" s="53"/>
      <c r="L14" s="53"/>
      <c r="M14" s="53"/>
    </row>
    <row r="15" spans="1:13" x14ac:dyDescent="0.2">
      <c r="A15" s="34" t="s">
        <v>1853</v>
      </c>
      <c r="B15" s="81">
        <f>F18</f>
        <v>0.23363488926488099</v>
      </c>
      <c r="D15" s="58"/>
      <c r="E15" s="58"/>
      <c r="F15" s="58"/>
    </row>
    <row r="16" spans="1:13" x14ac:dyDescent="0.2">
      <c r="A16" s="34" t="s">
        <v>1899</v>
      </c>
      <c r="B16" s="81" t="s">
        <v>2151</v>
      </c>
      <c r="D16" t="s">
        <v>2150</v>
      </c>
      <c r="E16" s="58"/>
      <c r="F16" s="58"/>
    </row>
    <row r="17" spans="1:6" ht="16" x14ac:dyDescent="0.2">
      <c r="A17" s="204" t="s">
        <v>2189</v>
      </c>
      <c r="B17" s="33">
        <f>0.202</f>
        <v>0.20200000000000001</v>
      </c>
      <c r="E17" t="s">
        <v>1440</v>
      </c>
      <c r="F17" t="s">
        <v>1378</v>
      </c>
    </row>
    <row r="18" spans="1:6" x14ac:dyDescent="0.2">
      <c r="A18" s="64" t="s">
        <v>1401</v>
      </c>
      <c r="B18" s="33">
        <v>0.27800000000000002</v>
      </c>
      <c r="E18">
        <f>SQRT(10.97)</f>
        <v>3.3120990323358388</v>
      </c>
      <c r="F18">
        <f>SQRT(E18^2/(E18^2+H8))</f>
        <v>0.23363488926488099</v>
      </c>
    </row>
    <row r="19" spans="1:6" x14ac:dyDescent="0.2">
      <c r="A19" s="64" t="s">
        <v>1346</v>
      </c>
      <c r="B19" s="33" t="s">
        <v>494</v>
      </c>
    </row>
    <row r="20" spans="1:6" ht="30" x14ac:dyDescent="0.2">
      <c r="A20" s="33" t="s">
        <v>1388</v>
      </c>
      <c r="B20" s="33" t="s">
        <v>2305</v>
      </c>
      <c r="D20" s="58"/>
    </row>
    <row r="21" spans="1:6" ht="26" customHeight="1" x14ac:dyDescent="0.2">
      <c r="A21" s="33" t="s">
        <v>1390</v>
      </c>
      <c r="D21" s="236" t="s">
        <v>2415</v>
      </c>
      <c r="E21" s="236" t="s">
        <v>2416</v>
      </c>
    </row>
    <row r="22" spans="1:6" ht="45" customHeight="1" x14ac:dyDescent="0.2">
      <c r="A22" s="34" t="s">
        <v>1387</v>
      </c>
      <c r="B22" s="33" t="s">
        <v>1614</v>
      </c>
      <c r="D22" s="236">
        <v>414</v>
      </c>
      <c r="E22" s="236">
        <v>0</v>
      </c>
    </row>
    <row r="23" spans="1:6" x14ac:dyDescent="0.2">
      <c r="A23" s="63" t="s">
        <v>1426</v>
      </c>
      <c r="B23" s="57" t="s">
        <v>1615</v>
      </c>
    </row>
    <row r="24" spans="1:6" s="140" customFormat="1" x14ac:dyDescent="0.2">
      <c r="A24" s="138" t="s">
        <v>1746</v>
      </c>
      <c r="B24" s="139"/>
    </row>
    <row r="25" spans="1:6" s="136" customFormat="1" ht="30" x14ac:dyDescent="0.2">
      <c r="A25" s="137" t="s">
        <v>1753</v>
      </c>
      <c r="B25" s="137" t="s">
        <v>2261</v>
      </c>
    </row>
    <row r="26" spans="1:6" s="136" customFormat="1" x14ac:dyDescent="0.2">
      <c r="A26" s="137" t="s">
        <v>1681</v>
      </c>
      <c r="B26" s="137" t="str">
        <f ca="1">INDIRECT("N_SNPs!"&amp;"L"&amp;B$1+2)</f>
        <v>(only to determine which SNP to study)</v>
      </c>
    </row>
    <row r="27" spans="1:6" s="136" customFormat="1" x14ac:dyDescent="0.2">
      <c r="A27" s="137" t="s">
        <v>1747</v>
      </c>
      <c r="B27" s="137">
        <f ca="1">INDIRECT("N_SNPs!"&amp;"M"&amp;B$1+2)</f>
        <v>1</v>
      </c>
    </row>
    <row r="28" spans="1:6" s="136" customFormat="1" x14ac:dyDescent="0.2">
      <c r="A28" s="137" t="s">
        <v>1683</v>
      </c>
      <c r="B28" s="137" t="str">
        <f ca="1">INDIRECT("N_SNPs!"&amp;"N"&amp;B$1+2)</f>
        <v>not needed</v>
      </c>
    </row>
    <row r="29" spans="1:6" s="136" customFormat="1" x14ac:dyDescent="0.2">
      <c r="A29" s="137" t="s">
        <v>2171</v>
      </c>
      <c r="B29" s="137">
        <f ca="1">INDIRECT("N_SNPs!"&amp;"O"&amp;B$1+2)</f>
        <v>1</v>
      </c>
    </row>
    <row r="30" spans="1:6" s="136" customFormat="1" ht="30" x14ac:dyDescent="0.2">
      <c r="A30" s="137" t="s">
        <v>2170</v>
      </c>
      <c r="B30" s="137">
        <v>0</v>
      </c>
    </row>
    <row r="31" spans="1:6" s="136" customFormat="1" ht="60" x14ac:dyDescent="0.2">
      <c r="A31" s="137" t="s">
        <v>2172</v>
      </c>
      <c r="B31" s="137">
        <f ca="1">INDIRECT("N_SNPs!"&amp;"Q"&amp;B$1+2)</f>
        <v>5</v>
      </c>
    </row>
    <row r="32" spans="1:6" s="136" customFormat="1" x14ac:dyDescent="0.2">
      <c r="A32" s="137" t="s">
        <v>1686</v>
      </c>
      <c r="B32" s="137" t="str">
        <f ca="1">INDIRECT("N_SNPs!"&amp;"R"&amp;B$1+2)</f>
        <v>SNP selected on basis of haplotype analysis</v>
      </c>
    </row>
    <row r="33" spans="1:3" s="172" customFormat="1" x14ac:dyDescent="0.2">
      <c r="A33" s="171" t="s">
        <v>1808</v>
      </c>
      <c r="B33" s="171">
        <v>2</v>
      </c>
    </row>
    <row r="34" spans="1:3" s="172" customFormat="1" x14ac:dyDescent="0.2">
      <c r="A34" s="203" t="s">
        <v>2177</v>
      </c>
      <c r="B34" s="171">
        <v>2</v>
      </c>
    </row>
    <row r="35" spans="1:3" s="172" customFormat="1" ht="60" x14ac:dyDescent="0.2">
      <c r="A35" s="171" t="s">
        <v>1810</v>
      </c>
      <c r="B35" s="171">
        <v>0</v>
      </c>
      <c r="C35" s="172" t="s">
        <v>1812</v>
      </c>
    </row>
    <row r="36" spans="1:3" s="174" customFormat="1" ht="75" x14ac:dyDescent="0.2">
      <c r="A36" s="173" t="s">
        <v>1835</v>
      </c>
      <c r="B36" s="198" t="s">
        <v>2292</v>
      </c>
      <c r="C36" s="174" t="s">
        <v>2422</v>
      </c>
    </row>
    <row r="37" spans="1:3" s="174" customFormat="1" ht="16" x14ac:dyDescent="0.2">
      <c r="A37" s="173" t="s">
        <v>2272</v>
      </c>
      <c r="B37" s="198" t="s">
        <v>2293</v>
      </c>
    </row>
    <row r="38" spans="1:3" s="174" customFormat="1" ht="30" x14ac:dyDescent="0.2">
      <c r="A38" s="173" t="s">
        <v>2299</v>
      </c>
      <c r="B38" s="173">
        <v>1</v>
      </c>
    </row>
    <row r="39" spans="1:3" s="174" customFormat="1" x14ac:dyDescent="0.2">
      <c r="A39" s="173" t="s">
        <v>2273</v>
      </c>
      <c r="B39" s="173">
        <v>4</v>
      </c>
    </row>
    <row r="40" spans="1:3" s="174" customFormat="1" ht="30" x14ac:dyDescent="0.2">
      <c r="A40" s="173" t="s">
        <v>2274</v>
      </c>
      <c r="B40" s="173">
        <v>3</v>
      </c>
    </row>
    <row r="41" spans="1:3" s="176" customFormat="1" ht="45" x14ac:dyDescent="0.2">
      <c r="A41" s="175" t="s">
        <v>1815</v>
      </c>
      <c r="B41" s="205" t="s">
        <v>1878</v>
      </c>
    </row>
    <row r="42" spans="1:3" s="176" customFormat="1" x14ac:dyDescent="0.2">
      <c r="A42" s="175" t="s">
        <v>1881</v>
      </c>
      <c r="B42" s="205" t="s">
        <v>494</v>
      </c>
    </row>
    <row r="43" spans="1:3" x14ac:dyDescent="0.2">
      <c r="A43" s="34" t="s">
        <v>1398</v>
      </c>
      <c r="B43" s="65"/>
    </row>
    <row r="44" spans="1:3" x14ac:dyDescent="0.2">
      <c r="A44" s="34" t="s">
        <v>1410</v>
      </c>
    </row>
    <row r="45" spans="1:3" x14ac:dyDescent="0.2">
      <c r="A45" s="34" t="s">
        <v>2374</v>
      </c>
      <c r="B45" s="33">
        <v>1</v>
      </c>
    </row>
    <row r="46" spans="1:3" x14ac:dyDescent="0.2">
      <c r="A46" s="34" t="s">
        <v>1416</v>
      </c>
      <c r="B46" s="66" t="s">
        <v>1916</v>
      </c>
    </row>
    <row r="48" spans="1:3" x14ac:dyDescent="0.2">
      <c r="A48" s="34" t="s">
        <v>1490</v>
      </c>
      <c r="B48" s="33" t="s">
        <v>1917</v>
      </c>
    </row>
  </sheetData>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M48"/>
  <sheetViews>
    <sheetView workbookViewId="0">
      <pane xSplit="1" ySplit="1" topLeftCell="B30" activePane="bottomRight" state="frozen"/>
      <selection activeCell="A38" sqref="A38"/>
      <selection pane="topRight" activeCell="A38" sqref="A38"/>
      <selection pane="bottomLeft" activeCell="A38" sqref="A38"/>
      <selection pane="bottomRight" activeCell="C36" sqref="C36"/>
    </sheetView>
  </sheetViews>
  <sheetFormatPr baseColWidth="10" defaultColWidth="9.1640625" defaultRowHeight="15" x14ac:dyDescent="0.2"/>
  <cols>
    <col min="1" max="1" width="42.1640625" style="34" customWidth="1"/>
    <col min="2" max="2" width="65.33203125" style="33" customWidth="1"/>
    <col min="3" max="3" width="11.1640625" customWidth="1"/>
    <col min="4" max="4" width="14.33203125" customWidth="1"/>
    <col min="5" max="5" width="9.83203125" customWidth="1"/>
    <col min="6" max="6" width="7.5" customWidth="1"/>
    <col min="7" max="7" width="10.83203125" customWidth="1"/>
    <col min="8" max="8" width="9.5" bestFit="1" customWidth="1"/>
  </cols>
  <sheetData>
    <row r="1" spans="1:13" s="58" customFormat="1" x14ac:dyDescent="0.2">
      <c r="A1" s="63" t="s">
        <v>1360</v>
      </c>
      <c r="B1" s="57">
        <v>27</v>
      </c>
      <c r="D1" s="52" t="s">
        <v>1851</v>
      </c>
      <c r="E1" s="52"/>
      <c r="F1" s="52"/>
      <c r="G1" s="52"/>
      <c r="H1" s="52"/>
      <c r="I1" s="52"/>
      <c r="J1" s="52"/>
      <c r="K1" s="52"/>
      <c r="L1" s="52"/>
      <c r="M1" s="52"/>
    </row>
    <row r="2" spans="1:13" ht="73.25" customHeight="1" x14ac:dyDescent="0.2">
      <c r="A2" s="34" t="s">
        <v>1321</v>
      </c>
      <c r="B2" s="33" t="str">
        <f ca="1">INDIRECT("main!"&amp;"C"&amp;B$1+2)</f>
        <v>Farmer, Adam D.; Coen, Steven J.; Kano, Michiko; Paine, Peter A.; Shwahdi, Mustafa; Jafari, Jafar; Kishor, Jessin; Worthen, Sian F.; Rossiter, Holly E.; Kumari, Veena; Williams, Steven C. R.; Brammer, Michael; Giampietro, Vincent P.; Droney, Joanne; Riley, Julia; Furlong, Paul L.; Knowles, Charles H.; Lightman, Stafford L.; Aziz, Qasim</v>
      </c>
      <c r="D2" s="73" t="s">
        <v>1537</v>
      </c>
      <c r="E2" s="53"/>
      <c r="F2" s="53"/>
      <c r="G2" s="53"/>
      <c r="H2" s="53"/>
      <c r="I2" s="53" t="s">
        <v>1382</v>
      </c>
      <c r="J2" s="53"/>
      <c r="K2" s="53"/>
      <c r="L2" s="53"/>
      <c r="M2" s="53"/>
    </row>
    <row r="3" spans="1:13" ht="28.25" customHeight="1" x14ac:dyDescent="0.2">
      <c r="A3" s="34" t="s">
        <v>1322</v>
      </c>
      <c r="B3" s="33" t="str">
        <f ca="1">INDIRECT("main!"&amp;"D"&amp;B$1+2)</f>
        <v>Psychophysiological responses to pain identify reproducible human clusters</v>
      </c>
      <c r="D3" s="53" t="s">
        <v>1395</v>
      </c>
      <c r="E3" s="53" t="s">
        <v>1366</v>
      </c>
      <c r="F3" s="53" t="s">
        <v>1367</v>
      </c>
      <c r="G3" s="53" t="s">
        <v>1368</v>
      </c>
      <c r="H3" s="54" t="s">
        <v>0</v>
      </c>
      <c r="K3" s="53"/>
      <c r="L3" s="54"/>
      <c r="M3" s="54"/>
    </row>
    <row r="4" spans="1:13" x14ac:dyDescent="0.2">
      <c r="A4" s="34" t="s">
        <v>1324</v>
      </c>
      <c r="B4" s="33" t="str">
        <f ca="1">INDIRECT("main!"&amp;"J"&amp;B$1+2)</f>
        <v>10.1016/j.pain.2013.05.016</v>
      </c>
      <c r="C4" s="33"/>
      <c r="D4" t="s">
        <v>1606</v>
      </c>
      <c r="E4" s="55">
        <v>0</v>
      </c>
      <c r="H4" s="55">
        <v>60</v>
      </c>
      <c r="K4" s="53"/>
      <c r="L4" s="53"/>
      <c r="M4" s="53"/>
    </row>
    <row r="5" spans="1:13" ht="32.75" customHeight="1" x14ac:dyDescent="0.2">
      <c r="A5" s="34" t="s">
        <v>1327</v>
      </c>
      <c r="B5" s="33" t="str">
        <f ca="1">INDIRECT("main!"&amp;"M"&amp;B$1+2)</f>
        <v>Nonsmokers aged 19-55 yr</v>
      </c>
      <c r="D5" s="54" t="s">
        <v>2147</v>
      </c>
      <c r="E5" s="55">
        <v>1</v>
      </c>
      <c r="H5" s="55">
        <v>47</v>
      </c>
      <c r="K5" s="53"/>
      <c r="L5" s="53"/>
      <c r="M5" s="53"/>
    </row>
    <row r="6" spans="1:13" x14ac:dyDescent="0.2">
      <c r="A6" s="34" t="s">
        <v>1333</v>
      </c>
      <c r="B6" s="33" t="str">
        <f ca="1">INDIRECT("main!"&amp;"L"&amp;B$1+2)</f>
        <v>N= 107</v>
      </c>
      <c r="D6" s="54"/>
      <c r="E6" s="55"/>
      <c r="H6" s="55"/>
      <c r="I6" s="55"/>
      <c r="J6" s="55"/>
      <c r="K6" s="55"/>
      <c r="L6" s="55"/>
      <c r="M6" s="55"/>
    </row>
    <row r="7" spans="1:13" x14ac:dyDescent="0.2">
      <c r="A7" s="34" t="s">
        <v>1903</v>
      </c>
      <c r="B7" s="33">
        <v>1</v>
      </c>
      <c r="D7" s="54"/>
      <c r="E7" s="55"/>
      <c r="H7" s="55"/>
      <c r="I7" s="55"/>
      <c r="J7" s="55"/>
      <c r="K7" s="55"/>
      <c r="L7" s="55"/>
      <c r="M7" s="55"/>
    </row>
    <row r="8" spans="1:13" ht="20.25" customHeight="1" x14ac:dyDescent="0.2">
      <c r="A8" s="34" t="s">
        <v>343</v>
      </c>
      <c r="B8" s="33" t="str">
        <f ca="1">INDIRECT("main!"&amp;"q"&amp;B$1+2)</f>
        <v>5HTTLPR</v>
      </c>
      <c r="D8" s="54"/>
      <c r="E8" s="55" t="s">
        <v>1374</v>
      </c>
      <c r="F8" s="55"/>
      <c r="G8" s="55"/>
      <c r="H8" s="55">
        <f>SUM(H4:H6)</f>
        <v>107</v>
      </c>
      <c r="I8" s="55"/>
      <c r="J8" s="55"/>
      <c r="K8" s="55"/>
      <c r="L8" s="55"/>
      <c r="M8" s="55"/>
    </row>
    <row r="9" spans="1:13" ht="34.5" customHeight="1" x14ac:dyDescent="0.2">
      <c r="A9" s="34" t="s">
        <v>1329</v>
      </c>
      <c r="B9" s="33" t="str">
        <f ca="1">INDIRECT("main!"&amp;"r"&amp;B$1+2)</f>
        <v>short vs long alleles</v>
      </c>
      <c r="D9" s="53"/>
      <c r="E9" s="55"/>
      <c r="F9" s="55"/>
      <c r="G9" s="55"/>
      <c r="H9" s="55"/>
      <c r="I9" s="55"/>
      <c r="J9" s="55"/>
      <c r="K9" s="53"/>
      <c r="L9" s="53"/>
      <c r="M9" s="53"/>
    </row>
    <row r="10" spans="1:13" ht="71" customHeight="1" x14ac:dyDescent="0.2">
      <c r="A10" s="34" t="s">
        <v>1323</v>
      </c>
      <c r="B10" s="33" t="str">
        <f ca="1">INDIRECT("main!"&amp;"O"&amp;B$1+2)</f>
        <v>Pain cluster 1 or 2 identified on basis of baseline personality and anxiety traits; real time autonomic nervous system parameters and serum cortisol at baseline and after visceral and somatic pain; fMRI to visceral pain also studied in subgroup of 29, but not used for genotype analysis, so ignored here</v>
      </c>
      <c r="D10" s="53" t="s">
        <v>1406</v>
      </c>
      <c r="E10" s="55"/>
      <c r="F10" s="55"/>
      <c r="G10" s="55"/>
      <c r="H10" s="55"/>
      <c r="I10" s="55"/>
      <c r="J10" s="55"/>
      <c r="K10" s="53"/>
      <c r="L10" s="53"/>
      <c r="M10" s="53"/>
    </row>
    <row r="11" spans="1:13" ht="84.25" customHeight="1" x14ac:dyDescent="0.2">
      <c r="A11" s="34" t="s">
        <v>1396</v>
      </c>
      <c r="B11" s="33" t="str">
        <f ca="1">INDIRECT("main!"&amp;"w"&amp;B$1+2)</f>
        <v>Primary analysis focused on identifying pain clusters. 5-HTTLPR genotype compared for two pain clusters: comparison of frequencies</v>
      </c>
      <c r="D11" s="53"/>
      <c r="E11" s="69"/>
      <c r="F11" s="69"/>
      <c r="G11" s="55"/>
      <c r="H11" s="55"/>
      <c r="I11" s="55"/>
      <c r="J11" s="55"/>
      <c r="K11" s="53"/>
      <c r="L11" s="53"/>
      <c r="M11" s="53"/>
    </row>
    <row r="12" spans="1:13" ht="36" customHeight="1" x14ac:dyDescent="0.2">
      <c r="A12" s="34" t="s">
        <v>1898</v>
      </c>
      <c r="B12" s="33" t="s">
        <v>1918</v>
      </c>
      <c r="D12" s="53"/>
      <c r="E12" s="70"/>
      <c r="F12" s="69"/>
      <c r="G12" s="53"/>
      <c r="H12" s="53"/>
      <c r="I12" s="53"/>
      <c r="J12" s="53"/>
      <c r="K12" s="53"/>
      <c r="L12" s="53"/>
      <c r="M12" s="53"/>
    </row>
    <row r="13" spans="1:13" ht="44.75" customHeight="1" x14ac:dyDescent="0.2">
      <c r="A13" s="34" t="s">
        <v>1326</v>
      </c>
      <c r="B13" s="33" t="s">
        <v>1601</v>
      </c>
      <c r="D13" s="53"/>
      <c r="E13" s="56"/>
      <c r="F13" s="53"/>
      <c r="G13" s="53"/>
      <c r="H13" s="53"/>
      <c r="I13" s="53"/>
      <c r="J13" s="53"/>
      <c r="K13" s="53"/>
      <c r="L13" s="53"/>
      <c r="M13" s="53"/>
    </row>
    <row r="14" spans="1:13" x14ac:dyDescent="0.2">
      <c r="A14" s="34" t="s">
        <v>1852</v>
      </c>
      <c r="B14" s="33" t="str">
        <f>D4&amp;" (N = "&amp;H4&amp;"); "&amp;D5&amp;" (N = "&amp;H5&amp;") "</f>
        <v xml:space="preserve">long/long (N = 60); LS/SS (N = 47) </v>
      </c>
      <c r="E14" s="53"/>
      <c r="F14" s="53"/>
      <c r="G14" s="53"/>
      <c r="H14" s="53"/>
      <c r="I14" s="53"/>
      <c r="J14" s="53"/>
      <c r="K14" s="53"/>
      <c r="L14" s="53"/>
      <c r="M14" s="53"/>
    </row>
    <row r="15" spans="1:13" x14ac:dyDescent="0.2">
      <c r="A15" s="34" t="s">
        <v>1848</v>
      </c>
      <c r="B15" s="62">
        <f>ABS(K17)</f>
        <v>0.39759238312644984</v>
      </c>
      <c r="D15" s="58" t="s">
        <v>1438</v>
      </c>
      <c r="E15" s="58"/>
      <c r="F15" s="58"/>
      <c r="H15" s="58" t="s">
        <v>1507</v>
      </c>
    </row>
    <row r="16" spans="1:13" x14ac:dyDescent="0.2">
      <c r="A16" s="34" t="s">
        <v>1899</v>
      </c>
      <c r="B16" s="62" t="s">
        <v>2148</v>
      </c>
      <c r="D16" s="58" t="s">
        <v>2144</v>
      </c>
      <c r="E16" s="58"/>
      <c r="F16" s="58"/>
      <c r="H16" t="s">
        <v>2146</v>
      </c>
      <c r="I16" t="s">
        <v>2100</v>
      </c>
      <c r="J16" t="s">
        <v>2125</v>
      </c>
      <c r="K16" t="s">
        <v>1378</v>
      </c>
    </row>
    <row r="17" spans="1:11" ht="16" x14ac:dyDescent="0.2">
      <c r="A17" s="204" t="s">
        <v>2189</v>
      </c>
      <c r="B17" s="33">
        <v>0.26600000000000001</v>
      </c>
      <c r="D17" t="s">
        <v>1439</v>
      </c>
      <c r="E17" t="s">
        <v>1440</v>
      </c>
      <c r="F17" t="s">
        <v>1378</v>
      </c>
      <c r="H17">
        <v>0.2051</v>
      </c>
      <c r="I17">
        <f>LN(H17)*SQRT(3)/(22/7)</f>
        <v>-0.87309557985975272</v>
      </c>
      <c r="J17">
        <f>H8^2/(H4*H5)</f>
        <v>4.0599290780141848</v>
      </c>
      <c r="K17">
        <f>I17/SQRT(I17^2+J17)</f>
        <v>-0.39759238312644984</v>
      </c>
    </row>
    <row r="18" spans="1:11" x14ac:dyDescent="0.2">
      <c r="A18" s="64" t="s">
        <v>1401</v>
      </c>
      <c r="B18" s="33">
        <v>0.17699999999999999</v>
      </c>
      <c r="D18">
        <v>5.0000000000000001E-3</v>
      </c>
      <c r="E18">
        <f>TINV(D18,H8-2)</f>
        <v>2.8675620053604489</v>
      </c>
      <c r="F18">
        <f>SQRT(E18^2/(E18^2+H8))</f>
        <v>0.26714275119695402</v>
      </c>
    </row>
    <row r="19" spans="1:11" x14ac:dyDescent="0.2">
      <c r="A19" s="64" t="s">
        <v>1346</v>
      </c>
      <c r="B19" s="33" t="s">
        <v>1459</v>
      </c>
      <c r="D19" t="s">
        <v>2149</v>
      </c>
    </row>
    <row r="20" spans="1:11" ht="30" x14ac:dyDescent="0.2">
      <c r="A20" s="33" t="s">
        <v>1388</v>
      </c>
      <c r="B20" s="33" t="s">
        <v>2271</v>
      </c>
      <c r="D20" s="58"/>
    </row>
    <row r="21" spans="1:11" ht="26" customHeight="1" x14ac:dyDescent="0.2">
      <c r="A21" s="33" t="s">
        <v>1390</v>
      </c>
      <c r="D21" s="236" t="s">
        <v>2415</v>
      </c>
      <c r="E21" s="236" t="s">
        <v>2416</v>
      </c>
    </row>
    <row r="22" spans="1:11" ht="39.5" customHeight="1" x14ac:dyDescent="0.2">
      <c r="A22" s="34" t="s">
        <v>1387</v>
      </c>
      <c r="B22" s="33" t="s">
        <v>1602</v>
      </c>
      <c r="D22" s="236">
        <v>107</v>
      </c>
      <c r="E22" s="236">
        <v>0</v>
      </c>
    </row>
    <row r="23" spans="1:11" x14ac:dyDescent="0.2">
      <c r="A23" s="63" t="s">
        <v>1426</v>
      </c>
      <c r="B23" s="57"/>
    </row>
    <row r="24" spans="1:11" s="140" customFormat="1" x14ac:dyDescent="0.2">
      <c r="A24" s="138" t="s">
        <v>1746</v>
      </c>
      <c r="B24" s="139"/>
    </row>
    <row r="25" spans="1:11" s="136" customFormat="1" ht="30" x14ac:dyDescent="0.2">
      <c r="A25" s="137" t="s">
        <v>1753</v>
      </c>
      <c r="B25" s="137" t="s">
        <v>885</v>
      </c>
    </row>
    <row r="26" spans="1:11" s="136" customFormat="1" x14ac:dyDescent="0.2">
      <c r="A26" s="137" t="s">
        <v>1681</v>
      </c>
      <c r="B26" s="137">
        <f ca="1">INDIRECT("N_SNPs!"&amp;"L"&amp;B$1+2)</f>
        <v>0</v>
      </c>
    </row>
    <row r="27" spans="1:11" s="136" customFormat="1" x14ac:dyDescent="0.2">
      <c r="A27" s="137" t="s">
        <v>1747</v>
      </c>
      <c r="B27" s="137">
        <f ca="1">INDIRECT("N_SNPs!"&amp;"M"&amp;B$1+2)</f>
        <v>1</v>
      </c>
    </row>
    <row r="28" spans="1:11" s="136" customFormat="1" x14ac:dyDescent="0.2">
      <c r="A28" s="137" t="s">
        <v>1683</v>
      </c>
      <c r="B28" s="137" t="str">
        <f ca="1">INDIRECT("N_SNPs!"&amp;"N"&amp;B$1+2)</f>
        <v>not needed</v>
      </c>
    </row>
    <row r="29" spans="1:11" s="136" customFormat="1" x14ac:dyDescent="0.2">
      <c r="A29" s="137" t="s">
        <v>2171</v>
      </c>
      <c r="B29" s="137">
        <f ca="1">INDIRECT("N_SNPs!"&amp;"O"&amp;B$1+2)</f>
        <v>1</v>
      </c>
    </row>
    <row r="30" spans="1:11" s="136" customFormat="1" ht="30" x14ac:dyDescent="0.2">
      <c r="A30" s="137" t="s">
        <v>2170</v>
      </c>
      <c r="B30" s="137">
        <v>0</v>
      </c>
    </row>
    <row r="31" spans="1:11" s="136" customFormat="1" ht="60" x14ac:dyDescent="0.2">
      <c r="A31" s="137" t="s">
        <v>2172</v>
      </c>
      <c r="B31" s="137">
        <f ca="1">INDIRECT("N_SNPs!"&amp;"Q"&amp;B$1+2)</f>
        <v>5</v>
      </c>
    </row>
    <row r="32" spans="1:11" s="136" customFormat="1" x14ac:dyDescent="0.2">
      <c r="A32" s="137" t="s">
        <v>1686</v>
      </c>
      <c r="B32" s="137">
        <f ca="1">INDIRECT("N_SNPs!"&amp;"R"&amp;B$1+2)</f>
        <v>0</v>
      </c>
    </row>
    <row r="33" spans="1:3" s="172" customFormat="1" x14ac:dyDescent="0.2">
      <c r="A33" s="171" t="s">
        <v>1808</v>
      </c>
      <c r="B33" s="171">
        <v>3</v>
      </c>
    </row>
    <row r="34" spans="1:3" s="172" customFormat="1" x14ac:dyDescent="0.2">
      <c r="A34" s="203" t="s">
        <v>2177</v>
      </c>
      <c r="B34" s="171">
        <v>2</v>
      </c>
    </row>
    <row r="35" spans="1:3" s="172" customFormat="1" ht="60" x14ac:dyDescent="0.2">
      <c r="A35" s="171" t="s">
        <v>1810</v>
      </c>
      <c r="B35" s="171">
        <v>0</v>
      </c>
      <c r="C35" s="171" t="s">
        <v>2423</v>
      </c>
    </row>
    <row r="36" spans="1:3" s="174" customFormat="1" x14ac:dyDescent="0.2">
      <c r="A36" s="173" t="s">
        <v>1835</v>
      </c>
      <c r="B36" s="173" t="s">
        <v>1752</v>
      </c>
      <c r="C36" s="173" t="s">
        <v>2421</v>
      </c>
    </row>
    <row r="37" spans="1:3" s="174" customFormat="1" x14ac:dyDescent="0.2">
      <c r="A37" s="173" t="s">
        <v>2272</v>
      </c>
      <c r="B37" s="173" t="s">
        <v>1752</v>
      </c>
      <c r="C37" s="173"/>
    </row>
    <row r="38" spans="1:3" s="174" customFormat="1" ht="30" x14ac:dyDescent="0.2">
      <c r="A38" s="173" t="s">
        <v>2299</v>
      </c>
      <c r="B38" s="173" t="s">
        <v>1752</v>
      </c>
      <c r="C38" s="173"/>
    </row>
    <row r="39" spans="1:3" s="174" customFormat="1" x14ac:dyDescent="0.2">
      <c r="A39" s="173" t="s">
        <v>2273</v>
      </c>
      <c r="B39" s="173">
        <v>0</v>
      </c>
      <c r="C39" s="173"/>
    </row>
    <row r="40" spans="1:3" s="174" customFormat="1" ht="30" x14ac:dyDescent="0.2">
      <c r="A40" s="173" t="s">
        <v>2274</v>
      </c>
      <c r="B40" s="33" t="s">
        <v>1752</v>
      </c>
      <c r="C40" s="173"/>
    </row>
    <row r="41" spans="1:3" s="176" customFormat="1" ht="30" x14ac:dyDescent="0.2">
      <c r="A41" s="175" t="s">
        <v>1815</v>
      </c>
      <c r="B41" s="190" t="s">
        <v>2195</v>
      </c>
      <c r="C41" s="175"/>
    </row>
    <row r="42" spans="1:3" s="176" customFormat="1" x14ac:dyDescent="0.2">
      <c r="A42" s="175" t="s">
        <v>1881</v>
      </c>
      <c r="B42" s="175" t="s">
        <v>494</v>
      </c>
      <c r="C42" s="175"/>
    </row>
    <row r="43" spans="1:3" x14ac:dyDescent="0.2">
      <c r="A43" s="34" t="s">
        <v>2403</v>
      </c>
      <c r="B43" s="65"/>
    </row>
    <row r="44" spans="1:3" x14ac:dyDescent="0.2">
      <c r="A44" s="34" t="s">
        <v>1410</v>
      </c>
    </row>
    <row r="45" spans="1:3" x14ac:dyDescent="0.2">
      <c r="A45" s="34" t="s">
        <v>2374</v>
      </c>
      <c r="B45" s="33" t="s">
        <v>1752</v>
      </c>
    </row>
    <row r="46" spans="1:3" x14ac:dyDescent="0.2">
      <c r="A46" s="34" t="s">
        <v>1416</v>
      </c>
      <c r="B46" s="66" t="s">
        <v>1919</v>
      </c>
    </row>
    <row r="48" spans="1:3" ht="45" x14ac:dyDescent="0.2">
      <c r="A48" s="34" t="s">
        <v>1490</v>
      </c>
      <c r="B48" s="33" t="s">
        <v>1792</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Q58"/>
  <sheetViews>
    <sheetView zoomScale="80" zoomScaleNormal="80" zoomScalePageLayoutView="80" workbookViewId="0">
      <pane xSplit="1" ySplit="1" topLeftCell="B23"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3" max="3" width="11.1640625" customWidth="1"/>
    <col min="4" max="4" width="14.33203125" customWidth="1"/>
    <col min="5" max="5" width="9.83203125" customWidth="1"/>
    <col min="6" max="6" width="7.5" customWidth="1"/>
    <col min="7" max="7" width="10.83203125" customWidth="1"/>
    <col min="8" max="8" width="9.5" bestFit="1" customWidth="1"/>
  </cols>
  <sheetData>
    <row r="1" spans="1:17" s="58" customFormat="1" x14ac:dyDescent="0.2">
      <c r="A1" s="63" t="s">
        <v>1360</v>
      </c>
      <c r="B1" s="57">
        <v>26</v>
      </c>
      <c r="D1" s="52" t="s">
        <v>1851</v>
      </c>
      <c r="E1" s="52"/>
      <c r="F1" s="52"/>
      <c r="G1" s="52"/>
      <c r="H1" s="52"/>
      <c r="I1" s="52"/>
      <c r="J1" s="52"/>
      <c r="K1" s="52"/>
      <c r="L1" s="52"/>
      <c r="M1" s="52"/>
    </row>
    <row r="2" spans="1:17" ht="50.25" customHeight="1" x14ac:dyDescent="0.2">
      <c r="A2" s="34" t="s">
        <v>1321</v>
      </c>
      <c r="B2" s="33" t="str">
        <f ca="1">INDIRECT("main!"&amp;"C"&amp;B$1+2)</f>
        <v>den Ouden, Hanneke E. M.; Daw, Nathaniel D.; Fernandez, Guillen; Elshout, Joris A.; Rijpkema, Mark; Hoogman, Martine; Franke, Barbara; Cools, Roshan</v>
      </c>
      <c r="D2" s="73" t="s">
        <v>1537</v>
      </c>
      <c r="E2" s="53"/>
      <c r="F2" s="53"/>
      <c r="G2" s="53"/>
      <c r="H2" s="53"/>
      <c r="I2" s="53" t="s">
        <v>1382</v>
      </c>
      <c r="J2" s="53"/>
      <c r="K2" s="53"/>
      <c r="L2" s="53"/>
      <c r="M2" s="53"/>
    </row>
    <row r="3" spans="1:17" ht="28.25" customHeight="1" x14ac:dyDescent="0.2">
      <c r="A3" s="34" t="s">
        <v>1322</v>
      </c>
      <c r="B3" s="33" t="str">
        <f ca="1">INDIRECT("main!"&amp;"D"&amp;B$1+2)</f>
        <v>Dissociable Effects of Dopamine and Serotonin on Reversal Learning</v>
      </c>
      <c r="D3" s="53" t="s">
        <v>1395</v>
      </c>
      <c r="E3" s="53" t="s">
        <v>1366</v>
      </c>
      <c r="F3" s="53" t="s">
        <v>1367</v>
      </c>
      <c r="G3" s="53" t="s">
        <v>1368</v>
      </c>
      <c r="H3" s="54" t="s">
        <v>0</v>
      </c>
      <c r="I3" t="s">
        <v>1369</v>
      </c>
      <c r="J3" t="s">
        <v>1370</v>
      </c>
      <c r="K3" s="53" t="s">
        <v>1371</v>
      </c>
      <c r="L3" s="54" t="s">
        <v>1372</v>
      </c>
      <c r="M3" s="54" t="s">
        <v>1373</v>
      </c>
    </row>
    <row r="4" spans="1:17" x14ac:dyDescent="0.2">
      <c r="A4" s="34" t="s">
        <v>1324</v>
      </c>
      <c r="B4" s="33" t="str">
        <f ca="1">INDIRECT("main!"&amp;"J"&amp;B$1+2)</f>
        <v>10.1016/j.neuron.2013.08.030</v>
      </c>
      <c r="C4" s="33" t="s">
        <v>735</v>
      </c>
      <c r="D4" t="s">
        <v>1595</v>
      </c>
      <c r="E4" s="55">
        <v>0</v>
      </c>
      <c r="F4" s="53">
        <v>0.59139072847682095</v>
      </c>
      <c r="G4" s="53">
        <v>0.19370606213302399</v>
      </c>
      <c r="H4" s="55">
        <v>194</v>
      </c>
      <c r="I4">
        <f>H4*F4</f>
        <v>114.72980132450327</v>
      </c>
      <c r="J4">
        <f>(H4*(H4-1)*G4^2+I4^2)/H4</f>
        <v>75.091894215165951</v>
      </c>
      <c r="K4" s="53">
        <f>E4*I4</f>
        <v>0</v>
      </c>
      <c r="L4" s="53">
        <f>E4*H4</f>
        <v>0</v>
      </c>
      <c r="M4" s="53">
        <f>E4^2*H4</f>
        <v>0</v>
      </c>
    </row>
    <row r="5" spans="1:17" ht="32.75" customHeight="1" x14ac:dyDescent="0.2">
      <c r="A5" s="34" t="s">
        <v>1327</v>
      </c>
      <c r="B5" s="33" t="str">
        <f ca="1">INDIRECT("main!"&amp;"M"&amp;B$1+2)</f>
        <v>Healthy, Caucasian, highly-educated, mean age 26 yr</v>
      </c>
      <c r="D5" s="54" t="s">
        <v>1596</v>
      </c>
      <c r="E5" s="55">
        <v>1</v>
      </c>
      <c r="F5">
        <v>0.58609271523178796</v>
      </c>
      <c r="G5">
        <v>0.18895421986889599</v>
      </c>
      <c r="H5" s="55">
        <v>318</v>
      </c>
      <c r="I5">
        <f t="shared" ref="I5" si="0">H5*F5</f>
        <v>186.37748344370857</v>
      </c>
      <c r="J5">
        <f t="shared" ref="J5" si="1">(H5*(H5-1)*G5^2+I5^2)/H5</f>
        <v>120.55255734397616</v>
      </c>
      <c r="K5" s="53">
        <f t="shared" ref="K5" si="2">E5*I5</f>
        <v>186.37748344370857</v>
      </c>
      <c r="L5" s="53">
        <f t="shared" ref="L5" si="3">E5*H5</f>
        <v>318</v>
      </c>
      <c r="M5" s="53">
        <f t="shared" ref="M5" si="4">E5^2*H5</f>
        <v>318</v>
      </c>
    </row>
    <row r="6" spans="1:17" x14ac:dyDescent="0.2">
      <c r="A6" s="34" t="s">
        <v>1333</v>
      </c>
      <c r="B6" s="33" t="str">
        <f ca="1">INDIRECT("main!"&amp;"L"&amp;B$1+2)</f>
        <v>N = 682</v>
      </c>
      <c r="D6" s="54" t="s">
        <v>1597</v>
      </c>
      <c r="E6" s="55">
        <v>2</v>
      </c>
      <c r="F6">
        <v>0.64039735099337702</v>
      </c>
      <c r="G6">
        <v>0.164059398276623</v>
      </c>
      <c r="H6" s="55">
        <v>170</v>
      </c>
      <c r="I6">
        <f t="shared" ref="I6" si="5">H6*F6</f>
        <v>108.86754966887409</v>
      </c>
      <c r="J6">
        <f t="shared" ref="J6" si="6">(H6*(H6-1)*G6^2+I6^2)/H6</f>
        <v>74.267207578614872</v>
      </c>
      <c r="K6" s="53">
        <f t="shared" ref="K6" si="7">E6*I6</f>
        <v>217.73509933774818</v>
      </c>
      <c r="L6" s="53">
        <f t="shared" ref="L6" si="8">E6*H6</f>
        <v>340</v>
      </c>
      <c r="M6" s="53">
        <f t="shared" ref="M6" si="9">E6^2*H6</f>
        <v>680</v>
      </c>
    </row>
    <row r="7" spans="1:17" x14ac:dyDescent="0.2">
      <c r="A7" s="34" t="s">
        <v>1903</v>
      </c>
      <c r="B7" s="33">
        <v>1</v>
      </c>
      <c r="D7" s="54"/>
      <c r="E7" s="55"/>
      <c r="H7" s="55"/>
      <c r="I7" s="55"/>
      <c r="J7" s="55"/>
      <c r="K7" s="55"/>
      <c r="L7" s="55"/>
      <c r="M7" s="55"/>
    </row>
    <row r="8" spans="1:17" ht="20.25" customHeight="1" x14ac:dyDescent="0.2">
      <c r="A8" s="34" t="s">
        <v>343</v>
      </c>
      <c r="B8" s="33" t="str">
        <f ca="1">INDIRECT("main!"&amp;"q"&amp;B$1+2)</f>
        <v>DAT1 and SERT</v>
      </c>
      <c r="D8" s="54"/>
      <c r="E8" s="55" t="s">
        <v>1374</v>
      </c>
      <c r="F8" s="55"/>
      <c r="G8" s="55"/>
      <c r="H8" s="55">
        <f>SUM(H4:H6)</f>
        <v>682</v>
      </c>
      <c r="I8" s="55">
        <f>SUM(I4:I6)</f>
        <v>409.97483443708597</v>
      </c>
      <c r="J8" s="55">
        <f t="shared" ref="J8:M8" si="10">SUM(J4:J6)</f>
        <v>269.911659137757</v>
      </c>
      <c r="K8" s="55">
        <f t="shared" si="10"/>
        <v>404.11258278145675</v>
      </c>
      <c r="L8" s="55">
        <f t="shared" si="10"/>
        <v>658</v>
      </c>
      <c r="M8" s="55">
        <f t="shared" si="10"/>
        <v>998</v>
      </c>
    </row>
    <row r="9" spans="1:17" ht="34.5" customHeight="1" x14ac:dyDescent="0.2">
      <c r="A9" s="34" t="s">
        <v>1329</v>
      </c>
      <c r="B9" s="33" t="str">
        <f ca="1">INDIRECT("main!"&amp;"r"&amp;B$1+2)</f>
        <v>DAT1: 3′UTR VNTR, 9R9R/9R10R/10R10R; SERT: 5HTTLPR plus rs25531, S'S'/S'L'/L'L'</v>
      </c>
      <c r="D9" s="53"/>
      <c r="E9" s="55"/>
      <c r="F9" s="55"/>
      <c r="G9" s="55"/>
      <c r="H9" s="55"/>
      <c r="I9" s="55"/>
      <c r="J9" s="55"/>
      <c r="K9" s="53"/>
      <c r="L9" s="53"/>
      <c r="M9" s="53"/>
    </row>
    <row r="10" spans="1:17" ht="30.25" customHeight="1" x14ac:dyDescent="0.2">
      <c r="A10" s="34" t="s">
        <v>1323</v>
      </c>
      <c r="B10" s="33" t="str">
        <f ca="1">INDIRECT("main!"&amp;"O"&amp;B$1+2)</f>
        <v xml:space="preserve">Probabilistic reversal learning task giving 3 main measures: win-staying, lose-shifting (both as a function of the previous trial), and perseveration. </v>
      </c>
      <c r="D10" s="53" t="s">
        <v>1406</v>
      </c>
      <c r="E10" s="55"/>
      <c r="F10" s="55"/>
      <c r="G10" s="55"/>
      <c r="H10" s="55"/>
      <c r="I10" s="55"/>
      <c r="J10" s="55"/>
      <c r="K10" s="53"/>
      <c r="L10" s="53"/>
      <c r="M10" s="53"/>
    </row>
    <row r="11" spans="1:17" ht="84.25" customHeight="1" x14ac:dyDescent="0.2">
      <c r="A11" s="34" t="s">
        <v>1396</v>
      </c>
      <c r="B11" s="33" t="str">
        <f ca="1">INDIRECT("main!"&amp;"w"&amp;B$1+2)</f>
        <v>3 task measures included in a repeated-measures ANOVA, together with the between-subject factors gender and learning criterion attainment, and covariates age and level of education (for control analyses of basic learning measures and covariate</v>
      </c>
      <c r="D11" s="53" t="s">
        <v>1376</v>
      </c>
      <c r="E11" s="69" t="s">
        <v>1377</v>
      </c>
      <c r="F11" s="69">
        <f>(H8*K8-L8*I8)/(H8*M8-L8^2)</f>
        <v>2.3584984969439005E-2</v>
      </c>
      <c r="G11" s="55"/>
      <c r="H11" s="55"/>
      <c r="I11" s="55"/>
      <c r="J11" s="55"/>
      <c r="K11" s="53"/>
      <c r="L11" s="53"/>
      <c r="M11" s="53"/>
    </row>
    <row r="12" spans="1:17" ht="28.5" customHeight="1" x14ac:dyDescent="0.2">
      <c r="A12" s="34" t="s">
        <v>1898</v>
      </c>
      <c r="B12" s="33" t="s">
        <v>1598</v>
      </c>
      <c r="D12" s="53"/>
      <c r="E12" s="70" t="s">
        <v>1378</v>
      </c>
      <c r="F12" s="69">
        <f>(H8*K8-L8*I8)/SQRT((H8*M8-L8^2)*(H8*J8-I8^2))</f>
        <v>9.2791633586091618E-2</v>
      </c>
      <c r="G12" s="53"/>
      <c r="H12" s="53"/>
      <c r="I12" s="53"/>
      <c r="J12" s="53"/>
      <c r="K12" s="53"/>
      <c r="L12" s="53"/>
      <c r="M12" s="53"/>
    </row>
    <row r="13" spans="1:17" ht="76.25" customHeight="1" x14ac:dyDescent="0.2">
      <c r="A13" s="34" t="s">
        <v>1326</v>
      </c>
      <c r="B13" s="33" t="s">
        <v>1599</v>
      </c>
      <c r="D13" s="53"/>
      <c r="E13" s="56" t="s">
        <v>1379</v>
      </c>
      <c r="F13" s="53">
        <f>F12^2</f>
        <v>8.6102872635754855E-3</v>
      </c>
      <c r="G13" s="53"/>
      <c r="H13" s="53"/>
      <c r="I13" s="53"/>
      <c r="J13" s="53"/>
      <c r="K13" s="53"/>
      <c r="L13" s="53"/>
      <c r="M13" s="53"/>
      <c r="Q13" t="s">
        <v>2142</v>
      </c>
    </row>
    <row r="14" spans="1:17" x14ac:dyDescent="0.2">
      <c r="A14" s="34" t="s">
        <v>1852</v>
      </c>
      <c r="B14" s="33" t="str">
        <f>D4&amp;" (N = "&amp;H4&amp;"); "&amp;D5&amp;" (N = "&amp;H5&amp;"); "&amp;D6&amp;" (N = "&amp;H6&amp;")"</f>
        <v>S'S' (N = 194); S'L' (N = 318); L'L' (N = 170)</v>
      </c>
      <c r="E14" s="53"/>
      <c r="F14" s="53"/>
      <c r="G14" s="53"/>
      <c r="H14" s="53"/>
      <c r="I14" s="53"/>
      <c r="J14" s="53"/>
      <c r="K14" s="53"/>
      <c r="L14" s="53"/>
      <c r="M14" s="53"/>
    </row>
    <row r="15" spans="1:17" x14ac:dyDescent="0.2">
      <c r="A15" s="34" t="s">
        <v>1848</v>
      </c>
      <c r="B15" s="62">
        <f>F12</f>
        <v>9.2791633586091618E-2</v>
      </c>
      <c r="D15" s="58" t="s">
        <v>1438</v>
      </c>
      <c r="E15" s="58"/>
      <c r="F15" s="58"/>
    </row>
    <row r="16" spans="1:17" x14ac:dyDescent="0.2">
      <c r="A16" s="34" t="s">
        <v>1899</v>
      </c>
      <c r="B16" s="62" t="s">
        <v>2143</v>
      </c>
      <c r="D16" s="58" t="s">
        <v>2144</v>
      </c>
      <c r="E16" s="58"/>
      <c r="F16" s="58"/>
    </row>
    <row r="17" spans="1:6" ht="16" x14ac:dyDescent="0.2">
      <c r="A17" s="204" t="s">
        <v>2189</v>
      </c>
      <c r="B17" s="33">
        <v>0.107</v>
      </c>
      <c r="D17" t="s">
        <v>1439</v>
      </c>
      <c r="E17" t="s">
        <v>1440</v>
      </c>
      <c r="F17" t="s">
        <v>1378</v>
      </c>
    </row>
    <row r="18" spans="1:6" x14ac:dyDescent="0.2">
      <c r="A18" s="64" t="s">
        <v>1401</v>
      </c>
      <c r="B18" s="33">
        <v>0.74399999999999999</v>
      </c>
      <c r="D18">
        <v>3.0000000000000001E-3</v>
      </c>
      <c r="E18">
        <f>TINV(D18,H8-2)</f>
        <v>2.9784743013750403</v>
      </c>
      <c r="F18">
        <f>SQRT(E18^2/(E18^2+H8))</f>
        <v>0.11331705486150907</v>
      </c>
    </row>
    <row r="19" spans="1:6" x14ac:dyDescent="0.2">
      <c r="A19" s="64" t="s">
        <v>1346</v>
      </c>
      <c r="B19" s="33" t="s">
        <v>494</v>
      </c>
    </row>
    <row r="20" spans="1:6" x14ac:dyDescent="0.2">
      <c r="A20" s="33" t="s">
        <v>1388</v>
      </c>
      <c r="B20" s="33" t="s">
        <v>2169</v>
      </c>
      <c r="D20" s="58"/>
    </row>
    <row r="21" spans="1:6" ht="26" customHeight="1" x14ac:dyDescent="0.2">
      <c r="A21" s="33" t="s">
        <v>1390</v>
      </c>
      <c r="D21" s="236" t="s">
        <v>2415</v>
      </c>
      <c r="E21" s="236" t="s">
        <v>2416</v>
      </c>
    </row>
    <row r="22" spans="1:6" ht="76.75" customHeight="1" x14ac:dyDescent="0.2">
      <c r="A22" s="34" t="s">
        <v>1387</v>
      </c>
      <c r="B22" s="33" t="s">
        <v>2145</v>
      </c>
      <c r="D22" s="236">
        <v>682</v>
      </c>
      <c r="E22" s="236">
        <v>0</v>
      </c>
    </row>
    <row r="23" spans="1:6" x14ac:dyDescent="0.2">
      <c r="A23" s="63" t="s">
        <v>1426</v>
      </c>
      <c r="B23" s="57"/>
    </row>
    <row r="24" spans="1:6" s="140" customFormat="1" x14ac:dyDescent="0.2">
      <c r="A24" s="138" t="s">
        <v>1746</v>
      </c>
      <c r="B24" s="139"/>
    </row>
    <row r="25" spans="1:6" s="136" customFormat="1" ht="30" x14ac:dyDescent="0.2">
      <c r="A25" s="137" t="s">
        <v>1753</v>
      </c>
      <c r="B25" s="137" t="s">
        <v>885</v>
      </c>
    </row>
    <row r="26" spans="1:6" s="136" customFormat="1" x14ac:dyDescent="0.2">
      <c r="A26" s="137" t="s">
        <v>1681</v>
      </c>
      <c r="B26" s="137">
        <f ca="1">INDIRECT("N_SNPs!"&amp;"L"&amp;B$1+2)</f>
        <v>0</v>
      </c>
    </row>
    <row r="27" spans="1:6" s="136" customFormat="1" x14ac:dyDescent="0.2">
      <c r="A27" s="137" t="s">
        <v>1747</v>
      </c>
      <c r="B27" s="137">
        <f ca="1">INDIRECT("N_SNPs!"&amp;"M"&amp;B$1+2)</f>
        <v>1</v>
      </c>
    </row>
    <row r="28" spans="1:6" s="136" customFormat="1" x14ac:dyDescent="0.2">
      <c r="A28" s="137" t="s">
        <v>1683</v>
      </c>
      <c r="B28" s="137" t="str">
        <f ca="1">INDIRECT("N_SNPs!"&amp;"N"&amp;B$1+2)</f>
        <v>not needed</v>
      </c>
    </row>
    <row r="29" spans="1:6" s="136" customFormat="1" x14ac:dyDescent="0.2">
      <c r="A29" s="137" t="s">
        <v>2171</v>
      </c>
      <c r="B29" s="137">
        <v>2</v>
      </c>
    </row>
    <row r="30" spans="1:6" s="136" customFormat="1" ht="30" x14ac:dyDescent="0.2">
      <c r="A30" s="137" t="s">
        <v>2170</v>
      </c>
      <c r="B30" s="137">
        <v>3</v>
      </c>
    </row>
    <row r="31" spans="1:6" s="136" customFormat="1" ht="60" x14ac:dyDescent="0.2">
      <c r="A31" s="137" t="s">
        <v>2172</v>
      </c>
      <c r="B31" s="137">
        <f ca="1">INDIRECT("N_SNPs!"&amp;"Q"&amp;B$1+2)</f>
        <v>0</v>
      </c>
    </row>
    <row r="32" spans="1:6" s="136" customFormat="1" x14ac:dyDescent="0.2">
      <c r="A32" s="137" t="s">
        <v>1686</v>
      </c>
      <c r="B32" s="137" t="str">
        <f ca="1">INDIRECT("N_SNPs!"&amp;"R"&amp;B$1+2)</f>
        <v>double check this one: complicated</v>
      </c>
    </row>
    <row r="33" spans="1:3" s="172" customFormat="1" x14ac:dyDescent="0.2">
      <c r="A33" s="171" t="s">
        <v>1808</v>
      </c>
      <c r="B33" s="171">
        <v>3</v>
      </c>
    </row>
    <row r="34" spans="1:3" s="172" customFormat="1" x14ac:dyDescent="0.2">
      <c r="A34" s="203" t="s">
        <v>2177</v>
      </c>
      <c r="B34" s="171">
        <v>2</v>
      </c>
    </row>
    <row r="35" spans="1:3" s="172" customFormat="1" ht="60" x14ac:dyDescent="0.2">
      <c r="A35" s="171" t="s">
        <v>1810</v>
      </c>
      <c r="B35" s="171">
        <v>0</v>
      </c>
    </row>
    <row r="36" spans="1:3" s="174" customFormat="1" x14ac:dyDescent="0.2">
      <c r="A36" s="173" t="s">
        <v>1835</v>
      </c>
      <c r="B36" s="173" t="s">
        <v>1752</v>
      </c>
      <c r="C36" s="174" t="s">
        <v>2421</v>
      </c>
    </row>
    <row r="37" spans="1:3" s="174" customFormat="1" x14ac:dyDescent="0.2">
      <c r="A37" s="173" t="s">
        <v>2272</v>
      </c>
      <c r="B37" s="173" t="s">
        <v>1752</v>
      </c>
    </row>
    <row r="38" spans="1:3" s="174" customFormat="1" ht="30" x14ac:dyDescent="0.2">
      <c r="A38" s="173" t="s">
        <v>2299</v>
      </c>
      <c r="B38" s="173" t="s">
        <v>1752</v>
      </c>
    </row>
    <row r="39" spans="1:3" s="174" customFormat="1" x14ac:dyDescent="0.2">
      <c r="A39" s="173" t="s">
        <v>2273</v>
      </c>
      <c r="B39" s="173">
        <v>0</v>
      </c>
    </row>
    <row r="40" spans="1:3" s="174" customFormat="1" ht="30" x14ac:dyDescent="0.2">
      <c r="A40" s="173" t="s">
        <v>2274</v>
      </c>
      <c r="B40" s="33" t="s">
        <v>1752</v>
      </c>
    </row>
    <row r="41" spans="1:3" s="176" customFormat="1" ht="45" x14ac:dyDescent="0.2">
      <c r="A41" s="175" t="s">
        <v>1815</v>
      </c>
      <c r="B41" s="33" t="s">
        <v>1876</v>
      </c>
    </row>
    <row r="42" spans="1:3" s="176" customFormat="1" x14ac:dyDescent="0.2">
      <c r="A42" s="175" t="s">
        <v>1881</v>
      </c>
      <c r="B42" s="33" t="s">
        <v>494</v>
      </c>
    </row>
    <row r="43" spans="1:3" x14ac:dyDescent="0.2">
      <c r="A43" s="34" t="s">
        <v>1398</v>
      </c>
      <c r="B43" s="65"/>
    </row>
    <row r="44" spans="1:3" x14ac:dyDescent="0.2">
      <c r="A44" s="34" t="s">
        <v>1410</v>
      </c>
    </row>
    <row r="45" spans="1:3" x14ac:dyDescent="0.2">
      <c r="A45" s="34" t="s">
        <v>2374</v>
      </c>
      <c r="B45" s="33" t="s">
        <v>1752</v>
      </c>
    </row>
    <row r="46" spans="1:3" x14ac:dyDescent="0.2">
      <c r="A46" s="34" t="s">
        <v>1416</v>
      </c>
      <c r="B46" s="66" t="s">
        <v>1920</v>
      </c>
    </row>
    <row r="48" spans="1:3" x14ac:dyDescent="0.2">
      <c r="A48" s="34" t="s">
        <v>1490</v>
      </c>
      <c r="B48" s="66">
        <v>42655</v>
      </c>
    </row>
    <row r="49" spans="2:2" ht="409" x14ac:dyDescent="0.2">
      <c r="B49" s="33" t="s">
        <v>1921</v>
      </c>
    </row>
    <row r="51" spans="2:2" ht="30" x14ac:dyDescent="0.2">
      <c r="B51" s="33" t="s">
        <v>1803</v>
      </c>
    </row>
    <row r="52" spans="2:2" x14ac:dyDescent="0.2">
      <c r="B52" s="33" t="s">
        <v>1801</v>
      </c>
    </row>
    <row r="53" spans="2:2" x14ac:dyDescent="0.2">
      <c r="B53" s="33" t="s">
        <v>1872</v>
      </c>
    </row>
    <row r="54" spans="2:2" ht="60" x14ac:dyDescent="0.2">
      <c r="B54" s="33" t="s">
        <v>1802</v>
      </c>
    </row>
    <row r="56" spans="2:2" ht="30" x14ac:dyDescent="0.2">
      <c r="B56" s="33" t="s">
        <v>1804</v>
      </c>
    </row>
    <row r="58" spans="2:2" ht="225" x14ac:dyDescent="0.2">
      <c r="B58" s="33" t="s">
        <v>1805</v>
      </c>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249977111117893"/>
  </sheetPr>
  <dimension ref="A1:M48"/>
  <sheetViews>
    <sheetView zoomScale="90" zoomScaleNormal="90" zoomScalePageLayoutView="90" workbookViewId="0">
      <pane xSplit="1" ySplit="1" topLeftCell="B24"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3" max="3" width="11.1640625" customWidth="1"/>
    <col min="4" max="4" width="14.33203125" customWidth="1"/>
    <col min="5" max="5" width="9.83203125" customWidth="1"/>
    <col min="6" max="6" width="7.5" customWidth="1"/>
    <col min="7" max="7" width="10.83203125" customWidth="1"/>
    <col min="8" max="8" width="9.5" bestFit="1" customWidth="1"/>
  </cols>
  <sheetData>
    <row r="1" spans="1:13" s="58" customFormat="1" x14ac:dyDescent="0.2">
      <c r="A1" s="63" t="s">
        <v>1360</v>
      </c>
      <c r="B1" s="57">
        <v>25</v>
      </c>
      <c r="D1" s="52" t="s">
        <v>1851</v>
      </c>
      <c r="E1" s="52"/>
      <c r="F1" s="52"/>
      <c r="G1" s="52"/>
      <c r="H1" s="52"/>
      <c r="I1" s="52"/>
      <c r="J1" s="52"/>
      <c r="K1" s="52"/>
      <c r="L1" s="52"/>
      <c r="M1" s="52"/>
    </row>
    <row r="2" spans="1:13" ht="34.75" customHeight="1" x14ac:dyDescent="0.2">
      <c r="A2" s="34" t="s">
        <v>1321</v>
      </c>
      <c r="B2" s="33" t="str">
        <f ca="1">INDIRECT("main!"&amp;"C"&amp;B$1+2)</f>
        <v>Tost, Heike; Callicott, Joseph H.; Rasetti, Roberta; Vakkalanka, Radhakrishna; Mattay, Venkata S.; Weinberger, Daniel R.; Law, Amanda J.</v>
      </c>
      <c r="D2" s="73" t="s">
        <v>1537</v>
      </c>
      <c r="E2" s="53"/>
      <c r="F2" s="53"/>
      <c r="G2" s="53"/>
      <c r="H2" s="53"/>
      <c r="I2" s="53" t="s">
        <v>1382</v>
      </c>
      <c r="J2" s="53"/>
      <c r="K2" s="53"/>
      <c r="L2" s="53"/>
      <c r="M2" s="53"/>
    </row>
    <row r="3" spans="1:13" ht="35.5" customHeight="1" x14ac:dyDescent="0.2">
      <c r="A3" s="34" t="s">
        <v>1322</v>
      </c>
      <c r="B3" s="33" t="str">
        <f ca="1">INDIRECT("main!"&amp;"D"&amp;B$1+2)</f>
        <v>Effects of Neuregulin 3 Genotype on Human Prefrontal Cortex Physiology</v>
      </c>
      <c r="D3" s="53" t="s">
        <v>1395</v>
      </c>
      <c r="E3" s="53" t="s">
        <v>1366</v>
      </c>
      <c r="F3" s="53" t="s">
        <v>1367</v>
      </c>
      <c r="G3" s="53" t="s">
        <v>1368</v>
      </c>
      <c r="H3" s="54" t="s">
        <v>0</v>
      </c>
      <c r="I3" t="s">
        <v>1369</v>
      </c>
      <c r="J3" t="s">
        <v>1370</v>
      </c>
      <c r="K3" s="53" t="s">
        <v>1371</v>
      </c>
      <c r="L3" s="54" t="s">
        <v>1372</v>
      </c>
      <c r="M3" s="54" t="s">
        <v>1373</v>
      </c>
    </row>
    <row r="4" spans="1:13" x14ac:dyDescent="0.2">
      <c r="A4" s="34" t="s">
        <v>1324</v>
      </c>
      <c r="B4" s="33" t="str">
        <f ca="1">INDIRECT("main!"&amp;"J"&amp;B$1+2)</f>
        <v>10.1523/JNEUROSCI.3496-13.2014</v>
      </c>
      <c r="C4" s="33"/>
      <c r="D4" t="s">
        <v>1363</v>
      </c>
      <c r="E4" s="55">
        <v>0</v>
      </c>
      <c r="F4">
        <v>0.16</v>
      </c>
      <c r="G4">
        <f>0.01*SQRT(H4)</f>
        <v>0.18055470085267789</v>
      </c>
      <c r="H4" s="55">
        <v>326</v>
      </c>
      <c r="I4">
        <f>H4*F4</f>
        <v>52.160000000000004</v>
      </c>
      <c r="J4">
        <f>(H4*(H4-1)*G4^2+I4^2)/H4</f>
        <v>18.9406</v>
      </c>
      <c r="K4" s="53">
        <f>E4*I4</f>
        <v>0</v>
      </c>
      <c r="L4" s="53">
        <f>E4*H4</f>
        <v>0</v>
      </c>
      <c r="M4" s="53">
        <f>E4^2*H4</f>
        <v>0</v>
      </c>
    </row>
    <row r="5" spans="1:13" ht="49.5" customHeight="1" x14ac:dyDescent="0.2">
      <c r="A5" s="34" t="s">
        <v>1327</v>
      </c>
      <c r="B5" s="33" t="str">
        <f ca="1">INDIRECT("main!"&amp;"M"&amp;B$1+2)</f>
        <v>Healthy Caucasian volunteers (195 males, 215 females) aged 18-55 yr; 2nd sample included individuals with Sz and their siblings; our focus here is on sample 1</v>
      </c>
      <c r="D5" s="54" t="s">
        <v>1583</v>
      </c>
      <c r="E5" s="55">
        <v>1</v>
      </c>
      <c r="F5">
        <v>0.30499999999999999</v>
      </c>
      <c r="G5">
        <f>0.03*SQRT(H5)</f>
        <v>0.2749545416973504</v>
      </c>
      <c r="H5" s="55">
        <v>84</v>
      </c>
      <c r="I5">
        <f t="shared" ref="I5" si="0">H5*F5</f>
        <v>25.62</v>
      </c>
      <c r="J5">
        <f t="shared" ref="J5" si="1">(H5*(H5-1)*G5^2+I5^2)/H5</f>
        <v>14.088899999999999</v>
      </c>
      <c r="K5" s="53">
        <f t="shared" ref="K5" si="2">E5*I5</f>
        <v>25.62</v>
      </c>
      <c r="L5" s="53">
        <f t="shared" ref="L5" si="3">E5*H5</f>
        <v>84</v>
      </c>
      <c r="M5" s="53">
        <f t="shared" ref="M5" si="4">E5^2*H5</f>
        <v>84</v>
      </c>
    </row>
    <row r="6" spans="1:13" x14ac:dyDescent="0.2">
      <c r="A6" s="34" t="s">
        <v>1333</v>
      </c>
      <c r="B6" s="33" t="str">
        <f ca="1">INDIRECT("main!"&amp;"L"&amp;B$1+2)</f>
        <v>N1 = 410, (N2 = 201)</v>
      </c>
      <c r="D6" s="54"/>
      <c r="E6" s="55">
        <v>2</v>
      </c>
      <c r="H6" s="55"/>
      <c r="I6" s="55"/>
      <c r="J6" s="55"/>
      <c r="K6" s="55"/>
      <c r="L6" s="55"/>
      <c r="M6" s="55"/>
    </row>
    <row r="7" spans="1:13" x14ac:dyDescent="0.2">
      <c r="A7" s="34" t="s">
        <v>1903</v>
      </c>
      <c r="B7" s="33">
        <v>1</v>
      </c>
      <c r="D7" s="54"/>
      <c r="E7" s="55"/>
      <c r="H7" s="55"/>
      <c r="I7" s="55"/>
      <c r="J7" s="55"/>
      <c r="K7" s="55"/>
      <c r="L7" s="55"/>
      <c r="M7" s="55"/>
    </row>
    <row r="8" spans="1:13" ht="20.25" customHeight="1" x14ac:dyDescent="0.2">
      <c r="A8" s="34" t="s">
        <v>343</v>
      </c>
      <c r="B8" s="33" t="str">
        <f ca="1">INDIRECT("main!"&amp;"q"&amp;B$1+2)</f>
        <v>NRG3</v>
      </c>
      <c r="D8" s="54"/>
      <c r="E8" s="55" t="s">
        <v>1374</v>
      </c>
      <c r="F8" s="55"/>
      <c r="G8" s="55"/>
      <c r="H8" s="55">
        <f>SUM(H4:H6)</f>
        <v>410</v>
      </c>
      <c r="I8" s="55">
        <f>SUM(I4:I6)</f>
        <v>77.78</v>
      </c>
      <c r="J8" s="55">
        <f t="shared" ref="J8:M8" si="5">SUM(J4:J6)</f>
        <v>33.029499999999999</v>
      </c>
      <c r="K8" s="55">
        <f t="shared" si="5"/>
        <v>25.62</v>
      </c>
      <c r="L8" s="55">
        <f t="shared" si="5"/>
        <v>84</v>
      </c>
      <c r="M8" s="55">
        <f t="shared" si="5"/>
        <v>84</v>
      </c>
    </row>
    <row r="9" spans="1:13" ht="34.5" customHeight="1" x14ac:dyDescent="0.2">
      <c r="A9" s="34" t="s">
        <v>1329</v>
      </c>
      <c r="B9" s="33" t="str">
        <f ca="1">INDIRECT("main!"&amp;"r"&amp;B$1+2)</f>
        <v>rs10748842</v>
      </c>
      <c r="D9" s="53"/>
      <c r="E9" s="55"/>
      <c r="F9" s="55"/>
      <c r="G9" s="55"/>
      <c r="H9" s="55"/>
      <c r="I9" s="55"/>
      <c r="J9" s="55"/>
      <c r="K9" s="53"/>
      <c r="L9" s="53"/>
      <c r="M9" s="53"/>
    </row>
    <row r="10" spans="1:13" ht="30.25" customHeight="1" x14ac:dyDescent="0.2">
      <c r="A10" s="34" t="s">
        <v>1323</v>
      </c>
      <c r="B10" s="33" t="str">
        <f ca="1">INDIRECT("main!"&amp;"O"&amp;B$1+2)</f>
        <v>fMRI with n-back working memory task that robustly engages the prefrontal cortex</v>
      </c>
      <c r="D10" s="53" t="s">
        <v>1406</v>
      </c>
      <c r="E10" s="55"/>
      <c r="F10" s="55"/>
      <c r="G10" s="55"/>
      <c r="H10" s="55"/>
      <c r="I10" s="55"/>
      <c r="J10" s="55"/>
      <c r="K10" s="53"/>
      <c r="L10" s="53"/>
      <c r="M10" s="53"/>
    </row>
    <row r="11" spans="1:13" ht="84.25" customHeight="1" x14ac:dyDescent="0.2">
      <c r="A11" s="34" t="s">
        <v>1396</v>
      </c>
      <c r="B11" s="33" t="s">
        <v>2400</v>
      </c>
      <c r="D11" s="53" t="s">
        <v>1376</v>
      </c>
      <c r="E11" s="69" t="s">
        <v>1377</v>
      </c>
      <c r="F11" s="69">
        <f>(H8*K8-L8*I8)/(H8*M8-L8^2)</f>
        <v>0.14500000000000002</v>
      </c>
      <c r="G11" s="55"/>
      <c r="H11" s="55"/>
      <c r="I11" s="55"/>
      <c r="J11" s="55"/>
      <c r="L11" s="53" t="s">
        <v>2139</v>
      </c>
      <c r="M11" s="53"/>
    </row>
    <row r="12" spans="1:13" ht="68.75" customHeight="1" x14ac:dyDescent="0.2">
      <c r="A12" s="34" t="s">
        <v>1898</v>
      </c>
      <c r="B12" s="33" t="s">
        <v>2401</v>
      </c>
      <c r="D12" s="53"/>
      <c r="E12" s="70" t="s">
        <v>1378</v>
      </c>
      <c r="F12" s="69">
        <f>(H8*K8-L8*I8)/SQRT((H8*M8-L8^2)*(H8*J8-I8^2))</f>
        <v>0.27720875076810847</v>
      </c>
      <c r="G12" s="53" t="s">
        <v>1875</v>
      </c>
      <c r="H12" s="53"/>
      <c r="I12" s="53"/>
      <c r="J12" s="53"/>
      <c r="K12" s="53"/>
      <c r="L12" s="53"/>
      <c r="M12" s="53"/>
    </row>
    <row r="13" spans="1:13" ht="36" customHeight="1" x14ac:dyDescent="0.2">
      <c r="A13" s="34" t="s">
        <v>1326</v>
      </c>
      <c r="B13" s="33" t="s">
        <v>2398</v>
      </c>
      <c r="D13" s="53"/>
      <c r="E13" s="56" t="s">
        <v>1379</v>
      </c>
      <c r="F13" s="53">
        <f>F12^2</f>
        <v>7.6844691502415283E-2</v>
      </c>
      <c r="G13" s="53"/>
      <c r="H13" s="53"/>
      <c r="I13" s="53"/>
      <c r="J13" s="53"/>
      <c r="K13" s="53"/>
      <c r="L13" s="53"/>
      <c r="M13" s="53"/>
    </row>
    <row r="14" spans="1:13" x14ac:dyDescent="0.2">
      <c r="A14" s="34" t="s">
        <v>1852</v>
      </c>
      <c r="B14" s="33" t="str">
        <f>D4&amp;" (N = "&amp;H4&amp;"); "&amp;D5&amp;" (N = "&amp;H5&amp;") "</f>
        <v xml:space="preserve">TT (N = 326); CT/CC (N = 84) </v>
      </c>
      <c r="E14" s="53"/>
      <c r="F14" s="53"/>
      <c r="G14" s="53"/>
      <c r="H14" s="53"/>
      <c r="I14" s="53"/>
      <c r="J14" s="53"/>
      <c r="K14" s="53"/>
      <c r="L14" s="53"/>
      <c r="M14" s="53"/>
    </row>
    <row r="15" spans="1:13" x14ac:dyDescent="0.2">
      <c r="A15" s="34" t="s">
        <v>1848</v>
      </c>
      <c r="B15" s="62">
        <f>F12</f>
        <v>0.27720875076810847</v>
      </c>
      <c r="E15" s="58"/>
      <c r="F15" s="58"/>
    </row>
    <row r="16" spans="1:13" x14ac:dyDescent="0.2">
      <c r="A16" s="34" t="s">
        <v>1899</v>
      </c>
      <c r="B16" s="62" t="s">
        <v>2138</v>
      </c>
      <c r="D16" s="58"/>
      <c r="E16" s="58" t="s">
        <v>2141</v>
      </c>
      <c r="F16" s="58"/>
    </row>
    <row r="17" spans="1:7" ht="16" x14ac:dyDescent="0.2">
      <c r="A17" s="204" t="s">
        <v>2189</v>
      </c>
      <c r="B17" s="33">
        <v>0.13700000000000001</v>
      </c>
      <c r="E17" t="s">
        <v>1440</v>
      </c>
      <c r="F17" t="s">
        <v>1378</v>
      </c>
    </row>
    <row r="18" spans="1:7" x14ac:dyDescent="0.2">
      <c r="A18" s="64" t="s">
        <v>1401</v>
      </c>
      <c r="B18" s="33">
        <v>0.53600000000000003</v>
      </c>
      <c r="E18">
        <v>4.9000000000000004</v>
      </c>
      <c r="F18">
        <f>SQRT(E18^2/(E18^2+H8))</f>
        <v>0.23520481704398014</v>
      </c>
      <c r="G18" t="s">
        <v>2137</v>
      </c>
    </row>
    <row r="19" spans="1:7" x14ac:dyDescent="0.2">
      <c r="A19" s="64" t="s">
        <v>1346</v>
      </c>
      <c r="B19" s="33" t="s">
        <v>1587</v>
      </c>
    </row>
    <row r="20" spans="1:7" ht="30" x14ac:dyDescent="0.2">
      <c r="A20" s="33" t="s">
        <v>1388</v>
      </c>
      <c r="B20" s="33" t="s">
        <v>1874</v>
      </c>
      <c r="D20" s="58"/>
    </row>
    <row r="21" spans="1:7" ht="26" customHeight="1" x14ac:dyDescent="0.2">
      <c r="A21" s="33" t="s">
        <v>1390</v>
      </c>
      <c r="D21" s="236" t="s">
        <v>2415</v>
      </c>
      <c r="E21" s="236" t="s">
        <v>2416</v>
      </c>
    </row>
    <row r="22" spans="1:7" ht="76.75" customHeight="1" x14ac:dyDescent="0.2">
      <c r="A22" s="34" t="s">
        <v>1387</v>
      </c>
      <c r="B22" s="33" t="s">
        <v>1586</v>
      </c>
      <c r="D22" s="236">
        <v>410</v>
      </c>
      <c r="E22" s="236">
        <v>201</v>
      </c>
    </row>
    <row r="23" spans="1:7" ht="30" x14ac:dyDescent="0.2">
      <c r="A23" s="63" t="s">
        <v>1426</v>
      </c>
      <c r="B23" s="57" t="s">
        <v>1589</v>
      </c>
    </row>
    <row r="24" spans="1:7" s="140" customFormat="1" x14ac:dyDescent="0.2">
      <c r="A24" s="138" t="s">
        <v>1746</v>
      </c>
      <c r="B24" s="139"/>
    </row>
    <row r="25" spans="1:7" s="136" customFormat="1" ht="30" x14ac:dyDescent="0.2">
      <c r="A25" s="137" t="s">
        <v>1753</v>
      </c>
      <c r="B25" s="137" t="s">
        <v>2260</v>
      </c>
    </row>
    <row r="26" spans="1:7" s="136" customFormat="1" x14ac:dyDescent="0.2">
      <c r="A26" s="137" t="s">
        <v>1681</v>
      </c>
      <c r="B26" s="137">
        <f ca="1">INDIRECT("N_SNPs!"&amp;"L"&amp;B$1+2)</f>
        <v>0</v>
      </c>
    </row>
    <row r="27" spans="1:7" s="136" customFormat="1" x14ac:dyDescent="0.2">
      <c r="A27" s="137" t="s">
        <v>1747</v>
      </c>
      <c r="B27" s="137">
        <f ca="1">INDIRECT("N_SNPs!"&amp;"M"&amp;B$1+2)</f>
        <v>1</v>
      </c>
    </row>
    <row r="28" spans="1:7" s="136" customFormat="1" x14ac:dyDescent="0.2">
      <c r="A28" s="137" t="s">
        <v>1683</v>
      </c>
      <c r="B28" s="137" t="str">
        <f ca="1">INDIRECT("N_SNPs!"&amp;"N"&amp;B$1+2)</f>
        <v>not needed</v>
      </c>
    </row>
    <row r="29" spans="1:7" s="136" customFormat="1" x14ac:dyDescent="0.2">
      <c r="A29" s="137" t="s">
        <v>2171</v>
      </c>
      <c r="B29" s="137">
        <f ca="1">INDIRECT("N_SNPs!"&amp;"O"&amp;B$1+2)</f>
        <v>1</v>
      </c>
    </row>
    <row r="30" spans="1:7" s="136" customFormat="1" ht="30" x14ac:dyDescent="0.2">
      <c r="A30" s="137" t="s">
        <v>2170</v>
      </c>
      <c r="B30" s="137">
        <v>0</v>
      </c>
    </row>
    <row r="31" spans="1:7" s="136" customFormat="1" ht="60" x14ac:dyDescent="0.2">
      <c r="A31" s="137" t="s">
        <v>2172</v>
      </c>
      <c r="B31" s="137">
        <f ca="1">INDIRECT("N_SNPs!"&amp;"Q"&amp;B$1+2)</f>
        <v>5</v>
      </c>
    </row>
    <row r="32" spans="1:7" s="136" customFormat="1" x14ac:dyDescent="0.2">
      <c r="A32" s="137" t="s">
        <v>1686</v>
      </c>
      <c r="B32" s="137">
        <f ca="1">INDIRECT("N_SNPs!"&amp;"R"&amp;B$1+2)</f>
        <v>0</v>
      </c>
    </row>
    <row r="33" spans="1:3" s="172" customFormat="1" x14ac:dyDescent="0.2">
      <c r="A33" s="171" t="s">
        <v>1808</v>
      </c>
      <c r="B33" s="171">
        <v>1</v>
      </c>
    </row>
    <row r="34" spans="1:3" s="172" customFormat="1" x14ac:dyDescent="0.2">
      <c r="A34" s="203" t="s">
        <v>2177</v>
      </c>
      <c r="B34" s="171">
        <v>0</v>
      </c>
    </row>
    <row r="35" spans="1:3" s="172" customFormat="1" ht="60" x14ac:dyDescent="0.2">
      <c r="A35" s="171" t="s">
        <v>1810</v>
      </c>
      <c r="B35" s="171">
        <v>5</v>
      </c>
    </row>
    <row r="36" spans="1:3" s="174" customFormat="1" ht="105" x14ac:dyDescent="0.2">
      <c r="A36" s="173" t="s">
        <v>1835</v>
      </c>
      <c r="B36" s="185" t="s">
        <v>2402</v>
      </c>
      <c r="C36" s="174" t="s">
        <v>2420</v>
      </c>
    </row>
    <row r="37" spans="1:3" s="174" customFormat="1" ht="45" x14ac:dyDescent="0.2">
      <c r="A37" s="173" t="s">
        <v>2272</v>
      </c>
      <c r="B37" s="185" t="s">
        <v>2291</v>
      </c>
    </row>
    <row r="38" spans="1:3" s="174" customFormat="1" ht="30" x14ac:dyDescent="0.2">
      <c r="A38" s="173" t="s">
        <v>2299</v>
      </c>
      <c r="B38" s="173">
        <v>1</v>
      </c>
    </row>
    <row r="39" spans="1:3" s="174" customFormat="1" x14ac:dyDescent="0.2">
      <c r="A39" s="173" t="s">
        <v>2273</v>
      </c>
      <c r="B39" s="173">
        <v>1</v>
      </c>
    </row>
    <row r="40" spans="1:3" s="174" customFormat="1" ht="30" x14ac:dyDescent="0.2">
      <c r="A40" s="173" t="s">
        <v>2274</v>
      </c>
      <c r="B40" s="173">
        <v>5</v>
      </c>
    </row>
    <row r="41" spans="1:3" s="176" customFormat="1" x14ac:dyDescent="0.2">
      <c r="A41" s="175" t="s">
        <v>1815</v>
      </c>
      <c r="B41" s="185" t="s">
        <v>2194</v>
      </c>
    </row>
    <row r="42" spans="1:3" s="176" customFormat="1" x14ac:dyDescent="0.2">
      <c r="A42" s="175" t="s">
        <v>1881</v>
      </c>
      <c r="B42" s="185" t="s">
        <v>494</v>
      </c>
    </row>
    <row r="43" spans="1:3" x14ac:dyDescent="0.2">
      <c r="A43" s="34" t="s">
        <v>1398</v>
      </c>
      <c r="B43" s="65"/>
    </row>
    <row r="44" spans="1:3" x14ac:dyDescent="0.2">
      <c r="A44" s="34" t="s">
        <v>1410</v>
      </c>
    </row>
    <row r="45" spans="1:3" x14ac:dyDescent="0.2">
      <c r="A45" s="34" t="s">
        <v>2374</v>
      </c>
      <c r="B45" s="33">
        <v>0</v>
      </c>
    </row>
    <row r="46" spans="1:3" x14ac:dyDescent="0.2">
      <c r="A46" s="34" t="s">
        <v>1416</v>
      </c>
      <c r="B46" s="66" t="s">
        <v>1788</v>
      </c>
    </row>
    <row r="48" spans="1:3" x14ac:dyDescent="0.2">
      <c r="A48" s="34" t="s">
        <v>1490</v>
      </c>
      <c r="B48" s="33" t="s">
        <v>1811</v>
      </c>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54"/>
  <sheetViews>
    <sheetView zoomScale="90" zoomScaleNormal="90" zoomScalePageLayoutView="90" workbookViewId="0">
      <pane xSplit="1" ySplit="1" topLeftCell="B2" activePane="bottomRight" state="frozen"/>
      <selection activeCell="A38" sqref="A38"/>
      <selection pane="topRight" activeCell="A38" sqref="A38"/>
      <selection pane="bottomLeft" activeCell="A38" sqref="A38"/>
      <selection pane="bottomRight" activeCell="B21" sqref="B21"/>
    </sheetView>
  </sheetViews>
  <sheetFormatPr baseColWidth="10" defaultColWidth="9.1640625" defaultRowHeight="15" x14ac:dyDescent="0.2"/>
  <cols>
    <col min="1" max="1" width="42.1640625" style="34" customWidth="1"/>
    <col min="2" max="2" width="65.33203125" style="33" customWidth="1"/>
    <col min="3" max="3" width="11.1640625" customWidth="1"/>
    <col min="4" max="4" width="14.33203125" customWidth="1"/>
    <col min="5" max="5" width="9.83203125" customWidth="1"/>
    <col min="6" max="6" width="7.5" customWidth="1"/>
    <col min="7" max="7" width="10.83203125" customWidth="1"/>
    <col min="8" max="8" width="9.5" bestFit="1" customWidth="1"/>
  </cols>
  <sheetData>
    <row r="1" spans="1:13" s="58" customFormat="1" x14ac:dyDescent="0.2">
      <c r="A1" s="63" t="s">
        <v>1360</v>
      </c>
      <c r="B1" s="57">
        <v>24</v>
      </c>
      <c r="D1" s="52" t="s">
        <v>1851</v>
      </c>
      <c r="E1" s="52"/>
      <c r="F1" s="52"/>
      <c r="G1" s="52"/>
      <c r="H1" s="52"/>
      <c r="I1" s="52"/>
      <c r="J1" s="52"/>
      <c r="K1" s="52"/>
      <c r="L1" s="52"/>
      <c r="M1" s="52"/>
    </row>
    <row r="2" spans="1:13" ht="26.5" customHeight="1" x14ac:dyDescent="0.2">
      <c r="A2" s="34" t="s">
        <v>1321</v>
      </c>
      <c r="B2" s="33" t="str">
        <f ca="1">INDIRECT("main!"&amp;"C"&amp;B$1+2)</f>
        <v>Papaleo, F.; Burdick, M. C.; Callicott, J. H.; Weinberger, D. R.</v>
      </c>
      <c r="D2" s="73" t="s">
        <v>1537</v>
      </c>
      <c r="E2" s="53"/>
      <c r="F2" s="53"/>
      <c r="G2" s="53"/>
      <c r="H2" s="53"/>
      <c r="I2" s="53" t="s">
        <v>1382</v>
      </c>
      <c r="J2" s="53"/>
      <c r="K2" s="53"/>
      <c r="L2" s="53"/>
      <c r="M2" s="53"/>
    </row>
    <row r="3" spans="1:13" ht="35.5" customHeight="1" x14ac:dyDescent="0.2">
      <c r="A3" s="34" t="s">
        <v>1322</v>
      </c>
      <c r="B3" s="33" t="str">
        <f ca="1">INDIRECT("main!"&amp;"D"&amp;B$1+2)</f>
        <v>Epistatic interaction between COMT and DTNBP1 modulates prefrontal function in mice and in humans</v>
      </c>
      <c r="C3" t="s">
        <v>629</v>
      </c>
      <c r="D3" s="53" t="s">
        <v>1395</v>
      </c>
      <c r="E3" s="53" t="s">
        <v>1366</v>
      </c>
      <c r="F3" s="53" t="s">
        <v>1367</v>
      </c>
      <c r="G3" s="53" t="s">
        <v>1368</v>
      </c>
      <c r="H3" s="54" t="s">
        <v>0</v>
      </c>
      <c r="I3" t="s">
        <v>1369</v>
      </c>
      <c r="J3" t="s">
        <v>1370</v>
      </c>
      <c r="K3" s="53" t="s">
        <v>1371</v>
      </c>
      <c r="L3" s="54" t="s">
        <v>1372</v>
      </c>
      <c r="M3" s="54" t="s">
        <v>1373</v>
      </c>
    </row>
    <row r="4" spans="1:13" x14ac:dyDescent="0.2">
      <c r="A4" s="34" t="s">
        <v>1324</v>
      </c>
      <c r="B4" s="33" t="str">
        <f ca="1">INDIRECT("main!"&amp;"J"&amp;B$1+2)</f>
        <v>10.1038/mp.2013.133</v>
      </c>
      <c r="C4" s="33"/>
      <c r="D4" t="s">
        <v>2134</v>
      </c>
      <c r="E4" s="55">
        <v>0</v>
      </c>
      <c r="F4">
        <v>0.464642</v>
      </c>
      <c r="G4">
        <v>0.51951484468138709</v>
      </c>
      <c r="H4" s="55">
        <v>38</v>
      </c>
      <c r="I4">
        <f>H4*F4</f>
        <v>17.656396000000001</v>
      </c>
      <c r="J4">
        <f>(H4*(H4-1)*G4^2+I4^2)/H4</f>
        <v>18.190043082472055</v>
      </c>
      <c r="K4" s="53">
        <f>E4*I4</f>
        <v>0</v>
      </c>
      <c r="L4" s="53">
        <f>E4*H4</f>
        <v>0</v>
      </c>
      <c r="M4" s="53">
        <f>E4^2*H4</f>
        <v>0</v>
      </c>
    </row>
    <row r="5" spans="1:13" ht="23.25" customHeight="1" x14ac:dyDescent="0.2">
      <c r="A5" s="34" t="s">
        <v>1327</v>
      </c>
      <c r="B5" s="33" t="str">
        <f ca="1">INDIRECT("main!"&amp;"M"&amp;B$1+2)</f>
        <v>Healthy volunteers; Caucasian</v>
      </c>
      <c r="D5" t="s">
        <v>2135</v>
      </c>
      <c r="E5" s="55">
        <v>1</v>
      </c>
      <c r="F5">
        <v>0.69308633333333336</v>
      </c>
      <c r="G5">
        <v>0.43394534963082276</v>
      </c>
      <c r="H5">
        <v>125</v>
      </c>
      <c r="I5">
        <f t="shared" ref="I5" si="0">H5*F5</f>
        <v>86.635791666666677</v>
      </c>
      <c r="J5">
        <f t="shared" ref="J5" si="1">(H5*(H5-1)*G5^2+I5^2)/H5</f>
        <v>83.396345423491482</v>
      </c>
      <c r="K5" s="53">
        <f t="shared" ref="K5" si="2">E5*I5</f>
        <v>86.635791666666677</v>
      </c>
      <c r="L5" s="53">
        <f t="shared" ref="L5" si="3">E5*H5</f>
        <v>125</v>
      </c>
      <c r="M5" s="53">
        <f t="shared" ref="M5" si="4">E5^2*H5</f>
        <v>125</v>
      </c>
    </row>
    <row r="6" spans="1:13" x14ac:dyDescent="0.2">
      <c r="A6" s="34" t="s">
        <v>1333</v>
      </c>
      <c r="B6" s="33" t="str">
        <f ca="1">INDIRECT("main!"&amp;"L"&amp;B$1+2)</f>
        <v>N = 176</v>
      </c>
      <c r="D6" t="s">
        <v>2136</v>
      </c>
      <c r="E6" s="55">
        <v>2</v>
      </c>
      <c r="F6">
        <v>0.91260200000000002</v>
      </c>
      <c r="G6">
        <v>0.55550007390818579</v>
      </c>
      <c r="H6" s="55">
        <v>13</v>
      </c>
      <c r="I6" s="55"/>
      <c r="J6" s="55"/>
      <c r="K6" s="55"/>
      <c r="L6" s="55"/>
      <c r="M6" s="55"/>
    </row>
    <row r="7" spans="1:13" x14ac:dyDescent="0.2">
      <c r="A7" s="34" t="s">
        <v>1903</v>
      </c>
      <c r="B7" s="33">
        <v>1</v>
      </c>
      <c r="D7" s="54"/>
      <c r="E7" s="55"/>
      <c r="H7" s="55"/>
      <c r="I7" s="55"/>
      <c r="J7" s="55"/>
      <c r="K7" s="55"/>
      <c r="L7" s="55"/>
      <c r="M7" s="55"/>
    </row>
    <row r="8" spans="1:13" ht="20.25" customHeight="1" x14ac:dyDescent="0.2">
      <c r="A8" s="34" t="s">
        <v>343</v>
      </c>
      <c r="B8" s="33" t="str">
        <f ca="1">INDIRECT("main!"&amp;"q"&amp;B$1+2)</f>
        <v>COMT and dysbindin (dystrobrevin-binding protein 1 = DTNBP1)</v>
      </c>
      <c r="D8" s="54"/>
      <c r="E8" s="55" t="s">
        <v>1374</v>
      </c>
      <c r="F8" s="55"/>
      <c r="G8" s="55"/>
      <c r="H8" s="55">
        <f>SUM(H4:H6)</f>
        <v>176</v>
      </c>
      <c r="I8" s="55">
        <f>SUM(I4:I6)</f>
        <v>104.29218766666668</v>
      </c>
      <c r="J8" s="55">
        <f t="shared" ref="J8:M8" si="5">SUM(J4:J6)</f>
        <v>101.58638850596354</v>
      </c>
      <c r="K8" s="55">
        <f t="shared" si="5"/>
        <v>86.635791666666677</v>
      </c>
      <c r="L8" s="55">
        <f t="shared" si="5"/>
        <v>125</v>
      </c>
      <c r="M8" s="55">
        <f t="shared" si="5"/>
        <v>125</v>
      </c>
    </row>
    <row r="9" spans="1:13" ht="34.5" customHeight="1" x14ac:dyDescent="0.2">
      <c r="A9" s="34" t="s">
        <v>1329</v>
      </c>
      <c r="B9" s="33" t="str">
        <f ca="1">INDIRECT("main!"&amp;"r"&amp;B$1+2)</f>
        <v>COMT rs4680 Val/Met allele; dys haplotype associated with decreased DTNBP1 expression ('Bray haplotype')</v>
      </c>
      <c r="D9" s="53"/>
      <c r="E9" s="55"/>
      <c r="F9" s="55"/>
      <c r="G9" s="55" t="s">
        <v>1580</v>
      </c>
      <c r="H9" s="55">
        <v>176</v>
      </c>
      <c r="I9" s="55"/>
      <c r="J9" s="55"/>
      <c r="K9" s="53"/>
      <c r="L9" s="53"/>
      <c r="M9" s="53"/>
    </row>
    <row r="10" spans="1:13" ht="30.25" customHeight="1" x14ac:dyDescent="0.2">
      <c r="A10" s="34" t="s">
        <v>1323</v>
      </c>
      <c r="B10" s="33" t="str">
        <f ca="1">INDIRECT("main!"&amp;"O"&amp;B$1+2)</f>
        <v>fMRI during working memory paradigm  (N-back task). Focus on  dorsolateral prefrontal cortex; separate analysis for L and R</v>
      </c>
      <c r="D10" s="53" t="s">
        <v>1406</v>
      </c>
      <c r="E10" s="55"/>
      <c r="F10" s="55"/>
      <c r="G10" s="55"/>
      <c r="H10" s="55"/>
      <c r="I10" s="55"/>
      <c r="J10" s="55"/>
      <c r="K10" s="53"/>
      <c r="L10" s="53"/>
      <c r="M10" s="53"/>
    </row>
    <row r="11" spans="1:13" ht="117.75" customHeight="1" x14ac:dyDescent="0.2">
      <c r="A11" s="34" t="s">
        <v>1396</v>
      </c>
      <c r="B11" s="33" t="str">
        <f ca="1">INDIRECT("main!"&amp;"w"&amp;B$1+2)</f>
        <v>For each individual, first-level contrasts  created by contrasting the working memory 2-back with the control 0-back. Then multiple regressions that modeled main effects of COMT, the dys ‘Bray haplotype’ and their interaction. Nine groups based on three-COMT-by-three-Bray-haplotype. age and sex as nuisance variables in the multiple regression. Statistical significance was determined using two-tailed t-tests within SPM5 at an uncorrected whole-brain threshold 0.001</v>
      </c>
      <c r="D11" s="53" t="s">
        <v>1376</v>
      </c>
      <c r="E11" s="69" t="s">
        <v>1377</v>
      </c>
      <c r="F11" s="69">
        <f>(H8*K8-L8*I8)/(H8*M8-L8^2)</f>
        <v>0.34688249019607836</v>
      </c>
      <c r="G11" s="55"/>
      <c r="H11" s="55"/>
      <c r="I11" s="55"/>
      <c r="J11" s="55"/>
      <c r="K11" s="53"/>
      <c r="L11" s="53"/>
      <c r="M11" s="53"/>
    </row>
    <row r="12" spans="1:13" ht="48.25" customHeight="1" x14ac:dyDescent="0.2">
      <c r="A12" s="34" t="s">
        <v>1898</v>
      </c>
      <c r="B12" s="33" t="s">
        <v>1578</v>
      </c>
      <c r="D12" s="53"/>
      <c r="E12" s="70" t="s">
        <v>1378</v>
      </c>
      <c r="F12" s="69">
        <f>(H8*K8-L8*I8)/SQRT((H8*M8-L8^2)*(H8*J8-I8^2))</f>
        <v>0.33097923865268936</v>
      </c>
      <c r="G12" s="53" t="s">
        <v>2203</v>
      </c>
      <c r="H12" s="53"/>
      <c r="I12" s="53"/>
      <c r="J12" s="53"/>
      <c r="K12" s="53"/>
      <c r="L12" s="53"/>
      <c r="M12" s="53"/>
    </row>
    <row r="13" spans="1:13" ht="128.25" customHeight="1" x14ac:dyDescent="0.2">
      <c r="A13" s="34" t="s">
        <v>1326</v>
      </c>
      <c r="B13" s="33" t="s">
        <v>1576</v>
      </c>
      <c r="D13" s="53"/>
      <c r="E13" s="56" t="s">
        <v>1379</v>
      </c>
      <c r="F13" s="53">
        <f>F12^2</f>
        <v>0.10954725641911389</v>
      </c>
      <c r="G13" s="53"/>
      <c r="H13" s="53"/>
      <c r="I13" s="53"/>
      <c r="J13" s="53"/>
      <c r="K13" s="53"/>
      <c r="L13" s="53"/>
      <c r="M13" s="53"/>
    </row>
    <row r="14" spans="1:13" x14ac:dyDescent="0.2">
      <c r="A14" s="34" t="s">
        <v>1852</v>
      </c>
      <c r="B14" s="33" t="str">
        <f>D4&amp;" (N = "&amp;H4&amp;"); "&amp;D5&amp;" (N = "&amp;H5&amp;"); "&amp;D6&amp;" (N = "&amp;H6&amp;")"</f>
        <v>MM with +/- or -/- (N = 38); not MM (N = 125); MM with +/+ (N = 13)</v>
      </c>
      <c r="E14" s="53"/>
      <c r="F14" s="53"/>
      <c r="G14" s="53"/>
      <c r="H14" s="53"/>
      <c r="I14" s="53"/>
      <c r="J14" s="53"/>
      <c r="K14" s="53"/>
      <c r="L14" s="53"/>
      <c r="M14" s="53"/>
    </row>
    <row r="15" spans="1:13" x14ac:dyDescent="0.2">
      <c r="A15" s="34" t="s">
        <v>1848</v>
      </c>
      <c r="B15" s="62">
        <f>F18</f>
        <v>0.24464638046414378</v>
      </c>
      <c r="D15" s="58" t="s">
        <v>1438</v>
      </c>
      <c r="E15" s="58"/>
      <c r="F15" s="58"/>
    </row>
    <row r="16" spans="1:13" ht="45" x14ac:dyDescent="0.2">
      <c r="A16" s="34" t="s">
        <v>1899</v>
      </c>
      <c r="B16" s="62" t="s">
        <v>2430</v>
      </c>
      <c r="D16" s="58"/>
      <c r="E16" s="58"/>
      <c r="F16" s="58"/>
    </row>
    <row r="17" spans="1:7" ht="16" x14ac:dyDescent="0.2">
      <c r="A17" s="204" t="s">
        <v>2189</v>
      </c>
      <c r="B17" s="33">
        <v>0.20899999999999999</v>
      </c>
      <c r="D17" t="s">
        <v>1439</v>
      </c>
      <c r="E17" t="s">
        <v>1440</v>
      </c>
      <c r="F17" t="s">
        <v>1378</v>
      </c>
    </row>
    <row r="18" spans="1:7" x14ac:dyDescent="0.2">
      <c r="A18" s="64" t="s">
        <v>1401</v>
      </c>
      <c r="B18" s="33">
        <v>0.26200000000000001</v>
      </c>
      <c r="D18">
        <v>1E-3</v>
      </c>
      <c r="E18">
        <f>TINV(D18,H8-2)</f>
        <v>3.347318063261953</v>
      </c>
      <c r="F18">
        <f>SQRT(E18^2/(E18^2+H8))</f>
        <v>0.24464638046414378</v>
      </c>
      <c r="G18" t="s">
        <v>1581</v>
      </c>
    </row>
    <row r="19" spans="1:7" x14ac:dyDescent="0.2">
      <c r="A19" s="64" t="s">
        <v>1346</v>
      </c>
      <c r="B19" s="33" t="s">
        <v>494</v>
      </c>
    </row>
    <row r="20" spans="1:7" x14ac:dyDescent="0.2">
      <c r="A20" s="33" t="s">
        <v>1388</v>
      </c>
      <c r="B20" s="33" t="s">
        <v>2169</v>
      </c>
      <c r="D20" s="58" t="s">
        <v>1475</v>
      </c>
    </row>
    <row r="21" spans="1:7" ht="59.25" customHeight="1" x14ac:dyDescent="0.2">
      <c r="A21" s="33" t="s">
        <v>1390</v>
      </c>
      <c r="D21" s="236" t="s">
        <v>2415</v>
      </c>
      <c r="E21" s="236" t="s">
        <v>2416</v>
      </c>
    </row>
    <row r="22" spans="1:7" ht="127.5" customHeight="1" x14ac:dyDescent="0.2">
      <c r="A22" s="34" t="s">
        <v>1387</v>
      </c>
      <c r="B22" s="33" t="s">
        <v>2429</v>
      </c>
      <c r="D22" s="236">
        <v>176</v>
      </c>
      <c r="E22" s="236">
        <v>0</v>
      </c>
    </row>
    <row r="23" spans="1:7" ht="71.5" customHeight="1" x14ac:dyDescent="0.2">
      <c r="A23" s="63" t="s">
        <v>1426</v>
      </c>
      <c r="B23" s="57" t="s">
        <v>1652</v>
      </c>
    </row>
    <row r="24" spans="1:7" s="140" customFormat="1" x14ac:dyDescent="0.2">
      <c r="A24" s="138" t="s">
        <v>1746</v>
      </c>
      <c r="B24" s="139"/>
    </row>
    <row r="25" spans="1:7" s="136" customFormat="1" ht="30" x14ac:dyDescent="0.2">
      <c r="A25" s="137" t="s">
        <v>1753</v>
      </c>
      <c r="B25" s="137" t="s">
        <v>2264</v>
      </c>
    </row>
    <row r="26" spans="1:7" s="136" customFormat="1" x14ac:dyDescent="0.2">
      <c r="A26" s="137" t="s">
        <v>1681</v>
      </c>
      <c r="B26" s="137">
        <f ca="1">INDIRECT("N_SNPs!"&amp;"L"&amp;B$1+2)</f>
        <v>1</v>
      </c>
    </row>
    <row r="27" spans="1:7" s="136" customFormat="1" x14ac:dyDescent="0.2">
      <c r="A27" s="137" t="s">
        <v>1747</v>
      </c>
      <c r="B27" s="137">
        <v>4</v>
      </c>
    </row>
    <row r="28" spans="1:7" s="136" customFormat="1" x14ac:dyDescent="0.2">
      <c r="A28" s="137" t="s">
        <v>1683</v>
      </c>
      <c r="B28" s="137" t="s">
        <v>494</v>
      </c>
    </row>
    <row r="29" spans="1:7" s="136" customFormat="1" x14ac:dyDescent="0.2">
      <c r="A29" s="137" t="s">
        <v>2171</v>
      </c>
      <c r="B29" s="137">
        <f ca="1">INDIRECT("N_SNPs!"&amp;"O"&amp;B$1+2)</f>
        <v>2</v>
      </c>
    </row>
    <row r="30" spans="1:7" s="136" customFormat="1" ht="30" x14ac:dyDescent="0.2">
      <c r="A30" s="137" t="s">
        <v>2170</v>
      </c>
      <c r="B30" s="137">
        <v>3</v>
      </c>
    </row>
    <row r="31" spans="1:7" s="136" customFormat="1" ht="60" x14ac:dyDescent="0.2">
      <c r="A31" s="137" t="s">
        <v>2172</v>
      </c>
      <c r="B31" s="137">
        <v>0</v>
      </c>
    </row>
    <row r="32" spans="1:7" s="136" customFormat="1" x14ac:dyDescent="0.2">
      <c r="A32" s="137" t="s">
        <v>1686</v>
      </c>
      <c r="B32" s="137">
        <f>B35</f>
        <v>5</v>
      </c>
    </row>
    <row r="33" spans="1:3" s="172" customFormat="1" x14ac:dyDescent="0.2">
      <c r="A33" s="171" t="s">
        <v>1808</v>
      </c>
      <c r="B33" s="171">
        <v>1</v>
      </c>
    </row>
    <row r="34" spans="1:3" s="172" customFormat="1" x14ac:dyDescent="0.2">
      <c r="A34" s="203" t="s">
        <v>2177</v>
      </c>
      <c r="B34" s="171">
        <v>0</v>
      </c>
    </row>
    <row r="35" spans="1:3" s="172" customFormat="1" ht="60" x14ac:dyDescent="0.2">
      <c r="A35" s="171" t="s">
        <v>1810</v>
      </c>
      <c r="B35" s="171">
        <v>5</v>
      </c>
    </row>
    <row r="36" spans="1:3" s="174" customFormat="1" ht="60" x14ac:dyDescent="0.2">
      <c r="A36" s="173" t="s">
        <v>1835</v>
      </c>
      <c r="B36" s="198" t="s">
        <v>2289</v>
      </c>
      <c r="C36" s="174" t="s">
        <v>2420</v>
      </c>
    </row>
    <row r="37" spans="1:3" s="174" customFormat="1" ht="30" x14ac:dyDescent="0.2">
      <c r="A37" s="173" t="s">
        <v>2272</v>
      </c>
      <c r="B37" s="198" t="s">
        <v>2290</v>
      </c>
    </row>
    <row r="38" spans="1:3" s="174" customFormat="1" ht="30" x14ac:dyDescent="0.2">
      <c r="A38" s="173" t="s">
        <v>2299</v>
      </c>
      <c r="B38" s="173">
        <v>2</v>
      </c>
    </row>
    <row r="39" spans="1:3" s="174" customFormat="1" x14ac:dyDescent="0.2">
      <c r="A39" s="173" t="s">
        <v>2273</v>
      </c>
      <c r="B39" s="198">
        <v>1</v>
      </c>
    </row>
    <row r="40" spans="1:3" s="174" customFormat="1" ht="30" x14ac:dyDescent="0.2">
      <c r="A40" s="173" t="s">
        <v>2274</v>
      </c>
      <c r="B40" s="173">
        <v>5</v>
      </c>
    </row>
    <row r="41" spans="1:3" s="176" customFormat="1" x14ac:dyDescent="0.2">
      <c r="A41" s="175" t="s">
        <v>1815</v>
      </c>
      <c r="B41" s="7" t="s">
        <v>2193</v>
      </c>
    </row>
    <row r="42" spans="1:3" s="176" customFormat="1" x14ac:dyDescent="0.2">
      <c r="A42" s="175" t="s">
        <v>1881</v>
      </c>
      <c r="B42" s="7" t="s">
        <v>494</v>
      </c>
    </row>
    <row r="43" spans="1:3" x14ac:dyDescent="0.2">
      <c r="A43" s="34" t="s">
        <v>1398</v>
      </c>
      <c r="B43" s="65"/>
    </row>
    <row r="44" spans="1:3" x14ac:dyDescent="0.2">
      <c r="A44" s="34" t="s">
        <v>1410</v>
      </c>
    </row>
    <row r="45" spans="1:3" x14ac:dyDescent="0.2">
      <c r="A45" s="34" t="s">
        <v>2374</v>
      </c>
      <c r="B45" s="33">
        <v>1</v>
      </c>
    </row>
    <row r="46" spans="1:3" x14ac:dyDescent="0.2">
      <c r="A46" s="34" t="s">
        <v>1416</v>
      </c>
      <c r="B46" s="66" t="s">
        <v>1787</v>
      </c>
    </row>
    <row r="47" spans="1:3" x14ac:dyDescent="0.2">
      <c r="B47" s="66"/>
    </row>
    <row r="48" spans="1:3" x14ac:dyDescent="0.2">
      <c r="A48" s="34" t="s">
        <v>1490</v>
      </c>
      <c r="B48" s="33" t="s">
        <v>1791</v>
      </c>
    </row>
    <row r="51" spans="2:2" x14ac:dyDescent="0.2">
      <c r="B51" s="33" t="s">
        <v>2427</v>
      </c>
    </row>
    <row r="52" spans="2:2" x14ac:dyDescent="0.2">
      <c r="B52" s="33" t="s">
        <v>1799</v>
      </c>
    </row>
    <row r="53" spans="2:2" ht="30" x14ac:dyDescent="0.2">
      <c r="B53" s="33" t="s">
        <v>1800</v>
      </c>
    </row>
    <row r="54" spans="2:2" x14ac:dyDescent="0.2">
      <c r="B54" s="33" t="s">
        <v>2428</v>
      </c>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50"/>
  </sheetPr>
  <dimension ref="A1:M49"/>
  <sheetViews>
    <sheetView zoomScale="90" zoomScaleNormal="90" zoomScalePageLayoutView="90" workbookViewId="0">
      <pane xSplit="1" ySplit="1" topLeftCell="B22"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3" max="3" width="11.1640625" customWidth="1"/>
    <col min="4" max="4" width="14.33203125" customWidth="1"/>
    <col min="5" max="5" width="9.83203125" customWidth="1"/>
    <col min="6" max="6" width="7.5" customWidth="1"/>
    <col min="7" max="7" width="8" customWidth="1"/>
    <col min="8" max="8" width="9.5" bestFit="1" customWidth="1"/>
  </cols>
  <sheetData>
    <row r="1" spans="1:13" s="58" customFormat="1" x14ac:dyDescent="0.2">
      <c r="A1" s="63" t="s">
        <v>1360</v>
      </c>
      <c r="B1" s="57">
        <v>23</v>
      </c>
      <c r="D1" s="52" t="s">
        <v>1851</v>
      </c>
      <c r="E1" s="52"/>
      <c r="F1" s="52"/>
      <c r="G1" s="52"/>
      <c r="H1" s="52"/>
      <c r="I1" s="52"/>
      <c r="J1" s="52"/>
      <c r="K1" s="52"/>
      <c r="L1" s="52"/>
      <c r="M1" s="52"/>
    </row>
    <row r="2" spans="1:13" ht="48.25" customHeight="1" x14ac:dyDescent="0.2">
      <c r="A2" s="34" t="s">
        <v>1321</v>
      </c>
      <c r="B2" s="33" t="str">
        <f ca="1">INDIRECT("main!"&amp;"C"&amp;B$1+2)</f>
        <v>Muse, John; Emery, Matthew; Sambataro, Fabio; Lemaitre, Herve; Tan, Hao-Yang; Chen, Qiang; Kolachana, Bhaskar S.; Das, Saumitra; Callicott, Joseph H.; Weinberger, Daniel R.; Mattay, Venkata S.</v>
      </c>
      <c r="D2" s="73" t="s">
        <v>1537</v>
      </c>
      <c r="E2" s="53"/>
      <c r="F2" s="53"/>
      <c r="G2" s="53"/>
      <c r="H2" s="53"/>
      <c r="I2" s="53" t="s">
        <v>1382</v>
      </c>
      <c r="J2" s="53"/>
      <c r="K2" s="53"/>
      <c r="L2" s="53"/>
      <c r="M2" s="53"/>
    </row>
    <row r="3" spans="1:13" ht="35.5" customHeight="1" x14ac:dyDescent="0.2">
      <c r="A3" s="34" t="s">
        <v>1322</v>
      </c>
      <c r="B3" s="33" t="str">
        <f ca="1">INDIRECT("main!"&amp;"D"&amp;B$1+2)</f>
        <v>WWC1 Genotype Modulates Age-Related Decline in Episodic Memory Function Across the Adult Life Span</v>
      </c>
      <c r="D3" s="53" t="s">
        <v>1395</v>
      </c>
      <c r="E3" s="53" t="s">
        <v>1366</v>
      </c>
      <c r="F3" s="53" t="s">
        <v>1367</v>
      </c>
      <c r="G3" s="53" t="s">
        <v>1368</v>
      </c>
      <c r="H3" s="54" t="s">
        <v>0</v>
      </c>
      <c r="I3" t="s">
        <v>1369</v>
      </c>
      <c r="J3" t="s">
        <v>1370</v>
      </c>
      <c r="K3" s="53" t="s">
        <v>1371</v>
      </c>
      <c r="L3" s="54" t="s">
        <v>1372</v>
      </c>
      <c r="M3" s="54" t="s">
        <v>1373</v>
      </c>
    </row>
    <row r="4" spans="1:13" x14ac:dyDescent="0.2">
      <c r="A4" s="34" t="s">
        <v>1324</v>
      </c>
      <c r="B4" s="33" t="str">
        <f ca="1">INDIRECT("main!"&amp;"J"&amp;B$1+2)</f>
        <v>10.1016/j.biopsych.2013.09.036</v>
      </c>
      <c r="C4" s="33" t="s">
        <v>697</v>
      </c>
      <c r="D4" t="s">
        <v>1361</v>
      </c>
      <c r="E4" s="55">
        <v>0</v>
      </c>
      <c r="F4" s="55">
        <v>10.24</v>
      </c>
      <c r="G4" s="55">
        <v>3.81</v>
      </c>
      <c r="H4" s="55">
        <v>34</v>
      </c>
      <c r="I4">
        <f>H4*F4</f>
        <v>348.16</v>
      </c>
      <c r="J4">
        <f>(H4*(H4-1)*G4^2+I4^2)/H4</f>
        <v>4044.1897000000008</v>
      </c>
      <c r="K4" s="53">
        <f>E4*I4</f>
        <v>0</v>
      </c>
      <c r="L4" s="53">
        <f>E4*H4</f>
        <v>0</v>
      </c>
      <c r="M4" s="53">
        <f>E4^2*H4</f>
        <v>0</v>
      </c>
    </row>
    <row r="5" spans="1:13" ht="41" customHeight="1" x14ac:dyDescent="0.2">
      <c r="A5" s="34" t="s">
        <v>1327</v>
      </c>
      <c r="B5" s="33" t="str">
        <f ca="1">INDIRECT("main!"&amp;"M"&amp;B$1+2)</f>
        <v>Healthy, Caucasian subjects (18–89 years); for some analyses focus just on older subgroup]</v>
      </c>
      <c r="D5" s="54" t="s">
        <v>1570</v>
      </c>
      <c r="E5" s="55">
        <v>1</v>
      </c>
      <c r="F5" s="55">
        <v>13.75</v>
      </c>
      <c r="G5" s="55">
        <v>4.3099999999999996</v>
      </c>
      <c r="H5" s="55">
        <v>32</v>
      </c>
      <c r="I5">
        <f t="shared" ref="I5" si="0">H5*F5</f>
        <v>440</v>
      </c>
      <c r="J5">
        <f t="shared" ref="J5" si="1">(H5*(H5-1)*G5^2+I5^2)/H5</f>
        <v>6625.8590999999997</v>
      </c>
      <c r="K5" s="53">
        <f t="shared" ref="K5" si="2">E5*I5</f>
        <v>440</v>
      </c>
      <c r="L5" s="53">
        <f t="shared" ref="L5" si="3">E5*H5</f>
        <v>32</v>
      </c>
      <c r="M5" s="53">
        <f t="shared" ref="M5" si="4">E5^2*H5</f>
        <v>32</v>
      </c>
    </row>
    <row r="6" spans="1:13" x14ac:dyDescent="0.2">
      <c r="A6" s="34" t="s">
        <v>1333</v>
      </c>
      <c r="B6" s="33" t="str">
        <f ca="1">INDIRECT("main!"&amp;"L"&amp;B$1+2)</f>
        <v>N = 232</v>
      </c>
      <c r="D6" s="54"/>
      <c r="E6" s="55"/>
      <c r="F6" s="55"/>
      <c r="G6" s="55"/>
      <c r="H6" s="55"/>
      <c r="I6" s="55"/>
      <c r="J6" s="55"/>
      <c r="K6" s="55"/>
      <c r="L6" s="55"/>
      <c r="M6" s="55"/>
    </row>
    <row r="7" spans="1:13" x14ac:dyDescent="0.2">
      <c r="A7" s="34" t="s">
        <v>1903</v>
      </c>
      <c r="B7" s="33">
        <v>2</v>
      </c>
      <c r="D7" s="54"/>
      <c r="E7" s="55"/>
      <c r="F7" s="55"/>
      <c r="G7" s="55"/>
      <c r="H7" s="55"/>
      <c r="I7" s="55"/>
      <c r="J7" s="55"/>
      <c r="K7" s="55"/>
      <c r="L7" s="55"/>
      <c r="M7" s="55"/>
    </row>
    <row r="8" spans="1:13" ht="20.25" customHeight="1" x14ac:dyDescent="0.2">
      <c r="A8" s="34" t="s">
        <v>343</v>
      </c>
      <c r="B8" s="33" t="str">
        <f ca="1">INDIRECT("main!"&amp;"q"&amp;B$1+2)</f>
        <v>WWC1 (gene that encodes KIBRA protein)</v>
      </c>
      <c r="D8" s="54"/>
      <c r="E8" s="55" t="s">
        <v>1374</v>
      </c>
      <c r="F8" s="55"/>
      <c r="G8" s="55"/>
      <c r="H8" s="55">
        <f>SUM(H4:H6)</f>
        <v>66</v>
      </c>
      <c r="I8" s="55">
        <f>SUM(I4:I6)</f>
        <v>788.16000000000008</v>
      </c>
      <c r="J8" s="55">
        <f t="shared" ref="J8:M8" si="5">SUM(J4:J6)</f>
        <v>10670.0488</v>
      </c>
      <c r="K8" s="55">
        <f t="shared" si="5"/>
        <v>440</v>
      </c>
      <c r="L8" s="55">
        <f t="shared" si="5"/>
        <v>32</v>
      </c>
      <c r="M8" s="55">
        <f t="shared" si="5"/>
        <v>32</v>
      </c>
    </row>
    <row r="9" spans="1:13" ht="25.5" customHeight="1" x14ac:dyDescent="0.2">
      <c r="A9" s="34" t="s">
        <v>1329</v>
      </c>
      <c r="B9" s="33" t="str">
        <f ca="1">INDIRECT("main!"&amp;"r"&amp;B$1+2)</f>
        <v>rs17070145</v>
      </c>
      <c r="D9" s="53"/>
      <c r="E9" s="55"/>
      <c r="F9" s="55"/>
      <c r="G9" s="55"/>
      <c r="H9" s="55"/>
      <c r="I9" s="55"/>
      <c r="J9" s="55"/>
      <c r="K9" s="53"/>
      <c r="L9" s="53"/>
      <c r="M9" s="53"/>
    </row>
    <row r="10" spans="1:13" ht="83.25" customHeight="1" x14ac:dyDescent="0.2">
      <c r="A10" s="34" t="s">
        <v>1323</v>
      </c>
      <c r="B10" s="33" t="str">
        <f ca="1">INDIRECT("main!"&amp;"O"&amp;B$1+2)</f>
        <v>BOLD fMRI during episodic memory encoding and retrieval of aversive and neutral complex scenes from International Affective Picture System; also battery of memory and neuropsychological tests giving 7 measures</v>
      </c>
      <c r="D10" s="53" t="s">
        <v>1406</v>
      </c>
      <c r="E10" s="55"/>
      <c r="F10" s="55"/>
      <c r="G10" s="55"/>
      <c r="H10" s="55"/>
      <c r="I10" s="55"/>
      <c r="J10" s="55"/>
      <c r="K10" s="53"/>
      <c r="L10" s="53"/>
      <c r="M10" s="53"/>
    </row>
    <row r="11" spans="1:13" ht="94.5" customHeight="1" x14ac:dyDescent="0.2">
      <c r="A11" s="34" t="s">
        <v>1396</v>
      </c>
      <c r="B11" s="33" t="str">
        <f ca="1">INDIRECT("main!"&amp;"w"&amp;B$1+2)</f>
        <v>fMRI analysis limited to neutral stimuli and to hippocampal formation. Individual subject first-level contrast images related to the encoding and retrieval sessions of neutral scenes  entered into 2nd-level multiple regression analyses to explore  main effects of age and  WWC1 polymorphism, as well as their interaction on the regions of the brain that were activated in each task</v>
      </c>
      <c r="D11" s="53" t="s">
        <v>1376</v>
      </c>
      <c r="E11" s="69" t="s">
        <v>1377</v>
      </c>
      <c r="F11" s="69">
        <f>(H8*K8-L8*I8)/(H8*M8-L8^2)</f>
        <v>3.5099999999999976</v>
      </c>
      <c r="G11" s="55"/>
      <c r="H11" s="55"/>
      <c r="I11" s="55"/>
      <c r="J11" s="55"/>
      <c r="K11" s="53"/>
      <c r="L11" s="53"/>
      <c r="M11" s="53"/>
    </row>
    <row r="12" spans="1:13" ht="28.5" customHeight="1" x14ac:dyDescent="0.2">
      <c r="A12" s="34" t="s">
        <v>1898</v>
      </c>
      <c r="B12" s="33" t="s">
        <v>2133</v>
      </c>
      <c r="D12" s="53"/>
      <c r="E12" s="70" t="s">
        <v>1378</v>
      </c>
      <c r="F12" s="69">
        <f>(H8*K8-L8*I8)/SQRT((H8*M8-L8^2)*(H8*J8-I8^2))</f>
        <v>0.40180172704680395</v>
      </c>
      <c r="G12" s="53"/>
      <c r="H12" s="53"/>
      <c r="I12" s="53"/>
      <c r="J12" s="53"/>
      <c r="K12" s="53"/>
      <c r="L12" s="53"/>
      <c r="M12" s="53"/>
    </row>
    <row r="13" spans="1:13" ht="128.25" customHeight="1" x14ac:dyDescent="0.2">
      <c r="A13" s="34" t="s">
        <v>1326</v>
      </c>
      <c r="B13" s="33" t="s">
        <v>1565</v>
      </c>
      <c r="D13" s="53"/>
      <c r="E13" s="56" t="s">
        <v>1379</v>
      </c>
      <c r="F13" s="53">
        <f>F12^2</f>
        <v>0.16144462785779434</v>
      </c>
      <c r="G13" s="53"/>
      <c r="H13" s="53"/>
      <c r="I13" s="53"/>
      <c r="J13" s="53"/>
      <c r="K13" s="53"/>
      <c r="L13" s="53"/>
      <c r="M13" s="53"/>
    </row>
    <row r="14" spans="1:13" x14ac:dyDescent="0.2">
      <c r="A14" s="34" t="s">
        <v>1852</v>
      </c>
      <c r="B14" s="33" t="str">
        <f>D4&amp;" (N = "&amp;H4&amp;"); "&amp;D5&amp;" (N = "&amp;H5&amp;")"</f>
        <v>CC (N = 34); TC/TT (N = 32)</v>
      </c>
      <c r="E14" s="53"/>
      <c r="F14" s="53"/>
      <c r="G14" s="53"/>
      <c r="H14" s="53"/>
      <c r="I14" s="53"/>
      <c r="J14" s="53"/>
      <c r="K14" s="53"/>
      <c r="L14" s="53"/>
      <c r="M14" s="53"/>
    </row>
    <row r="15" spans="1:13" x14ac:dyDescent="0.2">
      <c r="A15" s="34" t="s">
        <v>1848</v>
      </c>
      <c r="B15" s="62">
        <f>F12</f>
        <v>0.40180172704680395</v>
      </c>
      <c r="D15" s="58" t="s">
        <v>1438</v>
      </c>
      <c r="E15" s="58"/>
      <c r="F15" s="58"/>
    </row>
    <row r="16" spans="1:13" x14ac:dyDescent="0.2">
      <c r="A16" s="34" t="s">
        <v>1899</v>
      </c>
      <c r="B16" s="62" t="s">
        <v>2132</v>
      </c>
      <c r="D16" s="58"/>
      <c r="E16" s="58"/>
      <c r="F16" s="58"/>
    </row>
    <row r="17" spans="1:6" ht="16" x14ac:dyDescent="0.2">
      <c r="A17" s="204" t="s">
        <v>2189</v>
      </c>
      <c r="B17" s="33">
        <v>0.33700000000000002</v>
      </c>
      <c r="D17" t="s">
        <v>1439</v>
      </c>
      <c r="E17" t="s">
        <v>1440</v>
      </c>
      <c r="F17" t="s">
        <v>1378</v>
      </c>
    </row>
    <row r="18" spans="1:6" x14ac:dyDescent="0.2">
      <c r="A18" s="64" t="s">
        <v>1401</v>
      </c>
      <c r="B18" s="33">
        <v>0.126</v>
      </c>
      <c r="D18">
        <v>8.0000000000000004E-4</v>
      </c>
      <c r="E18">
        <f>TINV(D18,H8-2)</f>
        <v>3.5202962823695283</v>
      </c>
      <c r="F18">
        <f>SQRT(E18^2/(E18^2+H8))</f>
        <v>0.39759599279662228</v>
      </c>
    </row>
    <row r="19" spans="1:6" x14ac:dyDescent="0.2">
      <c r="A19" s="64" t="s">
        <v>1346</v>
      </c>
      <c r="B19" s="33" t="s">
        <v>494</v>
      </c>
    </row>
    <row r="20" spans="1:6" x14ac:dyDescent="0.2">
      <c r="A20" s="33" t="s">
        <v>1388</v>
      </c>
      <c r="B20" s="33" t="s">
        <v>2169</v>
      </c>
      <c r="D20" s="58"/>
    </row>
    <row r="21" spans="1:6" ht="59.25" customHeight="1" x14ac:dyDescent="0.2">
      <c r="A21" s="33" t="s">
        <v>1390</v>
      </c>
      <c r="B21" s="33" t="s">
        <v>1922</v>
      </c>
      <c r="D21" s="236" t="s">
        <v>2415</v>
      </c>
      <c r="E21" s="236" t="s">
        <v>2416</v>
      </c>
    </row>
    <row r="22" spans="1:6" ht="98" customHeight="1" x14ac:dyDescent="0.2">
      <c r="A22" s="34" t="s">
        <v>1387</v>
      </c>
      <c r="B22" s="33" t="s">
        <v>2397</v>
      </c>
      <c r="D22" s="236">
        <v>232</v>
      </c>
      <c r="E22" s="236">
        <v>0</v>
      </c>
    </row>
    <row r="23" spans="1:6" x14ac:dyDescent="0.2">
      <c r="A23" s="63" t="s">
        <v>1426</v>
      </c>
      <c r="B23" s="57"/>
    </row>
    <row r="24" spans="1:6" s="140" customFormat="1" x14ac:dyDescent="0.2">
      <c r="A24" s="138" t="s">
        <v>1746</v>
      </c>
      <c r="B24" s="139"/>
    </row>
    <row r="25" spans="1:6" s="136" customFormat="1" ht="30" x14ac:dyDescent="0.2">
      <c r="A25" s="137" t="s">
        <v>1753</v>
      </c>
      <c r="B25" s="137" t="s">
        <v>2260</v>
      </c>
    </row>
    <row r="26" spans="1:6" s="136" customFormat="1" x14ac:dyDescent="0.2">
      <c r="A26" s="137" t="s">
        <v>1681</v>
      </c>
      <c r="B26" s="137">
        <f ca="1">INDIRECT("N_SNPs!"&amp;"L"&amp;B$1+2)</f>
        <v>0</v>
      </c>
    </row>
    <row r="27" spans="1:6" s="136" customFormat="1" x14ac:dyDescent="0.2">
      <c r="A27" s="137" t="s">
        <v>1747</v>
      </c>
      <c r="B27" s="137">
        <f ca="1">INDIRECT("N_SNPs!"&amp;"M"&amp;B$1+2)</f>
        <v>1</v>
      </c>
    </row>
    <row r="28" spans="1:6" s="136" customFormat="1" x14ac:dyDescent="0.2">
      <c r="A28" s="137" t="s">
        <v>1683</v>
      </c>
      <c r="B28" s="137" t="str">
        <f ca="1">INDIRECT("N_SNPs!"&amp;"N"&amp;B$1+2)</f>
        <v>not needed</v>
      </c>
    </row>
    <row r="29" spans="1:6" s="136" customFormat="1" x14ac:dyDescent="0.2">
      <c r="A29" s="137" t="s">
        <v>2171</v>
      </c>
      <c r="B29" s="137">
        <f ca="1">INDIRECT("N_SNPs!"&amp;"O"&amp;B$1+2)</f>
        <v>1</v>
      </c>
    </row>
    <row r="30" spans="1:6" s="136" customFormat="1" ht="30" x14ac:dyDescent="0.2">
      <c r="A30" s="137" t="s">
        <v>2170</v>
      </c>
      <c r="B30" s="137">
        <v>0</v>
      </c>
    </row>
    <row r="31" spans="1:6" s="136" customFormat="1" ht="60" x14ac:dyDescent="0.2">
      <c r="A31" s="137" t="s">
        <v>2172</v>
      </c>
      <c r="B31" s="137">
        <f ca="1">INDIRECT("N_SNPs!"&amp;"Q"&amp;B$1+2)</f>
        <v>5</v>
      </c>
    </row>
    <row r="32" spans="1:6" s="136" customFormat="1" x14ac:dyDescent="0.2">
      <c r="A32" s="137" t="s">
        <v>1686</v>
      </c>
      <c r="B32" s="137">
        <f ca="1">INDIRECT("N_SNPs!"&amp;"R"&amp;B$1+2)</f>
        <v>0</v>
      </c>
    </row>
    <row r="33" spans="1:3" s="172" customFormat="1" x14ac:dyDescent="0.2">
      <c r="A33" s="171" t="s">
        <v>1808</v>
      </c>
      <c r="B33" s="171">
        <v>7</v>
      </c>
    </row>
    <row r="34" spans="1:3" s="172" customFormat="1" x14ac:dyDescent="0.2">
      <c r="A34" s="203" t="s">
        <v>2177</v>
      </c>
      <c r="B34" s="171">
        <v>2</v>
      </c>
    </row>
    <row r="35" spans="1:3" s="172" customFormat="1" ht="60" x14ac:dyDescent="0.2">
      <c r="A35" s="171" t="s">
        <v>1810</v>
      </c>
      <c r="B35" s="171">
        <v>0</v>
      </c>
    </row>
    <row r="36" spans="1:3" s="174" customFormat="1" ht="85" customHeight="1" x14ac:dyDescent="0.2">
      <c r="A36" s="173" t="s">
        <v>1835</v>
      </c>
      <c r="B36" s="173" t="s">
        <v>2288</v>
      </c>
      <c r="C36" s="174" t="s">
        <v>2420</v>
      </c>
    </row>
    <row r="37" spans="1:3" s="174" customFormat="1" ht="85" customHeight="1" x14ac:dyDescent="0.2">
      <c r="A37" s="173" t="s">
        <v>2272</v>
      </c>
      <c r="B37" s="185" t="s">
        <v>2192</v>
      </c>
    </row>
    <row r="38" spans="1:3" s="174" customFormat="1" ht="30" x14ac:dyDescent="0.2">
      <c r="A38" s="173" t="s">
        <v>2299</v>
      </c>
      <c r="B38" s="173">
        <v>1</v>
      </c>
    </row>
    <row r="39" spans="1:3" s="174" customFormat="1" x14ac:dyDescent="0.2">
      <c r="A39" s="173" t="s">
        <v>2273</v>
      </c>
      <c r="B39" s="173">
        <v>4</v>
      </c>
    </row>
    <row r="40" spans="1:3" s="174" customFormat="1" ht="30" x14ac:dyDescent="0.2">
      <c r="A40" s="173" t="s">
        <v>2274</v>
      </c>
      <c r="B40" s="173">
        <v>2</v>
      </c>
    </row>
    <row r="41" spans="1:3" s="176" customFormat="1" x14ac:dyDescent="0.2">
      <c r="A41" s="175" t="s">
        <v>1815</v>
      </c>
    </row>
    <row r="42" spans="1:3" s="176" customFormat="1" x14ac:dyDescent="0.2">
      <c r="A42" s="175" t="s">
        <v>1881</v>
      </c>
      <c r="B42" s="185" t="s">
        <v>494</v>
      </c>
    </row>
    <row r="43" spans="1:3" x14ac:dyDescent="0.2">
      <c r="A43" s="34" t="s">
        <v>1398</v>
      </c>
      <c r="B43" s="65"/>
    </row>
    <row r="44" spans="1:3" x14ac:dyDescent="0.2">
      <c r="A44" s="34" t="s">
        <v>1410</v>
      </c>
    </row>
    <row r="45" spans="1:3" x14ac:dyDescent="0.2">
      <c r="A45" s="34" t="s">
        <v>2374</v>
      </c>
      <c r="B45" s="33" t="s">
        <v>1752</v>
      </c>
    </row>
    <row r="46" spans="1:3" x14ac:dyDescent="0.2">
      <c r="A46" s="34" t="s">
        <v>1416</v>
      </c>
      <c r="B46" s="185" t="s">
        <v>1572</v>
      </c>
    </row>
    <row r="48" spans="1:3" x14ac:dyDescent="0.2">
      <c r="A48" s="34" t="s">
        <v>1490</v>
      </c>
      <c r="B48" s="33" t="s">
        <v>1660</v>
      </c>
    </row>
    <row r="49" spans="2:2" ht="90" x14ac:dyDescent="0.2">
      <c r="B49" s="33" t="s">
        <v>1786</v>
      </c>
    </row>
  </sheetData>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I50"/>
  <sheetViews>
    <sheetView zoomScale="90" zoomScaleNormal="90" zoomScalePageLayoutView="90" workbookViewId="0">
      <pane xSplit="1" ySplit="1" topLeftCell="B22"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4" max="4" width="14.33203125" customWidth="1"/>
    <col min="5" max="5" width="9.83203125" customWidth="1"/>
    <col min="6" max="6" width="7.5" customWidth="1"/>
    <col min="7" max="7" width="8" customWidth="1"/>
    <col min="8" max="8" width="9.5" bestFit="1" customWidth="1"/>
  </cols>
  <sheetData>
    <row r="1" spans="1:9" s="58" customFormat="1" x14ac:dyDescent="0.2">
      <c r="A1" s="63" t="s">
        <v>1360</v>
      </c>
      <c r="B1" s="57">
        <v>22</v>
      </c>
      <c r="D1" s="52" t="s">
        <v>1851</v>
      </c>
      <c r="E1" s="52"/>
      <c r="F1" s="52"/>
      <c r="G1" s="52"/>
      <c r="H1" s="52"/>
      <c r="I1" s="52"/>
    </row>
    <row r="2" spans="1:9" ht="48.25" customHeight="1" x14ac:dyDescent="0.2">
      <c r="A2" s="34" t="s">
        <v>1321</v>
      </c>
      <c r="B2" s="33" t="str">
        <f ca="1">INDIRECT("main!"&amp;"C"&amp;B$1+2)</f>
        <v>Knickmeyer, Rebecca C.; Wang, Jiaping; Zhu, Hongtu; Geng, Xiujuan; Woolson, Sandra; Hamer, Robert M.; Konneker, Thomas; Lin, Weili; Styner, Martin; Gilmore, John H.</v>
      </c>
      <c r="D2" s="73" t="s">
        <v>1537</v>
      </c>
      <c r="E2" s="53"/>
      <c r="F2" s="53"/>
      <c r="G2" s="53"/>
      <c r="H2" s="53"/>
      <c r="I2" s="53" t="s">
        <v>1382</v>
      </c>
    </row>
    <row r="3" spans="1:9" ht="35.5" customHeight="1" x14ac:dyDescent="0.2">
      <c r="A3" s="34" t="s">
        <v>1322</v>
      </c>
      <c r="B3" s="33" t="str">
        <f ca="1">INDIRECT("main!"&amp;"D"&amp;B$1+2)</f>
        <v>Common Variants in Psychiatric Risk Genes Predict Brain Structure at Birth</v>
      </c>
      <c r="D3" s="53" t="s">
        <v>1395</v>
      </c>
      <c r="E3" s="53" t="s">
        <v>1366</v>
      </c>
      <c r="F3" s="53" t="s">
        <v>1367</v>
      </c>
      <c r="G3" s="53" t="s">
        <v>1368</v>
      </c>
      <c r="H3" s="54" t="s">
        <v>0</v>
      </c>
    </row>
    <row r="4" spans="1:9" x14ac:dyDescent="0.2">
      <c r="A4" s="34" t="s">
        <v>1324</v>
      </c>
      <c r="B4" s="33" t="str">
        <f ca="1">INDIRECT("main!"&amp;"J"&amp;B$1+2)</f>
        <v>10.1093/cercor/bhs401</v>
      </c>
      <c r="C4" s="74" t="s">
        <v>1560</v>
      </c>
      <c r="D4" t="s">
        <v>1305</v>
      </c>
      <c r="E4" s="55">
        <v>0</v>
      </c>
      <c r="F4" s="55"/>
      <c r="G4" s="55"/>
      <c r="H4" s="55">
        <f>73+37</f>
        <v>110</v>
      </c>
    </row>
    <row r="5" spans="1:9" ht="47.25" customHeight="1" x14ac:dyDescent="0.2">
      <c r="A5" s="34" t="s">
        <v>1327</v>
      </c>
      <c r="B5" s="33" t="str">
        <f ca="1">INDIRECT("main!"&amp;"M"&amp;B$1+2)</f>
        <v>Neonates (144 singleborn; 129 twins: for some analyses twins treated as one case so effective N = 186): ethnicity white; around 40% parents had psychiatric history</v>
      </c>
      <c r="D5" s="54" t="s">
        <v>1561</v>
      </c>
      <c r="E5" s="55">
        <v>1</v>
      </c>
      <c r="F5" s="55"/>
      <c r="G5" s="55"/>
      <c r="H5" s="55">
        <f>99+73</f>
        <v>172</v>
      </c>
    </row>
    <row r="6" spans="1:9" x14ac:dyDescent="0.2">
      <c r="A6" s="34" t="s">
        <v>1333</v>
      </c>
      <c r="B6" s="33" t="str">
        <f ca="1">INDIRECT("main!"&amp;"L"&amp;B$1+2)</f>
        <v>N = 272</v>
      </c>
      <c r="D6" s="54"/>
      <c r="E6" s="55"/>
      <c r="F6" s="55"/>
      <c r="G6" s="55"/>
      <c r="H6" s="55"/>
      <c r="I6" s="55"/>
    </row>
    <row r="7" spans="1:9" x14ac:dyDescent="0.2">
      <c r="A7" s="34" t="s">
        <v>1903</v>
      </c>
      <c r="B7" s="33">
        <v>1</v>
      </c>
      <c r="D7" s="54"/>
      <c r="E7" s="55"/>
      <c r="F7" s="55"/>
      <c r="G7" s="55"/>
      <c r="H7" s="55"/>
      <c r="I7" s="55"/>
    </row>
    <row r="8" spans="1:9" ht="20.25" customHeight="1" x14ac:dyDescent="0.2">
      <c r="A8" s="34" t="s">
        <v>343</v>
      </c>
      <c r="B8" s="33" t="str">
        <f ca="1">INDIRECT("main!"&amp;"q"&amp;B$1+2)</f>
        <v>DISC1, COMT, NRG1, NRG1r, ESR1, BDNF, GAD1, APOE</v>
      </c>
      <c r="D8" s="54"/>
      <c r="E8" s="55" t="s">
        <v>1374</v>
      </c>
      <c r="F8" s="55"/>
      <c r="G8" s="55"/>
      <c r="H8" s="55">
        <f>SUM(H4:H6)</f>
        <v>282</v>
      </c>
      <c r="I8" s="55"/>
    </row>
    <row r="9" spans="1:9" ht="54.75" customHeight="1" x14ac:dyDescent="0.2">
      <c r="A9" s="34" t="s">
        <v>1329</v>
      </c>
      <c r="B9" s="33" t="str">
        <f ca="1">INDIRECT("main!"&amp;"r"&amp;B$1+2)</f>
        <v>DISC1 rs821616, DISC1 rs6675281, COMT rs4680, NRG1 rs6994992, NRG1 rs35753505, ESR1 rs9340799, ESR1 rs2234693, BDNF rs6265, GAD1 rs2270335, APOE ɛ4</v>
      </c>
      <c r="D9" s="53"/>
      <c r="E9" s="55"/>
      <c r="F9" s="55"/>
      <c r="G9" s="55"/>
      <c r="H9" s="55"/>
      <c r="I9" s="55"/>
    </row>
    <row r="10" spans="1:9" ht="83.25" customHeight="1" x14ac:dyDescent="0.2">
      <c r="A10" s="34" t="s">
        <v>1323</v>
      </c>
      <c r="B10" s="33" t="str">
        <f ca="1">INDIRECT("main!"&amp;"O"&amp;B$1+2)</f>
        <v>Brain tissue volumes; automated ROI volumetry and tensor based morphometry; analysis restricted to: ICV, total GM, total WM, total CSF, lateral ventricle volume, cerebellar volume, and lobar GM and WM (14 volumes total).</v>
      </c>
      <c r="D10" s="53"/>
      <c r="E10" s="55"/>
      <c r="F10" s="55"/>
      <c r="G10" s="55"/>
      <c r="H10" s="55"/>
      <c r="I10" s="55"/>
    </row>
    <row r="11" spans="1:9" ht="123" customHeight="1" x14ac:dyDescent="0.2">
      <c r="A11" s="34" t="s">
        <v>1396</v>
      </c>
      <c r="B11" s="33" t="str">
        <f ca="1">INDIRECT("main!"&amp;"w"&amp;B$1+2)</f>
        <v>Mixed models to assess relationship between brain volumes and genetic markers, with comparisons selected based on published literature. Models  adjusted for gender, intracranial volume (ICV), and gestational age at MRI.  For TBM multiscale adaptive generalized estimation equation (MAGEE) model fitted to the Jacobian determinant of the deformation matrix at each voxel of the template. For all hypothesis tests, cluster-based inference  used to identify significant genetic effects on localized GM volumes</v>
      </c>
      <c r="D11" s="53"/>
      <c r="E11" s="69"/>
      <c r="F11" s="69"/>
      <c r="G11" s="55"/>
      <c r="H11" s="55"/>
      <c r="I11" s="55"/>
    </row>
    <row r="12" spans="1:9" ht="90" customHeight="1" x14ac:dyDescent="0.2">
      <c r="A12" s="34" t="s">
        <v>1898</v>
      </c>
      <c r="B12" s="33" t="s">
        <v>2130</v>
      </c>
      <c r="D12" s="53"/>
      <c r="E12" s="70"/>
      <c r="F12" s="69"/>
      <c r="G12" s="53"/>
      <c r="H12" s="53"/>
      <c r="I12" s="53"/>
    </row>
    <row r="13" spans="1:9" ht="128.25" customHeight="1" x14ac:dyDescent="0.2">
      <c r="A13" s="34" t="s">
        <v>1326</v>
      </c>
      <c r="B13" s="33" t="s">
        <v>2392</v>
      </c>
      <c r="D13" s="53"/>
      <c r="E13" s="56"/>
      <c r="F13" s="53"/>
      <c r="G13" s="53"/>
      <c r="H13" s="53"/>
      <c r="I13" s="53"/>
    </row>
    <row r="14" spans="1:9" x14ac:dyDescent="0.2">
      <c r="A14" s="34" t="s">
        <v>1852</v>
      </c>
      <c r="B14" s="33" t="str">
        <f>D4&amp;" (N = "&amp;H4&amp;"); "&amp;D5&amp;" (N = "&amp;H5&amp;")"</f>
        <v>AA (N = 110); Other (N = 172)</v>
      </c>
      <c r="E14" s="53"/>
      <c r="F14" s="53"/>
      <c r="G14" s="53"/>
      <c r="H14" s="53"/>
      <c r="I14" s="53"/>
    </row>
    <row r="15" spans="1:9" x14ac:dyDescent="0.2">
      <c r="A15" s="34" t="s">
        <v>1848</v>
      </c>
      <c r="B15" s="62">
        <f>F18</f>
        <v>0.17674960498889997</v>
      </c>
      <c r="D15" s="58" t="s">
        <v>1438</v>
      </c>
      <c r="E15" s="58"/>
      <c r="F15" s="58"/>
    </row>
    <row r="16" spans="1:9" x14ac:dyDescent="0.2">
      <c r="A16" s="34" t="s">
        <v>1899</v>
      </c>
      <c r="B16" s="62" t="s">
        <v>2131</v>
      </c>
      <c r="D16" s="58"/>
      <c r="E16" s="58"/>
      <c r="F16" s="58"/>
    </row>
    <row r="17" spans="1:6" ht="16" x14ac:dyDescent="0.2">
      <c r="A17" s="204" t="s">
        <v>2189</v>
      </c>
      <c r="B17" s="33">
        <v>0.16900000000000001</v>
      </c>
      <c r="D17" t="s">
        <v>1439</v>
      </c>
      <c r="E17" t="s">
        <v>1440</v>
      </c>
      <c r="F17" t="s">
        <v>1378</v>
      </c>
    </row>
    <row r="18" spans="1:6" x14ac:dyDescent="0.2">
      <c r="A18" s="64" t="s">
        <v>1401</v>
      </c>
      <c r="B18" s="33">
        <v>0.38900000000000001</v>
      </c>
      <c r="D18">
        <v>2.8E-3</v>
      </c>
      <c r="E18">
        <f>TINV(D18,H8-2)</f>
        <v>3.0156087970959287</v>
      </c>
      <c r="F18">
        <f>SQRT(E18^2/(E18^2+H8))</f>
        <v>0.17674960498889997</v>
      </c>
    </row>
    <row r="19" spans="1:6" x14ac:dyDescent="0.2">
      <c r="A19" s="64" t="s">
        <v>1346</v>
      </c>
      <c r="B19" s="33" t="s">
        <v>494</v>
      </c>
    </row>
    <row r="20" spans="1:6" ht="30" x14ac:dyDescent="0.2">
      <c r="A20" s="33" t="s">
        <v>1388</v>
      </c>
      <c r="B20" s="33" t="s">
        <v>1867</v>
      </c>
      <c r="D20" s="58"/>
    </row>
    <row r="21" spans="1:6" ht="59.25" customHeight="1" x14ac:dyDescent="0.2">
      <c r="A21" s="33" t="s">
        <v>1390</v>
      </c>
      <c r="D21" s="236" t="s">
        <v>2415</v>
      </c>
      <c r="E21" s="236" t="s">
        <v>2416</v>
      </c>
    </row>
    <row r="22" spans="1:6" ht="72" customHeight="1" x14ac:dyDescent="0.2">
      <c r="A22" s="34" t="s">
        <v>1387</v>
      </c>
      <c r="B22" s="33" t="s">
        <v>1854</v>
      </c>
      <c r="D22" s="236">
        <v>272</v>
      </c>
      <c r="E22" s="236">
        <v>0</v>
      </c>
    </row>
    <row r="23" spans="1:6" x14ac:dyDescent="0.2">
      <c r="A23" s="63" t="s">
        <v>1426</v>
      </c>
      <c r="B23" s="57"/>
    </row>
    <row r="24" spans="1:6" s="140" customFormat="1" x14ac:dyDescent="0.2">
      <c r="A24" s="138" t="s">
        <v>1746</v>
      </c>
      <c r="B24" s="139"/>
    </row>
    <row r="25" spans="1:6" s="136" customFormat="1" ht="30" x14ac:dyDescent="0.2">
      <c r="A25" s="137" t="s">
        <v>1753</v>
      </c>
      <c r="B25" s="137" t="s">
        <v>2395</v>
      </c>
    </row>
    <row r="26" spans="1:6" s="136" customFormat="1" x14ac:dyDescent="0.2">
      <c r="A26" s="137" t="s">
        <v>1681</v>
      </c>
      <c r="B26" s="137" t="str">
        <f ca="1">INDIRECT("N_SNPs!"&amp;"L"&amp;B$1+2)</f>
        <v>1 (for some polymorphisms)</v>
      </c>
    </row>
    <row r="27" spans="1:6" s="136" customFormat="1" x14ac:dyDescent="0.2">
      <c r="A27" s="137" t="s">
        <v>1747</v>
      </c>
      <c r="B27" s="137">
        <v>1</v>
      </c>
    </row>
    <row r="28" spans="1:6" s="136" customFormat="1" x14ac:dyDescent="0.2">
      <c r="A28" s="137" t="s">
        <v>1683</v>
      </c>
      <c r="B28" s="137" t="str">
        <f ca="1">INDIRECT("N_SNPs!"&amp;"N"&amp;B$1+2)</f>
        <v>not needed</v>
      </c>
    </row>
    <row r="29" spans="1:6" s="136" customFormat="1" x14ac:dyDescent="0.2">
      <c r="A29" s="137" t="s">
        <v>2171</v>
      </c>
      <c r="B29" s="137">
        <f ca="1">INDIRECT("N_SNPs!"&amp;"O"&amp;B$1+2)</f>
        <v>10</v>
      </c>
    </row>
    <row r="30" spans="1:6" s="136" customFormat="1" ht="30" x14ac:dyDescent="0.2">
      <c r="A30" s="137" t="s">
        <v>2170</v>
      </c>
      <c r="B30" s="137">
        <v>1</v>
      </c>
    </row>
    <row r="31" spans="1:6" s="136" customFormat="1" ht="60" x14ac:dyDescent="0.2">
      <c r="A31" s="137" t="s">
        <v>2172</v>
      </c>
      <c r="B31" s="137">
        <v>1</v>
      </c>
    </row>
    <row r="32" spans="1:6" s="136" customFormat="1" x14ac:dyDescent="0.2">
      <c r="A32" s="137" t="s">
        <v>1686</v>
      </c>
      <c r="B32" s="137">
        <f ca="1">INDIRECT("N_SNPs!"&amp;"R"&amp;B$1+2)</f>
        <v>0</v>
      </c>
    </row>
    <row r="33" spans="1:3" s="172" customFormat="1" x14ac:dyDescent="0.2">
      <c r="A33" s="171" t="s">
        <v>1808</v>
      </c>
      <c r="B33" s="171">
        <v>1</v>
      </c>
    </row>
    <row r="34" spans="1:3" s="172" customFormat="1" x14ac:dyDescent="0.2">
      <c r="A34" s="203" t="s">
        <v>2177</v>
      </c>
      <c r="B34" s="171">
        <v>0</v>
      </c>
    </row>
    <row r="35" spans="1:3" s="172" customFormat="1" ht="60" x14ac:dyDescent="0.2">
      <c r="A35" s="171" t="s">
        <v>1810</v>
      </c>
      <c r="B35" s="171">
        <v>5</v>
      </c>
    </row>
    <row r="36" spans="1:3" s="174" customFormat="1" ht="45" x14ac:dyDescent="0.2">
      <c r="A36" s="173" t="s">
        <v>1835</v>
      </c>
      <c r="B36" s="173" t="s">
        <v>1868</v>
      </c>
      <c r="C36" s="174" t="s">
        <v>2424</v>
      </c>
    </row>
    <row r="37" spans="1:3" s="174" customFormat="1" ht="60" x14ac:dyDescent="0.2">
      <c r="A37" s="173" t="s">
        <v>2272</v>
      </c>
      <c r="B37" s="173" t="s">
        <v>2263</v>
      </c>
    </row>
    <row r="38" spans="1:3" s="174" customFormat="1" ht="30" x14ac:dyDescent="0.2">
      <c r="A38" s="173" t="s">
        <v>2299</v>
      </c>
      <c r="B38" s="173">
        <v>1</v>
      </c>
    </row>
    <row r="39" spans="1:3" s="174" customFormat="1" x14ac:dyDescent="0.2">
      <c r="A39" s="173" t="s">
        <v>2273</v>
      </c>
      <c r="B39" s="173">
        <v>5</v>
      </c>
    </row>
    <row r="40" spans="1:3" s="174" customFormat="1" ht="30" x14ac:dyDescent="0.2">
      <c r="A40" s="173" t="s">
        <v>2274</v>
      </c>
      <c r="B40" s="173">
        <v>4</v>
      </c>
    </row>
    <row r="41" spans="1:3" s="176" customFormat="1" ht="81" customHeight="1" x14ac:dyDescent="0.2">
      <c r="A41" s="175" t="s">
        <v>1815</v>
      </c>
      <c r="B41" s="7" t="s">
        <v>2287</v>
      </c>
    </row>
    <row r="42" spans="1:3" s="176" customFormat="1" ht="23" customHeight="1" x14ac:dyDescent="0.2">
      <c r="A42" s="175" t="s">
        <v>1881</v>
      </c>
      <c r="B42" s="7" t="s">
        <v>494</v>
      </c>
    </row>
    <row r="43" spans="1:3" x14ac:dyDescent="0.2">
      <c r="A43" s="34" t="s">
        <v>1398</v>
      </c>
      <c r="B43" s="65"/>
    </row>
    <row r="44" spans="1:3" x14ac:dyDescent="0.2">
      <c r="A44" s="34" t="s">
        <v>1410</v>
      </c>
    </row>
    <row r="45" spans="1:3" x14ac:dyDescent="0.2">
      <c r="A45" s="34" t="s">
        <v>2374</v>
      </c>
      <c r="B45" s="33">
        <v>0</v>
      </c>
    </row>
    <row r="46" spans="1:3" x14ac:dyDescent="0.2">
      <c r="A46" s="34" t="s">
        <v>1416</v>
      </c>
      <c r="B46" s="66" t="s">
        <v>1785</v>
      </c>
    </row>
    <row r="48" spans="1:3" ht="30" x14ac:dyDescent="0.2">
      <c r="A48" s="34" t="s">
        <v>1490</v>
      </c>
      <c r="B48" s="33" t="s">
        <v>1789</v>
      </c>
    </row>
    <row r="49" spans="1:2" x14ac:dyDescent="0.2">
      <c r="A49" s="34" t="s">
        <v>1490</v>
      </c>
    </row>
    <row r="50" spans="1:2" ht="150" x14ac:dyDescent="0.2">
      <c r="B50" s="33" t="s">
        <v>1798</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M49"/>
  <sheetViews>
    <sheetView zoomScale="90" zoomScaleNormal="90" zoomScalePageLayoutView="90" workbookViewId="0">
      <pane xSplit="1" ySplit="1" topLeftCell="B22"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4" max="4" width="14.33203125" customWidth="1"/>
    <col min="5" max="5" width="9.83203125" customWidth="1"/>
    <col min="6" max="6" width="7.5" customWidth="1"/>
    <col min="7" max="7" width="8" customWidth="1"/>
    <col min="8" max="8" width="9.5" bestFit="1" customWidth="1"/>
  </cols>
  <sheetData>
    <row r="1" spans="1:13" s="58" customFormat="1" x14ac:dyDescent="0.2">
      <c r="A1" s="63" t="s">
        <v>1360</v>
      </c>
      <c r="B1" s="57">
        <v>21</v>
      </c>
      <c r="D1" s="52" t="s">
        <v>1851</v>
      </c>
      <c r="E1" s="52"/>
      <c r="F1" s="52"/>
      <c r="G1" s="52"/>
      <c r="H1" s="52"/>
      <c r="I1" s="52"/>
      <c r="J1" s="52"/>
      <c r="K1" s="52"/>
      <c r="L1" s="52"/>
      <c r="M1" s="52"/>
    </row>
    <row r="2" spans="1:13" ht="48.25" customHeight="1" x14ac:dyDescent="0.2">
      <c r="A2" s="34" t="s">
        <v>1321</v>
      </c>
      <c r="B2" s="33" t="str">
        <f ca="1">INDIRECT("main!"&amp;"C"&amp;B$1+2)</f>
        <v>Lowe, Val J.; Weigand, Stephen D.; Senjem, Matthew L.; Vemuri, Prashanthi; Jordan, Lennon; Kantarci, Kejal; Boeve, Bradley; Jack, Clifford R., Jr.; Knopman, David; Petersen, Ronald C.</v>
      </c>
      <c r="D2" s="73" t="s">
        <v>1537</v>
      </c>
      <c r="E2" s="53"/>
      <c r="F2" s="53"/>
      <c r="G2" s="53"/>
      <c r="H2" s="53"/>
      <c r="I2" s="53" t="s">
        <v>1382</v>
      </c>
      <c r="J2" s="53"/>
      <c r="K2" s="53"/>
      <c r="L2" s="53"/>
      <c r="M2" s="53"/>
    </row>
    <row r="3" spans="1:13" ht="35.5" customHeight="1" x14ac:dyDescent="0.2">
      <c r="A3" s="34" t="s">
        <v>1322</v>
      </c>
      <c r="B3" s="33" t="str">
        <f ca="1">INDIRECT("main!"&amp;"D"&amp;B$1+2)</f>
        <v>Association of hypometabolism and amyloid levels in aging, normal subjects</v>
      </c>
      <c r="D3" s="53" t="s">
        <v>1395</v>
      </c>
      <c r="E3" s="53" t="s">
        <v>1366</v>
      </c>
      <c r="F3" s="53" t="s">
        <v>1367</v>
      </c>
      <c r="G3" s="53" t="s">
        <v>1368</v>
      </c>
      <c r="H3" s="54" t="s">
        <v>0</v>
      </c>
      <c r="K3" s="53"/>
      <c r="L3" s="54"/>
      <c r="M3" s="54"/>
    </row>
    <row r="4" spans="1:13" x14ac:dyDescent="0.2">
      <c r="A4" s="34" t="s">
        <v>1324</v>
      </c>
      <c r="B4" s="33" t="str">
        <f ca="1">INDIRECT("main!"&amp;"J"&amp;B$1+2)</f>
        <v>10.1212/WNL.0000000000000467</v>
      </c>
      <c r="D4" t="s">
        <v>1551</v>
      </c>
      <c r="E4" s="55">
        <v>0</v>
      </c>
      <c r="F4" s="55"/>
      <c r="G4" s="55"/>
      <c r="H4" s="55">
        <f>53+17+49+29</f>
        <v>148</v>
      </c>
      <c r="K4" s="53"/>
      <c r="L4" s="53"/>
      <c r="M4" s="53"/>
    </row>
    <row r="5" spans="1:13" ht="22.75" customHeight="1" x14ac:dyDescent="0.2">
      <c r="A5" s="34" t="s">
        <v>1327</v>
      </c>
      <c r="B5" s="33" t="str">
        <f ca="1">INDIRECT("main!"&amp;"M"&amp;B$1+2)</f>
        <v>Participants from general population aged 70 to 95 yrs</v>
      </c>
      <c r="D5" s="54" t="s">
        <v>1552</v>
      </c>
      <c r="E5" s="55">
        <v>1</v>
      </c>
      <c r="F5" s="55"/>
      <c r="G5" s="55"/>
      <c r="H5" s="55">
        <f>340+73+117+70-H4</f>
        <v>452</v>
      </c>
      <c r="K5" s="53"/>
      <c r="L5" s="53"/>
      <c r="M5" s="53"/>
    </row>
    <row r="6" spans="1:13" x14ac:dyDescent="0.2">
      <c r="A6" s="34" t="s">
        <v>1333</v>
      </c>
      <c r="B6" s="33" t="str">
        <f ca="1">INDIRECT("main!"&amp;"L"&amp;B$1+2)</f>
        <v>N = 600</v>
      </c>
      <c r="D6" s="54"/>
      <c r="E6" s="55"/>
      <c r="F6" s="55"/>
      <c r="G6" s="55"/>
      <c r="H6" s="55"/>
      <c r="I6" s="55"/>
      <c r="J6" s="55"/>
      <c r="K6" s="55"/>
      <c r="L6" s="55"/>
      <c r="M6" s="55"/>
    </row>
    <row r="7" spans="1:13" x14ac:dyDescent="0.2">
      <c r="A7" s="34" t="s">
        <v>1903</v>
      </c>
      <c r="B7" s="33">
        <v>1</v>
      </c>
      <c r="D7" s="54"/>
      <c r="E7" s="55"/>
      <c r="F7" s="55"/>
      <c r="G7" s="55"/>
      <c r="H7" s="55"/>
      <c r="I7" s="55"/>
      <c r="J7" s="55"/>
      <c r="K7" s="55"/>
      <c r="L7" s="55"/>
      <c r="M7" s="55"/>
    </row>
    <row r="8" spans="1:13" x14ac:dyDescent="0.2">
      <c r="A8" s="34" t="s">
        <v>343</v>
      </c>
      <c r="B8" s="33" t="str">
        <f ca="1">INDIRECT("main!"&amp;"q"&amp;B$1+2)</f>
        <v>APOE</v>
      </c>
      <c r="D8" s="54"/>
      <c r="E8" s="55" t="s">
        <v>1374</v>
      </c>
      <c r="F8" s="55"/>
      <c r="G8" s="55"/>
      <c r="H8" s="55">
        <f>SUM(H4:H6)</f>
        <v>600</v>
      </c>
      <c r="I8" s="55"/>
      <c r="J8" s="55"/>
      <c r="K8" s="55"/>
      <c r="L8" s="55"/>
      <c r="M8" s="55"/>
    </row>
    <row r="9" spans="1:13" ht="20.5" customHeight="1" x14ac:dyDescent="0.2">
      <c r="A9" s="34" t="s">
        <v>1329</v>
      </c>
      <c r="B9" s="33" t="str">
        <f ca="1">INDIRECT("main!"&amp;"r"&amp;B$1+2)</f>
        <v>ε4</v>
      </c>
      <c r="D9" s="53"/>
      <c r="E9" s="55"/>
      <c r="F9" s="55"/>
      <c r="G9" s="55"/>
      <c r="H9" s="55"/>
      <c r="I9" s="55"/>
      <c r="J9" s="55"/>
      <c r="K9" s="53"/>
      <c r="L9" s="53"/>
      <c r="M9" s="53"/>
    </row>
    <row r="10" spans="1:13" ht="48.75" customHeight="1" x14ac:dyDescent="0.2">
      <c r="A10" s="34" t="s">
        <v>1323</v>
      </c>
      <c r="B10" s="33" t="str">
        <f ca="1">INDIRECT("main!"&amp;"O"&amp;B$1+2)</f>
        <v>Categorised into 4 subgroups according to level of amyloid brain load, diagnosed by PiB-PET; brain metabolism measured on  [19F]-fluorodeoxyglucose (FDG)-PET</v>
      </c>
      <c r="D10" s="53"/>
      <c r="E10" s="55"/>
      <c r="F10" s="55"/>
      <c r="G10" s="55"/>
      <c r="H10" s="55"/>
      <c r="I10" s="55"/>
      <c r="J10" s="55"/>
      <c r="K10" s="53"/>
      <c r="L10" s="53"/>
      <c r="M10" s="53"/>
    </row>
    <row r="11" spans="1:13" ht="145.5" customHeight="1" x14ac:dyDescent="0.2">
      <c r="A11" s="34" t="s">
        <v>1396</v>
      </c>
      <c r="B11" s="33" t="str">
        <f ca="1">INDIRECT("main!"&amp;"W"&amp;B$1+2)</f>
        <v>Main analyses focus on relation between brain metabolism and amyloid load. Genetic analysis involved regression analysis for each of 47 brain regions, looking at differences in regional metabolism by APOE ε4 carrier status after accounting for age, sex, and PiB. Uncorrected p-values reported both with and without amyloid load in the regression model.   Uncorrected and FDR adjusted p-values for the APOE association are shown based on a model with age, sex, and log(global PiB). Also indicated regions for which the APOE association was significant at uncorrected p&lt;0.05 for a model with age and sex but not log(global PiB)</v>
      </c>
      <c r="D11" s="53"/>
      <c r="E11" s="69"/>
      <c r="F11" s="69"/>
      <c r="G11" s="55"/>
      <c r="H11" s="55"/>
      <c r="I11" s="55"/>
      <c r="J11" s="55"/>
      <c r="K11" s="53"/>
      <c r="L11" s="53"/>
      <c r="M11" s="53"/>
    </row>
    <row r="12" spans="1:13" ht="54.75" customHeight="1" x14ac:dyDescent="0.2">
      <c r="A12" s="34" t="s">
        <v>1898</v>
      </c>
      <c r="B12" s="33" t="s">
        <v>2268</v>
      </c>
      <c r="D12" s="53"/>
      <c r="E12" s="70"/>
      <c r="F12" s="69"/>
      <c r="G12" s="53"/>
      <c r="H12" s="53"/>
      <c r="I12" s="53"/>
      <c r="J12" s="53"/>
      <c r="K12" s="53"/>
      <c r="L12" s="53"/>
      <c r="M12" s="53"/>
    </row>
    <row r="13" spans="1:13" ht="85" customHeight="1" x14ac:dyDescent="0.2">
      <c r="A13" s="34" t="s">
        <v>1326</v>
      </c>
      <c r="B13" s="33" t="s">
        <v>1550</v>
      </c>
      <c r="D13" s="53"/>
      <c r="E13" s="56"/>
      <c r="F13" s="53"/>
      <c r="G13" s="53"/>
      <c r="H13" s="53"/>
      <c r="I13" s="53"/>
      <c r="J13" s="53"/>
      <c r="K13" s="53"/>
      <c r="L13" s="53"/>
      <c r="M13" s="53"/>
    </row>
    <row r="14" spans="1:13" x14ac:dyDescent="0.2">
      <c r="A14" s="34" t="s">
        <v>1852</v>
      </c>
      <c r="B14" s="33" t="str">
        <f>D4&amp;" (N = "&amp;H4&amp;"); "&amp;D5&amp;" (N = "&amp;H5&amp;")"</f>
        <v>ε4 carriers (N = 148); non-carriers (N = 452)</v>
      </c>
      <c r="E14" s="53"/>
      <c r="F14" s="53"/>
      <c r="G14" s="53"/>
      <c r="H14" s="53"/>
      <c r="I14" s="53"/>
      <c r="J14" s="53"/>
      <c r="K14" s="53"/>
      <c r="L14" s="53"/>
      <c r="M14" s="53"/>
    </row>
    <row r="15" spans="1:13" x14ac:dyDescent="0.2">
      <c r="A15" s="34" t="s">
        <v>1848</v>
      </c>
      <c r="B15" s="80">
        <v>9.2999999999999999E-2</v>
      </c>
      <c r="D15" s="58" t="s">
        <v>1438</v>
      </c>
      <c r="E15" s="58"/>
      <c r="F15" s="58"/>
    </row>
    <row r="16" spans="1:13" x14ac:dyDescent="0.2">
      <c r="A16" s="34" t="s">
        <v>1899</v>
      </c>
      <c r="B16" s="200" t="s">
        <v>2129</v>
      </c>
      <c r="D16" s="58"/>
      <c r="E16" s="58"/>
      <c r="F16" s="58"/>
    </row>
    <row r="17" spans="1:6" ht="16" x14ac:dyDescent="0.2">
      <c r="A17" s="204" t="s">
        <v>2189</v>
      </c>
      <c r="B17" s="33">
        <v>0.114</v>
      </c>
      <c r="D17" t="s">
        <v>1439</v>
      </c>
      <c r="E17" t="s">
        <v>1440</v>
      </c>
      <c r="F17" t="s">
        <v>1378</v>
      </c>
    </row>
    <row r="18" spans="1:6" x14ac:dyDescent="0.2">
      <c r="A18" s="64" t="s">
        <v>1401</v>
      </c>
      <c r="B18" s="33">
        <v>0.68899999999999995</v>
      </c>
      <c r="D18">
        <v>0.04</v>
      </c>
      <c r="E18">
        <f>TINV(D18,H8-2)</f>
        <v>2.0582384914725846</v>
      </c>
      <c r="F18">
        <f>SQRT(E18^2/(E18^2+H8))</f>
        <v>8.3732155860124724E-2</v>
      </c>
    </row>
    <row r="19" spans="1:6" x14ac:dyDescent="0.2">
      <c r="A19" s="64" t="s">
        <v>1346</v>
      </c>
      <c r="B19" s="33" t="s">
        <v>1506</v>
      </c>
    </row>
    <row r="20" spans="1:6" ht="30" x14ac:dyDescent="0.2">
      <c r="A20" s="33" t="s">
        <v>1388</v>
      </c>
      <c r="B20" s="222" t="s">
        <v>2267</v>
      </c>
      <c r="D20" s="58" t="s">
        <v>1475</v>
      </c>
    </row>
    <row r="21" spans="1:6" ht="59.25" customHeight="1" x14ac:dyDescent="0.2">
      <c r="A21" s="33" t="s">
        <v>1390</v>
      </c>
      <c r="D21" s="236" t="s">
        <v>2415</v>
      </c>
      <c r="E21" s="236" t="s">
        <v>2416</v>
      </c>
    </row>
    <row r="22" spans="1:6" ht="72" customHeight="1" x14ac:dyDescent="0.2">
      <c r="A22" s="34" t="s">
        <v>1387</v>
      </c>
      <c r="B22" s="33" t="s">
        <v>2285</v>
      </c>
      <c r="D22" s="236">
        <v>600</v>
      </c>
      <c r="E22" s="236">
        <v>0</v>
      </c>
    </row>
    <row r="24" spans="1:6" s="140" customFormat="1" x14ac:dyDescent="0.2">
      <c r="A24" s="138" t="s">
        <v>1746</v>
      </c>
      <c r="B24" s="139"/>
    </row>
    <row r="25" spans="1:6" s="136" customFormat="1" ht="30" x14ac:dyDescent="0.2">
      <c r="A25" s="137" t="s">
        <v>1753</v>
      </c>
      <c r="B25" s="137" t="s">
        <v>2259</v>
      </c>
    </row>
    <row r="26" spans="1:6" s="136" customFormat="1" x14ac:dyDescent="0.2">
      <c r="A26" s="137" t="s">
        <v>1681</v>
      </c>
      <c r="B26" s="137">
        <f ca="1">INDIRECT("N_SNPs!"&amp;"L"&amp;B$1+2)</f>
        <v>0</v>
      </c>
    </row>
    <row r="27" spans="1:6" s="136" customFormat="1" x14ac:dyDescent="0.2">
      <c r="A27" s="137" t="s">
        <v>1747</v>
      </c>
      <c r="B27" s="137">
        <f ca="1">INDIRECT("N_SNPs!"&amp;"M"&amp;B$1+2)</f>
        <v>1</v>
      </c>
    </row>
    <row r="28" spans="1:6" s="136" customFormat="1" x14ac:dyDescent="0.2">
      <c r="A28" s="137" t="s">
        <v>1683</v>
      </c>
      <c r="B28" s="137" t="str">
        <f ca="1">INDIRECT("N_SNPs!"&amp;"N"&amp;B$1+2)</f>
        <v>not needed</v>
      </c>
    </row>
    <row r="29" spans="1:6" s="136" customFormat="1" x14ac:dyDescent="0.2">
      <c r="A29" s="137" t="s">
        <v>2171</v>
      </c>
      <c r="B29" s="137">
        <f ca="1">INDIRECT("N_SNPs!"&amp;"O"&amp;B$1+2)</f>
        <v>1</v>
      </c>
    </row>
    <row r="30" spans="1:6" s="136" customFormat="1" ht="30" x14ac:dyDescent="0.2">
      <c r="A30" s="137" t="s">
        <v>2170</v>
      </c>
      <c r="B30" s="137">
        <v>0</v>
      </c>
    </row>
    <row r="31" spans="1:6" s="136" customFormat="1" ht="60" x14ac:dyDescent="0.2">
      <c r="A31" s="137" t="s">
        <v>2172</v>
      </c>
      <c r="B31" s="137">
        <f ca="1">INDIRECT("N_SNPs!"&amp;"Q"&amp;B$1+2)</f>
        <v>5</v>
      </c>
    </row>
    <row r="32" spans="1:6" s="136" customFormat="1" x14ac:dyDescent="0.2">
      <c r="A32" s="137" t="s">
        <v>1686</v>
      </c>
      <c r="B32" s="137">
        <f ca="1">INDIRECT("N_SNPs!"&amp;"R"&amp;B$1+2)</f>
        <v>0</v>
      </c>
    </row>
    <row r="33" spans="1:3" s="172" customFormat="1" x14ac:dyDescent="0.2">
      <c r="A33" s="171" t="s">
        <v>1808</v>
      </c>
      <c r="B33" s="171">
        <v>1</v>
      </c>
    </row>
    <row r="34" spans="1:3" s="172" customFormat="1" x14ac:dyDescent="0.2">
      <c r="A34" s="203" t="s">
        <v>2177</v>
      </c>
      <c r="B34" s="171">
        <v>0</v>
      </c>
    </row>
    <row r="35" spans="1:3" s="172" customFormat="1" ht="60" x14ac:dyDescent="0.2">
      <c r="A35" s="171" t="s">
        <v>1810</v>
      </c>
      <c r="B35" s="171">
        <v>5</v>
      </c>
    </row>
    <row r="36" spans="1:3" s="174" customFormat="1" ht="30" x14ac:dyDescent="0.2">
      <c r="A36" s="173" t="s">
        <v>1835</v>
      </c>
      <c r="B36" s="173" t="s">
        <v>1847</v>
      </c>
      <c r="C36" s="174" t="s">
        <v>2425</v>
      </c>
    </row>
    <row r="37" spans="1:3" s="174" customFormat="1" ht="30" x14ac:dyDescent="0.2">
      <c r="A37" s="173" t="s">
        <v>2272</v>
      </c>
      <c r="B37" s="224" t="s">
        <v>2286</v>
      </c>
    </row>
    <row r="38" spans="1:3" s="174" customFormat="1" ht="30" x14ac:dyDescent="0.2">
      <c r="A38" s="173" t="s">
        <v>2299</v>
      </c>
      <c r="B38" s="173">
        <v>0</v>
      </c>
    </row>
    <row r="39" spans="1:3" s="174" customFormat="1" x14ac:dyDescent="0.2">
      <c r="A39" s="173" t="s">
        <v>2273</v>
      </c>
      <c r="B39" s="173">
        <v>64</v>
      </c>
    </row>
    <row r="40" spans="1:3" s="174" customFormat="1" ht="30" x14ac:dyDescent="0.2">
      <c r="A40" s="173" t="s">
        <v>2274</v>
      </c>
      <c r="B40" s="173">
        <v>2</v>
      </c>
    </row>
    <row r="41" spans="1:3" s="176" customFormat="1" x14ac:dyDescent="0.2">
      <c r="A41" s="175" t="s">
        <v>1815</v>
      </c>
      <c r="B41" s="175" t="s">
        <v>2191</v>
      </c>
    </row>
    <row r="42" spans="1:3" s="176" customFormat="1" x14ac:dyDescent="0.2">
      <c r="A42" s="175" t="s">
        <v>1881</v>
      </c>
      <c r="B42" s="175" t="s">
        <v>494</v>
      </c>
    </row>
    <row r="43" spans="1:3" x14ac:dyDescent="0.2">
      <c r="A43" s="34" t="s">
        <v>1398</v>
      </c>
      <c r="B43" s="65"/>
    </row>
    <row r="44" spans="1:3" x14ac:dyDescent="0.2">
      <c r="A44" s="34" t="s">
        <v>1410</v>
      </c>
    </row>
    <row r="45" spans="1:3" x14ac:dyDescent="0.2">
      <c r="A45" s="34" t="s">
        <v>2374</v>
      </c>
      <c r="B45" s="33">
        <v>0</v>
      </c>
    </row>
    <row r="46" spans="1:3" x14ac:dyDescent="0.2">
      <c r="A46" s="34" t="s">
        <v>1416</v>
      </c>
      <c r="B46" s="66" t="s">
        <v>1536</v>
      </c>
    </row>
    <row r="48" spans="1:3" x14ac:dyDescent="0.2">
      <c r="A48" s="34" t="s">
        <v>1490</v>
      </c>
      <c r="B48" s="33" t="s">
        <v>1650</v>
      </c>
    </row>
    <row r="49" ht="14.25" customHeight="1" x14ac:dyDescent="0.2"/>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50"/>
  </sheetPr>
  <dimension ref="A1:M49"/>
  <sheetViews>
    <sheetView workbookViewId="0">
      <pane xSplit="1" ySplit="1" topLeftCell="B24"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4" max="4" width="14.33203125" customWidth="1"/>
    <col min="5" max="5" width="9.83203125" customWidth="1"/>
    <col min="6" max="6" width="7.5" customWidth="1"/>
    <col min="7" max="7" width="8" customWidth="1"/>
    <col min="8" max="8" width="9.5" bestFit="1" customWidth="1"/>
  </cols>
  <sheetData>
    <row r="1" spans="1:13" s="58" customFormat="1" x14ac:dyDescent="0.2">
      <c r="A1" s="63" t="s">
        <v>1360</v>
      </c>
      <c r="B1" s="57">
        <v>20</v>
      </c>
      <c r="D1" s="52" t="s">
        <v>1851</v>
      </c>
      <c r="E1" s="52"/>
      <c r="F1" s="52"/>
      <c r="G1" s="52"/>
      <c r="H1" s="52"/>
      <c r="I1" s="52"/>
      <c r="J1" s="52"/>
      <c r="K1" s="52"/>
      <c r="L1" s="52"/>
      <c r="M1" s="52"/>
    </row>
    <row r="2" spans="1:13" ht="59.25" customHeight="1" x14ac:dyDescent="0.2">
      <c r="A2" s="34" t="s">
        <v>1321</v>
      </c>
      <c r="B2" s="33" t="str">
        <f ca="1">INDIRECT("main!"&amp;"C"&amp;B$1+2)</f>
        <v>Denson, Thomas F.; Dobson-Stone, Carol; Ronay, Richard; von Hippel, William; Schira, Mark M.</v>
      </c>
      <c r="D2" s="73" t="s">
        <v>1537</v>
      </c>
      <c r="E2" s="53"/>
      <c r="F2" s="53"/>
      <c r="G2" s="53"/>
      <c r="H2" s="53"/>
      <c r="I2" s="53" t="s">
        <v>1382</v>
      </c>
      <c r="J2" s="53"/>
      <c r="K2" s="53"/>
      <c r="L2" s="53"/>
      <c r="M2" s="53"/>
    </row>
    <row r="3" spans="1:13" ht="35.5" customHeight="1" x14ac:dyDescent="0.2">
      <c r="A3" s="34" t="s">
        <v>1322</v>
      </c>
      <c r="B3" s="33" t="str">
        <f ca="1">INDIRECT("main!"&amp;"D"&amp;B$1+2)</f>
        <v>A Functional Polymorphism of the MAOA Gene Is Associated with Neural Responses to Induced Anger Control</v>
      </c>
      <c r="D3" s="53" t="s">
        <v>1395</v>
      </c>
      <c r="E3" s="53" t="s">
        <v>1366</v>
      </c>
      <c r="F3" s="53" t="s">
        <v>1367</v>
      </c>
      <c r="G3" s="53" t="s">
        <v>1368</v>
      </c>
      <c r="H3" s="54" t="s">
        <v>0</v>
      </c>
      <c r="I3" t="s">
        <v>1369</v>
      </c>
      <c r="J3" t="s">
        <v>1370</v>
      </c>
      <c r="K3" s="53" t="s">
        <v>1371</v>
      </c>
      <c r="L3" s="54" t="s">
        <v>1372</v>
      </c>
      <c r="M3" s="54" t="s">
        <v>1373</v>
      </c>
    </row>
    <row r="4" spans="1:13" x14ac:dyDescent="0.2">
      <c r="A4" s="34" t="s">
        <v>1324</v>
      </c>
      <c r="B4" s="33" t="str">
        <f ca="1">INDIRECT("main!"&amp;"J"&amp;B$1+2)</f>
        <v>10.1162/jocn_a_00592</v>
      </c>
      <c r="D4" s="54" t="s">
        <v>1540</v>
      </c>
      <c r="E4" s="55">
        <v>0</v>
      </c>
      <c r="F4" s="55">
        <v>0.36</v>
      </c>
      <c r="G4" s="55">
        <v>0.30199999999999999</v>
      </c>
      <c r="H4" s="55">
        <v>16</v>
      </c>
      <c r="I4">
        <f>H4*F4</f>
        <v>5.76</v>
      </c>
      <c r="J4">
        <f>(H4*(H4-1)*G4^2+I4^2)/H4</f>
        <v>3.4416599999999997</v>
      </c>
      <c r="K4" s="53">
        <f>E4*I4</f>
        <v>0</v>
      </c>
      <c r="L4" s="53">
        <f>E4*H4</f>
        <v>0</v>
      </c>
      <c r="M4" s="53">
        <f>E4^2*H4</f>
        <v>0</v>
      </c>
    </row>
    <row r="5" spans="1:13" ht="22.75" customHeight="1" x14ac:dyDescent="0.2">
      <c r="A5" s="34" t="s">
        <v>1327</v>
      </c>
      <c r="B5" s="33" t="str">
        <f ca="1">INDIRECT("main!"&amp;"M"&amp;B$1+2)</f>
        <v>Healthy male undergraduates, 79% Asian, 16% white; 3% mixed</v>
      </c>
      <c r="D5" s="54" t="s">
        <v>1541</v>
      </c>
      <c r="E5" s="55">
        <v>1</v>
      </c>
      <c r="F5" s="55">
        <v>0.04</v>
      </c>
      <c r="G5" s="55">
        <v>0.51300000000000001</v>
      </c>
      <c r="H5" s="55">
        <v>22</v>
      </c>
      <c r="I5">
        <f t="shared" ref="I5" si="0">H5*F5</f>
        <v>0.88</v>
      </c>
      <c r="J5">
        <f t="shared" ref="J5" si="1">(H5*(H5-1)*G5^2+I5^2)/H5</f>
        <v>5.5617489999999998</v>
      </c>
      <c r="K5" s="53">
        <f t="shared" ref="K5" si="2">E5*I5</f>
        <v>0.88</v>
      </c>
      <c r="L5" s="53">
        <f t="shared" ref="L5" si="3">E5*H5</f>
        <v>22</v>
      </c>
      <c r="M5" s="53">
        <f t="shared" ref="M5" si="4">E5^2*H5</f>
        <v>22</v>
      </c>
    </row>
    <row r="6" spans="1:13" x14ac:dyDescent="0.2">
      <c r="A6" s="34" t="s">
        <v>1333</v>
      </c>
      <c r="B6" s="33" t="str">
        <f ca="1">INDIRECT("main!"&amp;"L"&amp;B$1+2)</f>
        <v>N = 38</v>
      </c>
      <c r="D6" s="54"/>
      <c r="E6" s="55"/>
      <c r="F6" s="55"/>
      <c r="G6" s="55"/>
      <c r="H6" s="55"/>
      <c r="I6" s="55"/>
      <c r="J6" s="55"/>
      <c r="K6" s="55"/>
      <c r="L6" s="55"/>
      <c r="M6" s="55"/>
    </row>
    <row r="7" spans="1:13" x14ac:dyDescent="0.2">
      <c r="A7" s="34" t="s">
        <v>1903</v>
      </c>
      <c r="B7" s="33">
        <v>1</v>
      </c>
      <c r="D7" s="54"/>
      <c r="E7" s="55"/>
      <c r="F7" s="55"/>
      <c r="G7" s="55"/>
      <c r="H7" s="55"/>
      <c r="I7" s="55"/>
      <c r="J7" s="55"/>
      <c r="K7" s="55"/>
      <c r="L7" s="55"/>
      <c r="M7" s="55"/>
    </row>
    <row r="8" spans="1:13" x14ac:dyDescent="0.2">
      <c r="A8" s="34" t="s">
        <v>343</v>
      </c>
      <c r="B8" s="33" t="str">
        <f ca="1">INDIRECT("main!"&amp;"q"&amp;B$1+2)</f>
        <v>MAOA</v>
      </c>
      <c r="D8" s="54"/>
      <c r="E8" s="55" t="s">
        <v>1374</v>
      </c>
      <c r="F8" s="55"/>
      <c r="G8" s="55"/>
      <c r="H8" s="55">
        <f>SUM(H4:H6)</f>
        <v>38</v>
      </c>
      <c r="I8" s="55">
        <f>SUM(I4:I6)</f>
        <v>6.64</v>
      </c>
      <c r="J8" s="55">
        <f t="shared" ref="J8:M8" si="5">SUM(J4:J6)</f>
        <v>9.0034089999999996</v>
      </c>
      <c r="K8" s="55">
        <f t="shared" si="5"/>
        <v>0.88</v>
      </c>
      <c r="L8" s="55">
        <f t="shared" si="5"/>
        <v>22</v>
      </c>
      <c r="M8" s="55">
        <f t="shared" si="5"/>
        <v>22</v>
      </c>
    </row>
    <row r="9" spans="1:13" ht="20.5" customHeight="1" x14ac:dyDescent="0.2">
      <c r="A9" s="34" t="s">
        <v>1329</v>
      </c>
      <c r="B9" s="33" t="str">
        <f ca="1">INDIRECT("main!"&amp;"r"&amp;B$1+2)</f>
        <v>3-repeat allele (MAOA-L) vs 4-repeat allele (MAOA-H)</v>
      </c>
      <c r="D9" s="53"/>
      <c r="E9" s="55"/>
      <c r="F9" s="55"/>
      <c r="G9" s="55"/>
      <c r="H9" s="55"/>
      <c r="I9" s="55"/>
      <c r="J9" s="55"/>
      <c r="K9" s="53"/>
      <c r="L9" s="53"/>
      <c r="M9" s="53"/>
    </row>
    <row r="10" spans="1:13" ht="66" customHeight="1" x14ac:dyDescent="0.2">
      <c r="A10" s="34" t="s">
        <v>1323</v>
      </c>
      <c r="B10" s="33" t="str">
        <f ca="1">INDIRECT("main!"&amp;"O"&amp;B$1+2)</f>
        <v>Baseline mood (Positive and Negative Affect Schedule-X;  provocation procedure;  baseline period fMRI and post-provocation period; self-reported anger control (5 items) and 2nd PANAS-X and hostility subscale</v>
      </c>
      <c r="D10" s="53" t="s">
        <v>1406</v>
      </c>
      <c r="E10" s="55"/>
      <c r="F10" s="55"/>
      <c r="G10" s="55"/>
      <c r="H10" s="55"/>
      <c r="I10" s="55"/>
      <c r="J10" s="55"/>
      <c r="K10" s="53"/>
      <c r="L10" s="53"/>
      <c r="M10" s="53"/>
    </row>
    <row r="11" spans="1:13" ht="116.75" customHeight="1" x14ac:dyDescent="0.2">
      <c r="A11" s="34" t="s">
        <v>1396</v>
      </c>
      <c r="B11" s="33" t="str">
        <f ca="1">INDIRECT("main!"&amp;"W"&amp;B$1+2)</f>
        <v>BOLD response for postprovocation period versus baseline period as a function of MAOA genotype in a 2 (genotype: MAOA-H, MAOA-L) × 2 (time: baseline, postprovocation) mixed design. Separate random effects between-group general linear model analyses for 3 bilateral ROIs; separate analyses for relevant ROI in each hemisphere; Pearson's correlations BOLD response anger control and anger; indirect effects analysis dACC/amygdala mediate MAOA and anger control bootstrap indirect effect estimates; strength of connectivity coefficient (r) and genotype ANOVA</v>
      </c>
      <c r="D11" s="53" t="s">
        <v>1376</v>
      </c>
      <c r="E11" s="69" t="s">
        <v>1377</v>
      </c>
      <c r="F11" s="69">
        <f>(H8*K8-L8*I8)/(H8*M8-L8^2)</f>
        <v>-0.31999999999999995</v>
      </c>
      <c r="G11" s="55"/>
      <c r="H11" s="55"/>
      <c r="I11" s="55"/>
      <c r="J11" s="55"/>
      <c r="K11" s="53"/>
      <c r="L11" s="53"/>
      <c r="M11" s="53"/>
    </row>
    <row r="12" spans="1:13" ht="44" customHeight="1" x14ac:dyDescent="0.2">
      <c r="A12" s="34" t="s">
        <v>1898</v>
      </c>
      <c r="B12" s="33" t="s">
        <v>1544</v>
      </c>
      <c r="D12" s="53"/>
      <c r="E12" s="70" t="s">
        <v>1378</v>
      </c>
      <c r="F12" s="69">
        <f>(H8*K8-L8*I8)/SQRT((H8*M8-L8^2)*(H8*J8-I8^2))</f>
        <v>-0.34776356155773153</v>
      </c>
      <c r="G12" s="53"/>
      <c r="H12" s="53"/>
      <c r="I12" s="53"/>
      <c r="J12" s="53"/>
      <c r="K12" s="53"/>
      <c r="L12" s="53"/>
      <c r="M12" s="53"/>
    </row>
    <row r="13" spans="1:13" ht="111.75" customHeight="1" x14ac:dyDescent="0.2">
      <c r="A13" s="34" t="s">
        <v>1326</v>
      </c>
      <c r="B13" s="33" t="s">
        <v>1538</v>
      </c>
      <c r="D13" s="53"/>
      <c r="E13" s="56" t="s">
        <v>1379</v>
      </c>
      <c r="F13" s="53">
        <f>F12^2</f>
        <v>0.12093949474731812</v>
      </c>
      <c r="G13" s="53"/>
      <c r="H13" s="53"/>
      <c r="I13" s="53"/>
      <c r="J13" s="53"/>
      <c r="K13" s="53"/>
      <c r="L13" s="53"/>
      <c r="M13" s="53"/>
    </row>
    <row r="14" spans="1:13" x14ac:dyDescent="0.2">
      <c r="A14" s="34" t="s">
        <v>1852</v>
      </c>
      <c r="B14" s="33" t="str">
        <f>D4&amp;" (N = "&amp;H4&amp;"); "&amp;D5&amp;" (N = "&amp;H5&amp;")"</f>
        <v>MAOA-L (N = 16); MAOA-H (N = 22)</v>
      </c>
      <c r="E14" s="53"/>
      <c r="F14" s="53"/>
      <c r="G14" s="53"/>
      <c r="H14" s="53"/>
      <c r="I14" s="53"/>
      <c r="J14" s="53"/>
      <c r="K14" s="53"/>
      <c r="L14" s="53"/>
      <c r="M14" s="53"/>
    </row>
    <row r="15" spans="1:13" x14ac:dyDescent="0.2">
      <c r="A15" s="34" t="s">
        <v>1848</v>
      </c>
      <c r="B15" s="62">
        <f>F18</f>
        <v>0.37014165169068081</v>
      </c>
      <c r="D15" s="58" t="s">
        <v>1438</v>
      </c>
      <c r="E15" s="58"/>
      <c r="F15" s="58"/>
    </row>
    <row r="16" spans="1:13" x14ac:dyDescent="0.2">
      <c r="A16" s="34" t="s">
        <v>1899</v>
      </c>
      <c r="B16" s="62" t="s">
        <v>2128</v>
      </c>
      <c r="D16" s="58"/>
      <c r="E16" s="58"/>
      <c r="F16" s="58"/>
    </row>
    <row r="17" spans="1:6" ht="16" x14ac:dyDescent="0.2">
      <c r="A17" s="204" t="s">
        <v>2189</v>
      </c>
      <c r="B17" s="33">
        <v>0.437</v>
      </c>
      <c r="D17" t="s">
        <v>1439</v>
      </c>
      <c r="E17" t="s">
        <v>1440</v>
      </c>
      <c r="F17" t="s">
        <v>1378</v>
      </c>
    </row>
    <row r="18" spans="1:6" x14ac:dyDescent="0.2">
      <c r="A18" s="64" t="s">
        <v>1401</v>
      </c>
      <c r="B18" s="33">
        <v>9.1999999999999998E-2</v>
      </c>
      <c r="D18">
        <v>1.9E-2</v>
      </c>
      <c r="E18">
        <f>TINV(D18,H8-2)</f>
        <v>2.4561539096864169</v>
      </c>
      <c r="F18">
        <f>SQRT(E18^2/(E18^2+H8))</f>
        <v>0.37014165169068081</v>
      </c>
    </row>
    <row r="19" spans="1:6" x14ac:dyDescent="0.2">
      <c r="A19" s="64" t="s">
        <v>1346</v>
      </c>
      <c r="B19" s="33" t="s">
        <v>1506</v>
      </c>
    </row>
    <row r="20" spans="1:6" x14ac:dyDescent="0.2">
      <c r="A20" s="33" t="s">
        <v>1388</v>
      </c>
      <c r="B20" s="33" t="s">
        <v>2169</v>
      </c>
      <c r="D20" s="58"/>
    </row>
    <row r="21" spans="1:6" ht="59.25" customHeight="1" x14ac:dyDescent="0.2">
      <c r="A21" s="33" t="s">
        <v>1390</v>
      </c>
      <c r="D21" s="236" t="s">
        <v>2415</v>
      </c>
      <c r="E21" s="236" t="s">
        <v>2416</v>
      </c>
    </row>
    <row r="22" spans="1:6" ht="72" customHeight="1" x14ac:dyDescent="0.2">
      <c r="A22" s="34" t="s">
        <v>1387</v>
      </c>
      <c r="B22" s="33" t="s">
        <v>1545</v>
      </c>
      <c r="D22" s="236">
        <v>38</v>
      </c>
      <c r="E22" s="236">
        <v>0</v>
      </c>
    </row>
    <row r="24" spans="1:6" s="140" customFormat="1" x14ac:dyDescent="0.2">
      <c r="A24" s="138" t="s">
        <v>1746</v>
      </c>
      <c r="B24" s="139"/>
    </row>
    <row r="25" spans="1:6" s="136" customFormat="1" ht="30" x14ac:dyDescent="0.2">
      <c r="A25" s="137" t="s">
        <v>1753</v>
      </c>
      <c r="B25" s="137" t="s">
        <v>2261</v>
      </c>
    </row>
    <row r="26" spans="1:6" s="136" customFormat="1" x14ac:dyDescent="0.2">
      <c r="A26" s="137" t="s">
        <v>1681</v>
      </c>
      <c r="B26" s="137">
        <f ca="1">INDIRECT("N_SNPs!"&amp;"L"&amp;B$1+2)</f>
        <v>0</v>
      </c>
    </row>
    <row r="27" spans="1:6" s="136" customFormat="1" x14ac:dyDescent="0.2">
      <c r="A27" s="137" t="s">
        <v>1747</v>
      </c>
      <c r="B27" s="137">
        <f ca="1">INDIRECT("N_SNPs!"&amp;"M"&amp;B$1+2)</f>
        <v>1</v>
      </c>
    </row>
    <row r="28" spans="1:6" s="136" customFormat="1" x14ac:dyDescent="0.2">
      <c r="A28" s="137" t="s">
        <v>1683</v>
      </c>
      <c r="B28" s="137" t="str">
        <f ca="1">INDIRECT("N_SNPs!"&amp;"N"&amp;B$1+2)</f>
        <v>not needed</v>
      </c>
    </row>
    <row r="29" spans="1:6" s="136" customFormat="1" x14ac:dyDescent="0.2">
      <c r="A29" s="137" t="s">
        <v>2171</v>
      </c>
      <c r="B29" s="137">
        <f ca="1">INDIRECT("N_SNPs!"&amp;"O"&amp;B$1+2)</f>
        <v>1</v>
      </c>
    </row>
    <row r="30" spans="1:6" s="136" customFormat="1" ht="30" x14ac:dyDescent="0.2">
      <c r="A30" s="137" t="s">
        <v>2170</v>
      </c>
      <c r="B30" s="137">
        <v>0</v>
      </c>
    </row>
    <row r="31" spans="1:6" s="136" customFormat="1" ht="60" x14ac:dyDescent="0.2">
      <c r="A31" s="137" t="s">
        <v>2172</v>
      </c>
      <c r="B31" s="137">
        <f ca="1">INDIRECT("N_SNPs!"&amp;"Q"&amp;B$1+2)</f>
        <v>5</v>
      </c>
    </row>
    <row r="32" spans="1:6" s="136" customFormat="1" x14ac:dyDescent="0.2">
      <c r="A32" s="137" t="s">
        <v>1686</v>
      </c>
      <c r="B32" s="137">
        <f ca="1">INDIRECT("N_SNPs!"&amp;"R"&amp;B$1+2)</f>
        <v>0</v>
      </c>
    </row>
    <row r="33" spans="1:3" s="172" customFormat="1" x14ac:dyDescent="0.2">
      <c r="A33" s="171" t="s">
        <v>1808</v>
      </c>
      <c r="B33" s="171">
        <v>14</v>
      </c>
    </row>
    <row r="34" spans="1:3" s="172" customFormat="1" x14ac:dyDescent="0.2">
      <c r="A34" s="203" t="s">
        <v>2177</v>
      </c>
      <c r="B34" s="171">
        <v>2</v>
      </c>
    </row>
    <row r="35" spans="1:3" s="172" customFormat="1" ht="60" x14ac:dyDescent="0.2">
      <c r="A35" s="171" t="s">
        <v>1810</v>
      </c>
      <c r="B35" s="171">
        <v>0</v>
      </c>
    </row>
    <row r="36" spans="1:3" s="174" customFormat="1" ht="90" x14ac:dyDescent="0.2">
      <c r="A36" s="173" t="s">
        <v>1835</v>
      </c>
      <c r="B36" s="198" t="s">
        <v>2284</v>
      </c>
      <c r="C36" s="174" t="s">
        <v>2420</v>
      </c>
    </row>
    <row r="37" spans="1:3" s="174" customFormat="1" ht="30" x14ac:dyDescent="0.2">
      <c r="A37" s="173" t="s">
        <v>2272</v>
      </c>
      <c r="B37" s="198" t="s">
        <v>2391</v>
      </c>
    </row>
    <row r="38" spans="1:3" s="174" customFormat="1" ht="30" x14ac:dyDescent="0.2">
      <c r="A38" s="173" t="s">
        <v>2299</v>
      </c>
      <c r="B38" s="173">
        <v>0</v>
      </c>
    </row>
    <row r="39" spans="1:3" s="174" customFormat="1" x14ac:dyDescent="0.2">
      <c r="A39" s="173" t="s">
        <v>2273</v>
      </c>
      <c r="B39" s="173">
        <v>6</v>
      </c>
    </row>
    <row r="40" spans="1:3" s="174" customFormat="1" ht="30" x14ac:dyDescent="0.2">
      <c r="A40" s="173" t="s">
        <v>2274</v>
      </c>
      <c r="B40" s="173">
        <v>0</v>
      </c>
    </row>
    <row r="41" spans="1:3" s="176" customFormat="1" x14ac:dyDescent="0.2">
      <c r="A41" s="175" t="s">
        <v>1815</v>
      </c>
      <c r="B41" s="175" t="s">
        <v>2169</v>
      </c>
    </row>
    <row r="42" spans="1:3" s="176" customFormat="1" x14ac:dyDescent="0.2">
      <c r="A42" s="175" t="s">
        <v>1881</v>
      </c>
      <c r="B42" s="175" t="s">
        <v>494</v>
      </c>
    </row>
    <row r="43" spans="1:3" x14ac:dyDescent="0.2">
      <c r="A43" s="34" t="s">
        <v>1398</v>
      </c>
      <c r="B43" s="65"/>
    </row>
    <row r="44" spans="1:3" x14ac:dyDescent="0.2">
      <c r="A44" s="34" t="s">
        <v>1410</v>
      </c>
    </row>
    <row r="45" spans="1:3" x14ac:dyDescent="0.2">
      <c r="A45" s="34" t="s">
        <v>2374</v>
      </c>
      <c r="B45" s="33">
        <v>1</v>
      </c>
    </row>
    <row r="46" spans="1:3" x14ac:dyDescent="0.2">
      <c r="A46" s="34" t="s">
        <v>1416</v>
      </c>
      <c r="B46" s="66" t="s">
        <v>1536</v>
      </c>
    </row>
    <row r="48" spans="1:3" x14ac:dyDescent="0.2">
      <c r="A48" s="34" t="s">
        <v>1490</v>
      </c>
      <c r="B48" s="66">
        <v>42655</v>
      </c>
    </row>
    <row r="49" spans="2:2" ht="90" x14ac:dyDescent="0.2">
      <c r="B49" s="33" t="s">
        <v>1656</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
  <sheetViews>
    <sheetView workbookViewId="0">
      <pane xSplit="1" ySplit="1" topLeftCell="B2" activePane="bottomRight" state="frozen"/>
      <selection activeCell="L12" sqref="L12"/>
      <selection pane="topRight" activeCell="L12" sqref="L12"/>
      <selection pane="bottomLeft" activeCell="L12" sqref="L12"/>
      <selection pane="bottomRight" activeCell="L12" sqref="L12"/>
    </sheetView>
  </sheetViews>
  <sheetFormatPr baseColWidth="10" defaultColWidth="9.1640625" defaultRowHeight="15" x14ac:dyDescent="0.2"/>
  <cols>
    <col min="1" max="2" width="9.1640625" style="82"/>
    <col min="3" max="3" width="15.83203125" style="82" customWidth="1"/>
    <col min="4" max="4" width="13.5" style="82" customWidth="1"/>
    <col min="5" max="5" width="31" style="82" customWidth="1"/>
    <col min="6" max="6" width="19.5" style="82" customWidth="1"/>
    <col min="7" max="7" width="9.33203125" style="82" customWidth="1"/>
    <col min="8" max="8" width="11" style="34" customWidth="1"/>
    <col min="9" max="16384" width="9.1640625" style="82"/>
  </cols>
  <sheetData>
    <row r="1" spans="1:12" x14ac:dyDescent="0.2">
      <c r="A1" s="82" t="s">
        <v>1338</v>
      </c>
      <c r="B1" s="82" t="s">
        <v>1530</v>
      </c>
      <c r="C1" s="82" t="s">
        <v>1335</v>
      </c>
      <c r="D1" s="82" t="s">
        <v>1665</v>
      </c>
      <c r="E1" s="82" t="s">
        <v>1327</v>
      </c>
      <c r="F1" s="82" t="s">
        <v>1666</v>
      </c>
      <c r="G1" s="34" t="s">
        <v>1664</v>
      </c>
      <c r="H1" s="82" t="s">
        <v>1667</v>
      </c>
      <c r="I1" s="82" t="s">
        <v>1668</v>
      </c>
      <c r="K1" s="82" t="s">
        <v>1670</v>
      </c>
      <c r="L1" s="82" t="s">
        <v>1671</v>
      </c>
    </row>
    <row r="2" spans="1:12" ht="90" x14ac:dyDescent="0.2">
      <c r="A2" s="82">
        <v>1</v>
      </c>
      <c r="B2" s="82">
        <v>1</v>
      </c>
      <c r="C2" s="7" t="s">
        <v>1336</v>
      </c>
      <c r="D2" s="82" t="str">
        <f t="shared" ref="D2:D31" si="0">"overview_"&amp;A2&amp;"!B"</f>
        <v>overview_1!B</v>
      </c>
      <c r="E2" s="34" t="str">
        <f t="shared" ref="E2:E31" ca="1" si="1">INDIRECT(D2&amp;"5")</f>
        <v>Discovery sample (D) Child and Adolescent Twin Study in Sweden (CATSS); Replication sample (R) Twin Study of Child and Adolescent Development (TCHAD); age 16-20; analysed boys, girls and boys+girls</v>
      </c>
      <c r="F2" s="34" t="str">
        <f t="shared" ref="F2:F31" ca="1" si="2">INDIRECT(D2&amp;"6")</f>
        <v>D=2372; R=1232</v>
      </c>
      <c r="G2" s="34">
        <f t="shared" ref="G2:G31" ca="1" si="3">INDIRECT(D2&amp;"17")</f>
        <v>8.8999999999999996E-2</v>
      </c>
      <c r="H2" s="82">
        <v>1</v>
      </c>
      <c r="I2" s="82">
        <f>10*H2+B2</f>
        <v>11</v>
      </c>
      <c r="K2" s="82">
        <v>2372</v>
      </c>
      <c r="L2" s="34" t="str">
        <f ca="1">INDIRECT($D2&amp;"16")</f>
        <v>Means/SDs table 2</v>
      </c>
    </row>
    <row r="3" spans="1:12" ht="75" x14ac:dyDescent="0.2">
      <c r="A3" s="82">
        <v>5</v>
      </c>
      <c r="B3" s="82">
        <v>1</v>
      </c>
      <c r="C3" s="7" t="s">
        <v>1336</v>
      </c>
      <c r="D3" s="82" t="str">
        <f t="shared" si="0"/>
        <v>overview_5!B</v>
      </c>
      <c r="E3" s="34" t="str">
        <f t="shared" ca="1" si="1"/>
        <v>Discovery: Sib pairs from subset of Mid South Tobacco Family study; Half AA and half EA ethnicity, 50% smokers. Replication in case-control samplee of 3088 AA and 1430 EA, all unrelated</v>
      </c>
      <c r="F3" s="34" t="str">
        <f t="shared" ca="1" si="2"/>
        <v>D = 400</v>
      </c>
      <c r="G3" s="34">
        <f t="shared" ca="1" si="3"/>
        <v>0.05</v>
      </c>
      <c r="H3" s="82">
        <v>1</v>
      </c>
      <c r="I3" s="82">
        <f t="shared" ref="I3:I31" si="4">10*H3+B3</f>
        <v>11</v>
      </c>
      <c r="K3" s="82">
        <v>400</v>
      </c>
      <c r="L3" s="34" t="str">
        <f t="shared" ref="L3:L31" ca="1" si="5">INDIRECT($D3&amp;"16")</f>
        <v>odds ratio, p 1472</v>
      </c>
    </row>
    <row r="4" spans="1:12" ht="75" x14ac:dyDescent="0.2">
      <c r="A4" s="82">
        <v>9</v>
      </c>
      <c r="B4" s="82">
        <v>1</v>
      </c>
      <c r="C4" s="7" t="s">
        <v>1336</v>
      </c>
      <c r="D4" s="82" t="str">
        <f t="shared" si="0"/>
        <v>overview_9!B</v>
      </c>
      <c r="E4" s="34" t="str">
        <f t="shared" ca="1" si="1"/>
        <v>Australian elderly cohort drawn from the larger Australian Imaging, Biomarkers and Lifestyle study of ageing (AIBL), age 60+, all cognitively healthy at baseline</v>
      </c>
      <c r="F4" s="34" t="str">
        <f t="shared" ca="1" si="2"/>
        <v>N = 527</v>
      </c>
      <c r="G4" s="34">
        <f t="shared" ca="1" si="3"/>
        <v>0.121</v>
      </c>
      <c r="H4" s="82">
        <v>0</v>
      </c>
      <c r="I4" s="82">
        <f t="shared" si="4"/>
        <v>1</v>
      </c>
      <c r="K4" s="82">
        <v>4931</v>
      </c>
      <c r="L4" s="34" t="str">
        <f t="shared" ca="1" si="5"/>
        <v>Table 2</v>
      </c>
    </row>
    <row r="5" spans="1:12" ht="75" x14ac:dyDescent="0.2">
      <c r="A5" s="82">
        <v>9</v>
      </c>
      <c r="B5" s="82">
        <v>1</v>
      </c>
      <c r="C5" s="7" t="s">
        <v>1336</v>
      </c>
      <c r="D5" s="82" t="str">
        <f t="shared" si="0"/>
        <v>overview_9!B</v>
      </c>
      <c r="E5" s="34" t="str">
        <f t="shared" ca="1" si="1"/>
        <v>Australian elderly cohort drawn from the larger Australian Imaging, Biomarkers and Lifestyle study of ageing (AIBL), age 60+, all cognitively healthy at baseline</v>
      </c>
      <c r="F5" s="34" t="str">
        <f t="shared" ca="1" si="2"/>
        <v>N = 527</v>
      </c>
      <c r="G5" s="34">
        <f t="shared" ca="1" si="3"/>
        <v>0.121</v>
      </c>
      <c r="H5" s="82">
        <v>0</v>
      </c>
      <c r="I5" s="82">
        <f t="shared" si="4"/>
        <v>1</v>
      </c>
      <c r="K5" s="82">
        <v>527</v>
      </c>
      <c r="L5" s="34" t="str">
        <f t="shared" ca="1" si="5"/>
        <v>Table 2</v>
      </c>
    </row>
    <row r="6" spans="1:12" ht="165" x14ac:dyDescent="0.2">
      <c r="A6" s="82">
        <v>11</v>
      </c>
      <c r="B6" s="82">
        <v>1</v>
      </c>
      <c r="C6" s="7" t="s">
        <v>1336</v>
      </c>
      <c r="D6" s="82" t="str">
        <f t="shared" si="0"/>
        <v>overview_11!B</v>
      </c>
      <c r="E6" s="34" t="str">
        <f t="shared" ca="1" si="1"/>
        <v>Two German samples from general population: Münster sample and new subsample of the SHIP-TREND MRI cohort that was not part of previously published GWAS</v>
      </c>
      <c r="F6" s="34" t="str">
        <f t="shared" ca="1" si="2"/>
        <v>Sample 1: N = 512; Sample 2: N = 721</v>
      </c>
      <c r="G6" s="34">
        <f t="shared" ca="1" si="3"/>
        <v>0.10299999999999999</v>
      </c>
      <c r="H6" s="82">
        <v>1</v>
      </c>
      <c r="I6" s="82">
        <f t="shared" si="4"/>
        <v>11</v>
      </c>
      <c r="K6" s="82">
        <v>264</v>
      </c>
      <c r="L6" s="34" t="str">
        <f t="shared" ca="1" si="5"/>
        <v>Quasi-effect-size only from t-values p 400; this will overestimate as based on finding peak</v>
      </c>
    </row>
    <row r="7" spans="1:12" ht="75" x14ac:dyDescent="0.2">
      <c r="A7" s="82">
        <v>16</v>
      </c>
      <c r="B7" s="82">
        <v>1</v>
      </c>
      <c r="C7" s="7" t="s">
        <v>1336</v>
      </c>
      <c r="D7" s="82" t="str">
        <f t="shared" si="0"/>
        <v>overview_16!B</v>
      </c>
      <c r="E7" s="34" t="str">
        <f t="shared" ca="1" si="1"/>
        <v>Health in Men Study: males aged 65-83 years</v>
      </c>
      <c r="F7" s="34" t="str">
        <f t="shared" ca="1" si="2"/>
        <v>N = 3873</v>
      </c>
      <c r="G7" s="34">
        <f t="shared" ca="1" si="3"/>
        <v>4.4999999999999998E-2</v>
      </c>
      <c r="H7" s="82">
        <v>2</v>
      </c>
      <c r="I7" s="82">
        <f t="shared" si="4"/>
        <v>21</v>
      </c>
      <c r="K7" s="82">
        <v>3973</v>
      </c>
      <c r="L7" s="34" t="str">
        <f t="shared" ca="1" si="5"/>
        <v>odds ratio reported in footnote to Table 1</v>
      </c>
    </row>
    <row r="8" spans="1:12" ht="90" x14ac:dyDescent="0.2">
      <c r="A8" s="82">
        <v>17</v>
      </c>
      <c r="B8" s="82">
        <v>1</v>
      </c>
      <c r="C8" s="5" t="s">
        <v>1336</v>
      </c>
      <c r="D8" s="82" t="str">
        <f>"overview_"&amp;A9&amp;"!B"</f>
        <v>overview_19!B</v>
      </c>
      <c r="E8" s="34" t="str">
        <f ca="1">INDIRECT(D9&amp;"5")</f>
        <v>Discovery sample; treatment-seeking European ancestry smokers aged 18–65 who smoked 10+ cigarettes per day; Replication sample: participants in an open-label trial of nicotine patch versus nicotine nasal spray</v>
      </c>
      <c r="F8" s="34" t="str">
        <f ca="1">INDIRECT(D9&amp;"6")</f>
        <v>Discovery: N = 449_x000D_Replication: N = 165</v>
      </c>
      <c r="G8" s="34">
        <f ca="1">INDIRECT(D9&amp;"17")</f>
        <v>0.13600000000000001</v>
      </c>
      <c r="H8" s="82">
        <v>0</v>
      </c>
      <c r="I8" s="82">
        <f>10*H9+B9</f>
        <v>11</v>
      </c>
      <c r="K8" s="82">
        <v>391</v>
      </c>
      <c r="L8" s="34" t="str">
        <f ca="1">INDIRECT($D9&amp;"16")</f>
        <v>Table 2, odds ratio</v>
      </c>
    </row>
    <row r="9" spans="1:12" ht="90" x14ac:dyDescent="0.2">
      <c r="A9" s="82">
        <v>19</v>
      </c>
      <c r="B9" s="82">
        <v>1</v>
      </c>
      <c r="C9" s="5" t="s">
        <v>1336</v>
      </c>
      <c r="D9" s="82" t="str">
        <f t="shared" si="0"/>
        <v>overview_19!B</v>
      </c>
      <c r="E9" s="34" t="str">
        <f t="shared" ca="1" si="1"/>
        <v>Discovery sample; treatment-seeking European ancestry smokers aged 18–65 who smoked 10+ cigarettes per day; Replication sample: participants in an open-label trial of nicotine patch versus nicotine nasal spray</v>
      </c>
      <c r="F9" s="34" t="str">
        <f t="shared" ca="1" si="2"/>
        <v>Discovery: N = 449_x000D_Replication: N = 165</v>
      </c>
      <c r="G9" s="34">
        <f t="shared" ca="1" si="3"/>
        <v>0.13600000000000001</v>
      </c>
      <c r="H9" s="82">
        <v>1</v>
      </c>
      <c r="I9" s="82">
        <f t="shared" si="4"/>
        <v>11</v>
      </c>
      <c r="K9" s="82">
        <v>449</v>
      </c>
      <c r="L9" s="34" t="str">
        <f t="shared" ca="1" si="5"/>
        <v>Table 2, odds ratio</v>
      </c>
    </row>
    <row r="10" spans="1:12" ht="330" x14ac:dyDescent="0.2">
      <c r="A10" s="82">
        <v>24</v>
      </c>
      <c r="B10" s="82">
        <v>1</v>
      </c>
      <c r="C10" s="5" t="s">
        <v>1336</v>
      </c>
      <c r="D10" s="82" t="str">
        <f t="shared" si="0"/>
        <v>overview_24!B</v>
      </c>
      <c r="E10" s="34" t="str">
        <f t="shared" ca="1" si="1"/>
        <v>Healthy volunteers; Caucasian</v>
      </c>
      <c r="F10" s="34" t="str">
        <f t="shared" ca="1" si="2"/>
        <v>N = 176</v>
      </c>
      <c r="G10" s="34">
        <f t="shared" ca="1" si="3"/>
        <v>0.20899999999999999</v>
      </c>
      <c r="H10" s="82">
        <v>0</v>
      </c>
      <c r="I10" s="82">
        <f t="shared" si="4"/>
        <v>1</v>
      </c>
      <c r="K10" s="82">
        <v>176</v>
      </c>
      <c r="L10" s="34" t="str">
        <f t="shared" ca="1" si="5"/>
        <v>p-value of interaction, evaluated with full N. Also Computed an effect size for the interaction by digitising data from Figure 3 and then computing means for the combinations of COMT and Bray haplotypes described in Figure 3. This gave r = .331</v>
      </c>
    </row>
    <row r="11" spans="1:12" ht="105" x14ac:dyDescent="0.2">
      <c r="A11" s="82">
        <v>29</v>
      </c>
      <c r="B11" s="82">
        <v>1</v>
      </c>
      <c r="C11" s="5" t="s">
        <v>1336</v>
      </c>
      <c r="D11" s="82" t="str">
        <f t="shared" si="0"/>
        <v>overview_29!B</v>
      </c>
      <c r="E11" s="34" t="str">
        <f t="shared" ca="1" si="1"/>
        <v>From the Adult Health and Behavior (AHAB) Study, which investigates a variety of behavioral and biological traits among non-patient, middle-aged community volunteers. Restricted to Caucasian participants,  mean age 44.70±6.49 years).</v>
      </c>
      <c r="F11" s="34" t="str">
        <f t="shared" ca="1" si="2"/>
        <v>N = 91 for imaging genetics; 975 for personality study</v>
      </c>
      <c r="G11" s="34">
        <f t="shared" ca="1" si="3"/>
        <v>0.30499999999999999</v>
      </c>
      <c r="H11" s="82">
        <v>0</v>
      </c>
      <c r="I11" s="82">
        <f t="shared" si="4"/>
        <v>1</v>
      </c>
      <c r="K11" s="82">
        <v>414</v>
      </c>
      <c r="L11" s="34" t="str">
        <f t="shared" ca="1" si="5"/>
        <v>Figure 4B, central bars, digitised values</v>
      </c>
    </row>
    <row r="12" spans="1:12" ht="105" x14ac:dyDescent="0.2">
      <c r="A12" s="82">
        <v>29</v>
      </c>
      <c r="B12" s="82">
        <v>1</v>
      </c>
      <c r="C12" s="5" t="s">
        <v>1336</v>
      </c>
      <c r="D12" s="82" t="str">
        <f t="shared" si="0"/>
        <v>overview_29!B</v>
      </c>
      <c r="E12" s="34" t="str">
        <f t="shared" ca="1" si="1"/>
        <v>From the Adult Health and Behavior (AHAB) Study, which investigates a variety of behavioral and biological traits among non-patient, middle-aged community volunteers. Restricted to Caucasian participants,  mean age 44.70±6.49 years).</v>
      </c>
      <c r="F12" s="34" t="str">
        <f t="shared" ca="1" si="2"/>
        <v>N = 91 for imaging genetics; 975 for personality study</v>
      </c>
      <c r="G12" s="34">
        <f t="shared" ca="1" si="3"/>
        <v>0.30499999999999999</v>
      </c>
      <c r="H12" s="82">
        <v>2</v>
      </c>
      <c r="I12" s="82">
        <f t="shared" si="4"/>
        <v>21</v>
      </c>
      <c r="K12" s="82">
        <v>91</v>
      </c>
      <c r="L12" s="34" t="str">
        <f t="shared" ca="1" si="5"/>
        <v>Figure 4B, central bars, digitised values</v>
      </c>
    </row>
    <row r="13" spans="1:12" ht="60" x14ac:dyDescent="0.2">
      <c r="A13" s="82">
        <v>30</v>
      </c>
      <c r="B13" s="82">
        <v>1</v>
      </c>
      <c r="C13" s="5" t="s">
        <v>1336</v>
      </c>
      <c r="D13" s="82" t="str">
        <f t="shared" si="0"/>
        <v>overview_30!B</v>
      </c>
      <c r="E13" s="34" t="str">
        <f t="shared" ca="1" si="1"/>
        <v>Heidelberg longitudinal cohort: men (47.6%; mean age 53.5±7.1 years) and women (52.4%; mean age 52.9±7.0 years)</v>
      </c>
      <c r="F13" s="34" t="str">
        <f t="shared" ca="1" si="2"/>
        <v>1804 men and 1989 women</v>
      </c>
      <c r="G13" s="34">
        <f t="shared" ca="1" si="3"/>
        <v>6.2E-2</v>
      </c>
      <c r="H13" s="82">
        <v>2</v>
      </c>
      <c r="I13" s="82">
        <f t="shared" si="4"/>
        <v>21</v>
      </c>
      <c r="K13" s="82">
        <f>1904+1999</f>
        <v>3903</v>
      </c>
      <c r="L13" s="34" t="str">
        <f t="shared" ca="1" si="5"/>
        <v>Table 3, p-value</v>
      </c>
    </row>
    <row r="14" spans="1:12" ht="45" x14ac:dyDescent="0.2">
      <c r="A14" s="82">
        <v>2</v>
      </c>
      <c r="B14" s="82">
        <v>2</v>
      </c>
      <c r="C14" s="7" t="s">
        <v>1349</v>
      </c>
      <c r="D14" s="82" t="str">
        <f t="shared" si="0"/>
        <v>overview_2!B</v>
      </c>
      <c r="E14" s="34" t="str">
        <f t="shared" ca="1" si="1"/>
        <v>Undergraduate students  (psychology course)</v>
      </c>
      <c r="F14" s="34">
        <f t="shared" ca="1" si="2"/>
        <v>195</v>
      </c>
      <c r="G14" s="34">
        <f t="shared" ca="1" si="3"/>
        <v>0.19900000000000001</v>
      </c>
      <c r="H14" s="82">
        <v>0</v>
      </c>
      <c r="I14" s="82">
        <f t="shared" si="4"/>
        <v>2</v>
      </c>
      <c r="K14" s="82">
        <v>196</v>
      </c>
      <c r="L14" s="34" t="str">
        <f t="shared" ca="1" si="5"/>
        <v>Theta means/SE figure 4</v>
      </c>
    </row>
    <row r="15" spans="1:12" ht="75" x14ac:dyDescent="0.2">
      <c r="A15" s="82">
        <v>13</v>
      </c>
      <c r="B15" s="82">
        <v>2</v>
      </c>
      <c r="C15" s="7" t="s">
        <v>1349</v>
      </c>
      <c r="D15" s="82" t="str">
        <f t="shared" si="0"/>
        <v>overview_13!B</v>
      </c>
      <c r="E15" s="34" t="str">
        <f t="shared" ca="1" si="1"/>
        <v>General sample: n=187 (60 men); 18-35 years; University of Texas at Austin introductory participant pool; Screened sample n=221 (96 men), given more detailed neuropsychiatric screening</v>
      </c>
      <c r="F15" s="34" t="str">
        <f t="shared" ca="1" si="2"/>
        <v>n1=187; n2=221</v>
      </c>
      <c r="G15" s="34">
        <f t="shared" ca="1" si="3"/>
        <v>0.2</v>
      </c>
      <c r="H15" s="82">
        <v>2</v>
      </c>
      <c r="I15" s="82">
        <f t="shared" si="4"/>
        <v>22</v>
      </c>
      <c r="K15" s="82">
        <v>197</v>
      </c>
      <c r="L15" s="34" t="str">
        <f t="shared" ca="1" si="5"/>
        <v>Table 1</v>
      </c>
    </row>
    <row r="16" spans="1:12" ht="150" x14ac:dyDescent="0.2">
      <c r="A16" s="82">
        <v>20</v>
      </c>
      <c r="B16" s="82">
        <v>2</v>
      </c>
      <c r="C16" s="7" t="s">
        <v>1349</v>
      </c>
      <c r="D16" s="82" t="str">
        <f t="shared" si="0"/>
        <v>overview_20!B</v>
      </c>
      <c r="E16" s="34" t="str">
        <f t="shared" ca="1" si="1"/>
        <v>Healthy male undergraduates, 79% Asian, 16% white; 3% mixed</v>
      </c>
      <c r="F16" s="34" t="str">
        <f t="shared" ca="1" si="2"/>
        <v>N = 38</v>
      </c>
      <c r="G16" s="34">
        <f t="shared" ca="1" si="3"/>
        <v>0.437</v>
      </c>
      <c r="H16" s="82">
        <v>0</v>
      </c>
      <c r="I16" s="82">
        <f t="shared" si="4"/>
        <v>2</v>
      </c>
      <c r="K16" s="82">
        <v>39</v>
      </c>
      <c r="L16" s="34" t="str">
        <f t="shared" ca="1" si="5"/>
        <v>p-value reported in text; confirmed with regression on data from digitised figure</v>
      </c>
    </row>
    <row r="17" spans="1:12" ht="60" x14ac:dyDescent="0.2">
      <c r="A17" s="82">
        <v>3</v>
      </c>
      <c r="B17" s="82">
        <v>3</v>
      </c>
      <c r="C17" s="7" t="s">
        <v>1353</v>
      </c>
      <c r="D17" s="82" t="str">
        <f t="shared" si="0"/>
        <v>overview_3!B</v>
      </c>
      <c r="E17" s="34" t="str">
        <f t="shared" ca="1" si="1"/>
        <v>Healthy subjects (mean age= 22.6, SD = 4.7) recruited from  Brown University and Providence, Rhode Island community</v>
      </c>
      <c r="F17" s="34" t="str">
        <f t="shared" ca="1" si="2"/>
        <v>171 (105 Caucasian)</v>
      </c>
      <c r="G17" s="34">
        <f t="shared" ca="1" si="3"/>
        <v>0.27400000000000002</v>
      </c>
      <c r="H17" s="82">
        <v>0</v>
      </c>
      <c r="I17" s="82">
        <f t="shared" si="4"/>
        <v>3</v>
      </c>
      <c r="K17" s="82">
        <v>171</v>
      </c>
      <c r="L17" s="34" t="str">
        <f t="shared" ca="1" si="5"/>
        <v>Figure 5A</v>
      </c>
    </row>
    <row r="18" spans="1:12" ht="75" x14ac:dyDescent="0.2">
      <c r="A18" s="82">
        <v>10</v>
      </c>
      <c r="B18" s="82">
        <v>3</v>
      </c>
      <c r="C18" s="7" t="s">
        <v>1353</v>
      </c>
      <c r="D18" s="82" t="str">
        <f>"overview_"&amp;A19&amp;"!B"</f>
        <v>overview_25!B</v>
      </c>
      <c r="E18" s="34" t="str">
        <f ca="1">INDIRECT(D19&amp;"5")</f>
        <v>Healthy Caucasian volunteers (195 males, 215 females) aged 18-55 yr; 2nd sample included individuals with Sz and their siblings; our focus here is on sample 1</v>
      </c>
      <c r="F18" s="34" t="str">
        <f ca="1">INDIRECT(D19&amp;"6")</f>
        <v>N1 = 410, (N2 = 201)</v>
      </c>
      <c r="G18" s="34">
        <f ca="1">INDIRECT(D19&amp;"17")</f>
        <v>0.13700000000000001</v>
      </c>
      <c r="H18" s="82">
        <v>0</v>
      </c>
      <c r="I18" s="82">
        <f>10*H19+B19</f>
        <v>23</v>
      </c>
      <c r="K18" s="82">
        <v>32</v>
      </c>
      <c r="L18" s="34" t="str">
        <f ca="1">INDIRECT($D19&amp;"16")</f>
        <v>Digitised means/SEs from Figure 1A</v>
      </c>
    </row>
    <row r="19" spans="1:12" ht="75" x14ac:dyDescent="0.2">
      <c r="A19" s="82">
        <v>25</v>
      </c>
      <c r="B19" s="82">
        <v>3</v>
      </c>
      <c r="C19" s="5" t="s">
        <v>1353</v>
      </c>
      <c r="D19" s="82" t="str">
        <f t="shared" si="0"/>
        <v>overview_25!B</v>
      </c>
      <c r="E19" s="34" t="str">
        <f t="shared" ca="1" si="1"/>
        <v>Healthy Caucasian volunteers (195 males, 215 females) aged 18-55 yr; 2nd sample included individuals with Sz and their siblings; our focus here is on sample 1</v>
      </c>
      <c r="F19" s="34" t="str">
        <f t="shared" ca="1" si="2"/>
        <v>N1 = 410, (N2 = 201)</v>
      </c>
      <c r="G19" s="34">
        <f t="shared" ca="1" si="3"/>
        <v>0.13700000000000001</v>
      </c>
      <c r="H19" s="82">
        <v>2</v>
      </c>
      <c r="I19" s="82">
        <f t="shared" si="4"/>
        <v>23</v>
      </c>
      <c r="K19" s="82">
        <v>410</v>
      </c>
      <c r="L19" s="34" t="str">
        <f t="shared" ca="1" si="5"/>
        <v>Digitised means/SEs from Figure 1A</v>
      </c>
    </row>
    <row r="20" spans="1:12" ht="75" x14ac:dyDescent="0.2">
      <c r="A20" s="82">
        <v>4</v>
      </c>
      <c r="B20" s="82">
        <v>4</v>
      </c>
      <c r="C20" s="7" t="s">
        <v>1355</v>
      </c>
      <c r="D20" s="82" t="str">
        <f t="shared" si="0"/>
        <v>overview_4!B</v>
      </c>
      <c r="E20" s="34" t="str">
        <f t="shared" ca="1" si="1"/>
        <v>Discovery sample (D) training schools of rescue  workers M=22.23, SD=4.07 age; replication sample (R) M=21.43, SD=2.37 age</v>
      </c>
      <c r="F20" s="34" t="str">
        <f t="shared" ca="1" si="2"/>
        <v>D = 112; R = 72</v>
      </c>
      <c r="G20" s="34">
        <f t="shared" ca="1" si="3"/>
        <v>0.53765339999999995</v>
      </c>
      <c r="H20" s="82">
        <v>1</v>
      </c>
      <c r="I20" s="82">
        <f t="shared" si="4"/>
        <v>14</v>
      </c>
      <c r="K20" s="82">
        <v>122</v>
      </c>
      <c r="L20" s="34" t="str">
        <f t="shared" ca="1" si="5"/>
        <v>Lower panel (replication sample) Figure 1</v>
      </c>
    </row>
    <row r="21" spans="1:12" ht="75" x14ac:dyDescent="0.2">
      <c r="A21" s="82">
        <v>6</v>
      </c>
      <c r="B21" s="82">
        <v>4</v>
      </c>
      <c r="C21" s="7" t="s">
        <v>1355</v>
      </c>
      <c r="D21" s="82" t="str">
        <f t="shared" si="0"/>
        <v>overview_6!B</v>
      </c>
      <c r="E21" s="34" t="str">
        <f t="shared" ca="1" si="1"/>
        <v>Healthy, medication free, recruited from medical school/university adverts. Sample D  (all male); sample R  (21 male); 18-30 years. Sample R oversampled homozygotes</v>
      </c>
      <c r="F21" s="34" t="str">
        <f t="shared" ca="1" si="2"/>
        <v>Discovery (D) =99; Replication (R) =69</v>
      </c>
      <c r="G21" s="34">
        <f t="shared" ca="1" si="3"/>
        <v>0.27700000000000002</v>
      </c>
      <c r="H21" s="82">
        <v>1</v>
      </c>
      <c r="I21" s="82">
        <f t="shared" si="4"/>
        <v>14</v>
      </c>
      <c r="K21" s="82">
        <v>99</v>
      </c>
      <c r="L21" s="34" t="str">
        <f t="shared" ca="1" si="5"/>
        <v>Means/SE from Figure 3, expt 1</v>
      </c>
    </row>
    <row r="22" spans="1:12" ht="315" x14ac:dyDescent="0.2">
      <c r="A22" s="82">
        <v>14</v>
      </c>
      <c r="B22" s="82">
        <v>4</v>
      </c>
      <c r="C22" s="7" t="s">
        <v>1355</v>
      </c>
      <c r="D22" s="82" t="str">
        <f t="shared" si="0"/>
        <v>overview_14!B</v>
      </c>
      <c r="E22" s="34" t="str">
        <f t="shared" ca="1" si="1"/>
        <v>188 Healthy first degree relatives (patients BP n=59, MD n=73, SZ n=56); also analyses 110 healthy volunteers from earlier study by Erk S, et al. (2010). Latter group referred to as 'Discovery sample' and 'control sample'</v>
      </c>
      <c r="F22" s="34">
        <f t="shared" ca="1" si="2"/>
        <v>188</v>
      </c>
      <c r="G22" s="34">
        <f t="shared" ca="1" si="3"/>
        <v>0.20300000000000001</v>
      </c>
      <c r="H22" s="82">
        <v>2</v>
      </c>
      <c r="I22" s="82">
        <f t="shared" si="4"/>
        <v>24</v>
      </c>
      <c r="K22" s="82">
        <v>297</v>
      </c>
      <c r="L22" s="34" t="str">
        <f t="shared" ca="1" si="5"/>
        <v>data from Figure 2, (NB previously used controls and all relatives pooled with numbers provided by authors, but  the control data have been published previously)</v>
      </c>
    </row>
    <row r="23" spans="1:12" ht="60" x14ac:dyDescent="0.2">
      <c r="A23" s="82">
        <v>15</v>
      </c>
      <c r="B23" s="82">
        <v>4</v>
      </c>
      <c r="C23" s="7" t="s">
        <v>1355</v>
      </c>
      <c r="D23" s="82" t="str">
        <f t="shared" si="0"/>
        <v>overview_15!B</v>
      </c>
      <c r="E23" s="34" t="str">
        <f t="shared" ca="1" si="1"/>
        <v>From Rotterdam study: Healthy nondemented stroke-free, aged over 45, mean age = 64.7 (SD=10.9)(European)</v>
      </c>
      <c r="F23" s="34" t="str">
        <f t="shared" ca="1" si="2"/>
        <v>N = 4413</v>
      </c>
      <c r="G23" s="34">
        <f t="shared" ca="1" si="3"/>
        <v>4.2000000000000003E-2</v>
      </c>
      <c r="H23" s="82">
        <v>0</v>
      </c>
      <c r="I23" s="82">
        <f t="shared" si="4"/>
        <v>4</v>
      </c>
      <c r="K23" s="82">
        <v>4413</v>
      </c>
      <c r="L23" s="34" t="str">
        <f t="shared" ca="1" si="5"/>
        <v>R2 reported by authors</v>
      </c>
    </row>
    <row r="24" spans="1:12" ht="90" x14ac:dyDescent="0.2">
      <c r="A24" s="82">
        <v>19</v>
      </c>
      <c r="B24" s="82">
        <v>4</v>
      </c>
      <c r="C24" s="5" t="s">
        <v>1355</v>
      </c>
      <c r="D24" s="82" t="str">
        <f t="shared" si="0"/>
        <v>overview_19!B</v>
      </c>
      <c r="E24" s="34" t="str">
        <f t="shared" ca="1" si="1"/>
        <v>Discovery sample; treatment-seeking European ancestry smokers aged 18–65 who smoked 10+ cigarettes per day; Replication sample: participants in an open-label trial of nicotine patch versus nicotine nasal spray</v>
      </c>
      <c r="F24" s="34" t="str">
        <f t="shared" ca="1" si="2"/>
        <v>Discovery: N = 449_x000D_Replication: N = 165</v>
      </c>
      <c r="G24" s="34">
        <f t="shared" ca="1" si="3"/>
        <v>0.13600000000000001</v>
      </c>
      <c r="H24" s="82">
        <v>0</v>
      </c>
      <c r="I24" s="82">
        <f t="shared" si="4"/>
        <v>4</v>
      </c>
      <c r="K24" s="82">
        <v>1445</v>
      </c>
      <c r="L24" s="34" t="str">
        <f t="shared" ca="1" si="5"/>
        <v>Table 2, odds ratio</v>
      </c>
    </row>
    <row r="25" spans="1:12" ht="105" x14ac:dyDescent="0.2">
      <c r="A25" s="82">
        <v>23</v>
      </c>
      <c r="B25" s="82">
        <v>4</v>
      </c>
      <c r="C25" s="7" t="s">
        <v>1355</v>
      </c>
      <c r="D25" s="82" t="str">
        <f t="shared" si="0"/>
        <v>overview_23!B</v>
      </c>
      <c r="E25" s="34" t="str">
        <f t="shared" ca="1" si="1"/>
        <v>Healthy, Caucasian subjects (18–89 years); for some analyses focus just on older subgroup]</v>
      </c>
      <c r="F25" s="34" t="str">
        <f t="shared" ca="1" si="2"/>
        <v>N = 232</v>
      </c>
      <c r="G25" s="34">
        <f t="shared" ca="1" si="3"/>
        <v>0.33700000000000002</v>
      </c>
      <c r="H25" s="82">
        <v>0</v>
      </c>
      <c r="I25" s="82">
        <f t="shared" si="4"/>
        <v>4</v>
      </c>
      <c r="K25" s="82">
        <v>232</v>
      </c>
      <c r="L25" s="34" t="str">
        <f t="shared" ca="1" si="5"/>
        <v>Table 2, means and SD, also checked with p-value</v>
      </c>
    </row>
    <row r="26" spans="1:12" ht="75" x14ac:dyDescent="0.2">
      <c r="A26" s="82">
        <v>7</v>
      </c>
      <c r="B26" s="82">
        <v>5</v>
      </c>
      <c r="C26" s="5" t="s">
        <v>1528</v>
      </c>
      <c r="D26" s="82" t="str">
        <f t="shared" si="0"/>
        <v>overview_7!B</v>
      </c>
      <c r="E26" s="34" t="str">
        <f t="shared" ca="1" si="1"/>
        <v>Caucasian females 18-55; D and R both case-control series of patients with chronic facial pain</v>
      </c>
      <c r="F26" s="34" t="str">
        <f t="shared" ca="1" si="2"/>
        <v>Discovery: controls=198 patients=200; Replication: controls=859; patients=106</v>
      </c>
      <c r="G26" s="34">
        <f t="shared" ca="1" si="3"/>
        <v>0.16300000000000001</v>
      </c>
      <c r="H26" s="82">
        <v>1</v>
      </c>
      <c r="I26" s="82">
        <f t="shared" si="4"/>
        <v>15</v>
      </c>
      <c r="K26" s="82">
        <v>399</v>
      </c>
      <c r="L26" s="34" t="str">
        <f t="shared" ca="1" si="5"/>
        <v>t-value, supporting Table S3</v>
      </c>
    </row>
    <row r="27" spans="1:12" ht="75" x14ac:dyDescent="0.2">
      <c r="A27" s="82">
        <v>27</v>
      </c>
      <c r="B27" s="82">
        <v>5</v>
      </c>
      <c r="C27" s="5" t="s">
        <v>1528</v>
      </c>
      <c r="D27" s="82" t="str">
        <f t="shared" si="0"/>
        <v>overview_27!B</v>
      </c>
      <c r="E27" s="34" t="str">
        <f t="shared" ca="1" si="1"/>
        <v>Nonsmokers aged 19-55 yr</v>
      </c>
      <c r="F27" s="34" t="str">
        <f t="shared" ca="1" si="2"/>
        <v>N= 107</v>
      </c>
      <c r="G27" s="34">
        <f t="shared" ca="1" si="3"/>
        <v>0.26600000000000001</v>
      </c>
      <c r="H27" s="82">
        <v>0</v>
      </c>
      <c r="I27" s="82">
        <f t="shared" si="4"/>
        <v>5</v>
      </c>
      <c r="K27" s="82">
        <v>107</v>
      </c>
      <c r="L27" s="34" t="str">
        <f t="shared" ca="1" si="5"/>
        <v>Odds ratio computed from Table 3</v>
      </c>
    </row>
    <row r="28" spans="1:12" ht="135" x14ac:dyDescent="0.2">
      <c r="A28" s="82">
        <v>12</v>
      </c>
      <c r="B28" s="82">
        <v>6</v>
      </c>
      <c r="C28" s="7" t="s">
        <v>1529</v>
      </c>
      <c r="D28" s="82" t="str">
        <f>"overview_"&amp;A29&amp;"!B"</f>
        <v>overview_21!B</v>
      </c>
      <c r="E28" s="34" t="str">
        <f ca="1">INDIRECT(D29&amp;"5")</f>
        <v>Participants from general population aged 70 to 95 yrs</v>
      </c>
      <c r="F28" s="34" t="str">
        <f ca="1">INDIRECT(D29&amp;"6")</f>
        <v>N = 600</v>
      </c>
      <c r="G28" s="34">
        <f ca="1">INDIRECT(D29&amp;"17")</f>
        <v>0.114</v>
      </c>
      <c r="H28" s="82">
        <v>0</v>
      </c>
      <c r="I28" s="82">
        <f>10*H29+B29</f>
        <v>7</v>
      </c>
      <c r="K28" s="82">
        <v>3421</v>
      </c>
      <c r="L28" s="34" t="str">
        <f ca="1">INDIRECT($D29&amp;"16")</f>
        <v>initially computed from p-value in Figure 2; author provided corrected value</v>
      </c>
    </row>
    <row r="29" spans="1:12" ht="135" x14ac:dyDescent="0.2">
      <c r="A29" s="82">
        <v>21</v>
      </c>
      <c r="B29" s="82">
        <v>7</v>
      </c>
      <c r="C29" s="7" t="s">
        <v>1546</v>
      </c>
      <c r="D29" s="82" t="str">
        <f t="shared" si="0"/>
        <v>overview_21!B</v>
      </c>
      <c r="E29" s="34" t="str">
        <f t="shared" ca="1" si="1"/>
        <v>Participants from general population aged 70 to 95 yrs</v>
      </c>
      <c r="F29" s="34" t="str">
        <f t="shared" ca="1" si="2"/>
        <v>N = 600</v>
      </c>
      <c r="G29" s="34">
        <f t="shared" ca="1" si="3"/>
        <v>0.114</v>
      </c>
      <c r="H29" s="82">
        <v>0</v>
      </c>
      <c r="I29" s="82">
        <f t="shared" si="4"/>
        <v>7</v>
      </c>
      <c r="K29" s="82">
        <v>600</v>
      </c>
      <c r="L29" s="34" t="str">
        <f t="shared" ca="1" si="5"/>
        <v>initially computed from p-value in Figure 2; author provided corrected value</v>
      </c>
    </row>
    <row r="30" spans="1:12" ht="75" x14ac:dyDescent="0.2">
      <c r="A30" s="82">
        <v>22</v>
      </c>
      <c r="B30" s="82">
        <v>9</v>
      </c>
      <c r="C30" s="7" t="s">
        <v>1564</v>
      </c>
      <c r="D30" s="82" t="str">
        <f t="shared" si="0"/>
        <v>overview_22!B</v>
      </c>
      <c r="E30" s="34" t="str">
        <f t="shared" ca="1" si="1"/>
        <v>Neonates (144 singleborn; 129 twins: for some analyses twins treated as one case so effective N = 186): ethnicity white; around 40% parents had psychiatric history</v>
      </c>
      <c r="F30" s="34" t="str">
        <f t="shared" ca="1" si="2"/>
        <v>N = 272</v>
      </c>
      <c r="G30" s="34">
        <f t="shared" ca="1" si="3"/>
        <v>0.16900000000000001</v>
      </c>
      <c r="H30" s="82">
        <v>0</v>
      </c>
      <c r="I30" s="82">
        <f t="shared" si="4"/>
        <v>9</v>
      </c>
      <c r="K30" s="82">
        <v>272</v>
      </c>
      <c r="L30" s="34" t="str">
        <f t="shared" ca="1" si="5"/>
        <v>P-value given in first line of Results</v>
      </c>
    </row>
    <row r="31" spans="1:12" ht="45" x14ac:dyDescent="0.2">
      <c r="A31" s="82">
        <v>26</v>
      </c>
      <c r="B31" s="82">
        <v>9</v>
      </c>
      <c r="C31" s="5" t="s">
        <v>1600</v>
      </c>
      <c r="D31" s="82" t="str">
        <f t="shared" si="0"/>
        <v>overview_26!B</v>
      </c>
      <c r="E31" s="34" t="str">
        <f t="shared" ca="1" si="1"/>
        <v>Healthy, Caucasian, highly-educated, mean age 26 yr</v>
      </c>
      <c r="F31" s="34" t="str">
        <f t="shared" ca="1" si="2"/>
        <v>N = 682</v>
      </c>
      <c r="G31" s="34">
        <f t="shared" ca="1" si="3"/>
        <v>0.107</v>
      </c>
      <c r="H31" s="82">
        <v>0</v>
      </c>
      <c r="I31" s="82">
        <f t="shared" si="4"/>
        <v>9</v>
      </c>
      <c r="K31" s="82">
        <v>692</v>
      </c>
      <c r="L31" s="34" t="str">
        <f t="shared" ca="1" si="5"/>
        <v>Figure 2B ; digitised means/SE</v>
      </c>
    </row>
    <row r="32" spans="1:12" x14ac:dyDescent="0.2">
      <c r="C32" s="5"/>
      <c r="E32" s="34"/>
      <c r="F32" s="34"/>
      <c r="G32" s="34"/>
      <c r="H32" s="82"/>
      <c r="L32" s="34"/>
    </row>
    <row r="33" spans="4:9" x14ac:dyDescent="0.2">
      <c r="F33" s="82" t="s">
        <v>1664</v>
      </c>
    </row>
    <row r="34" spans="4:9" x14ac:dyDescent="0.2">
      <c r="D34" s="82" t="s">
        <v>1335</v>
      </c>
      <c r="E34" s="82" t="s">
        <v>1335</v>
      </c>
      <c r="F34" s="83">
        <v>0</v>
      </c>
      <c r="G34" s="83">
        <v>1</v>
      </c>
      <c r="H34" s="63">
        <v>2</v>
      </c>
      <c r="I34" s="82" t="s">
        <v>1669</v>
      </c>
    </row>
    <row r="35" spans="4:9" x14ac:dyDescent="0.2">
      <c r="D35" s="82" t="str">
        <f>VLOOKUP(E49,B1:C31,2,0)</f>
        <v>J Cog Neuro</v>
      </c>
      <c r="E35" s="82">
        <v>1</v>
      </c>
      <c r="F35" s="82">
        <f>COUNTIF($I$2:$I$31,"="&amp;F49)</f>
        <v>2</v>
      </c>
      <c r="G35" s="82">
        <f>COUNTIF($I$2:$I$31,"="&amp;G49)</f>
        <v>0</v>
      </c>
      <c r="H35" s="82">
        <f>COUNTIF($I$2:$I$31,"="&amp;H49)</f>
        <v>1</v>
      </c>
      <c r="I35" s="82">
        <f>(G35+H35)/SUM(F35:H35)</f>
        <v>0.33333333333333331</v>
      </c>
    </row>
    <row r="36" spans="4:9" x14ac:dyDescent="0.2">
      <c r="D36" s="82" t="str">
        <f>VLOOKUP(E49,B2:C33,2,0)</f>
        <v>J Cog Neuro</v>
      </c>
      <c r="E36" s="82">
        <v>2</v>
      </c>
      <c r="F36" s="82">
        <f t="shared" ref="F36:H43" si="6">COUNTIF($I$2:$I$31,"="&amp;F49)</f>
        <v>2</v>
      </c>
      <c r="G36" s="82">
        <f t="shared" si="6"/>
        <v>0</v>
      </c>
      <c r="H36" s="82">
        <f t="shared" si="6"/>
        <v>1</v>
      </c>
      <c r="I36" s="82">
        <f t="shared" ref="I36:I43" si="7">(G36+H36)/SUM(F36:H36)</f>
        <v>0.33333333333333331</v>
      </c>
    </row>
    <row r="37" spans="4:9" x14ac:dyDescent="0.2">
      <c r="D37" s="82" t="str">
        <f>VLOOKUP(E50,B3:C34,2,0)</f>
        <v>J Neurosci</v>
      </c>
      <c r="E37" s="82">
        <v>3</v>
      </c>
      <c r="F37" s="82">
        <f t="shared" si="6"/>
        <v>1</v>
      </c>
      <c r="G37" s="82">
        <f t="shared" si="6"/>
        <v>0</v>
      </c>
      <c r="H37" s="82">
        <f t="shared" si="6"/>
        <v>2</v>
      </c>
      <c r="I37" s="82">
        <f t="shared" si="7"/>
        <v>0.66666666666666663</v>
      </c>
    </row>
    <row r="38" spans="4:9" x14ac:dyDescent="0.2">
      <c r="D38" s="82" t="str">
        <f t="shared" ref="D38:D43" si="8">VLOOKUP(E51,B4:C47,2,0)</f>
        <v>Biol Psychiat</v>
      </c>
      <c r="E38" s="82">
        <v>4</v>
      </c>
      <c r="F38" s="82">
        <f t="shared" si="6"/>
        <v>3</v>
      </c>
      <c r="G38" s="82">
        <f t="shared" si="6"/>
        <v>2</v>
      </c>
      <c r="H38" s="82">
        <f t="shared" si="6"/>
        <v>1</v>
      </c>
      <c r="I38" s="82">
        <f>(G39+H39)/SUM(F39:H39)</f>
        <v>0.5</v>
      </c>
    </row>
    <row r="39" spans="4:9" x14ac:dyDescent="0.2">
      <c r="D39" s="82" t="str">
        <f>VLOOKUP(E52,B5:C49,2,0)</f>
        <v>Pain</v>
      </c>
      <c r="E39" s="82">
        <v>5</v>
      </c>
      <c r="F39" s="82">
        <f t="shared" si="6"/>
        <v>1</v>
      </c>
      <c r="G39" s="82">
        <f t="shared" si="6"/>
        <v>1</v>
      </c>
      <c r="H39" s="82">
        <f t="shared" si="6"/>
        <v>0</v>
      </c>
      <c r="I39" s="82">
        <f t="shared" si="7"/>
        <v>0.5</v>
      </c>
    </row>
    <row r="40" spans="4:9" x14ac:dyDescent="0.2">
      <c r="D40" s="82" t="str">
        <f t="shared" si="8"/>
        <v>Annals Neurol</v>
      </c>
      <c r="E40" s="82">
        <v>6</v>
      </c>
      <c r="F40" s="82">
        <f t="shared" si="6"/>
        <v>0</v>
      </c>
      <c r="G40" s="82">
        <f t="shared" si="6"/>
        <v>0</v>
      </c>
      <c r="H40" s="82">
        <f t="shared" si="6"/>
        <v>0</v>
      </c>
      <c r="I40" s="82" t="e">
        <f t="shared" si="7"/>
        <v>#DIV/0!</v>
      </c>
    </row>
    <row r="41" spans="4:9" x14ac:dyDescent="0.2">
      <c r="D41" s="82" t="str">
        <f t="shared" si="8"/>
        <v>Neurology</v>
      </c>
      <c r="E41" s="82">
        <v>7</v>
      </c>
      <c r="F41" s="82">
        <f t="shared" si="6"/>
        <v>2</v>
      </c>
      <c r="G41" s="82">
        <f t="shared" si="6"/>
        <v>0</v>
      </c>
      <c r="H41" s="82">
        <f t="shared" si="6"/>
        <v>0</v>
      </c>
      <c r="I41" s="82">
        <f t="shared" si="7"/>
        <v>0</v>
      </c>
    </row>
    <row r="42" spans="4:9" x14ac:dyDescent="0.2">
      <c r="D42" s="82" t="str">
        <f>VLOOKUP(E55,B9:C51,2,0)</f>
        <v>Cerebral Cortex</v>
      </c>
      <c r="E42" s="82">
        <v>9</v>
      </c>
      <c r="F42" s="82">
        <f t="shared" si="6"/>
        <v>2</v>
      </c>
      <c r="G42" s="82">
        <f t="shared" si="6"/>
        <v>0</v>
      </c>
      <c r="H42" s="82">
        <f t="shared" si="6"/>
        <v>0</v>
      </c>
      <c r="I42" s="82">
        <f t="shared" si="7"/>
        <v>0</v>
      </c>
    </row>
    <row r="43" spans="4:9" x14ac:dyDescent="0.2">
      <c r="D43" s="82" t="str">
        <f t="shared" si="8"/>
        <v>Cerebral Cortex</v>
      </c>
      <c r="E43" s="82">
        <v>9</v>
      </c>
      <c r="F43" s="82">
        <f t="shared" si="6"/>
        <v>2</v>
      </c>
      <c r="G43" s="82">
        <f t="shared" si="6"/>
        <v>0</v>
      </c>
      <c r="H43" s="82">
        <f t="shared" si="6"/>
        <v>0</v>
      </c>
      <c r="I43" s="82">
        <f t="shared" si="7"/>
        <v>0</v>
      </c>
    </row>
    <row r="44" spans="4:9" x14ac:dyDescent="0.2">
      <c r="I44" s="82">
        <f>SUM(F35:H43)</f>
        <v>23</v>
      </c>
    </row>
    <row r="47" spans="4:9" x14ac:dyDescent="0.2">
      <c r="E47" s="82" t="s">
        <v>1335</v>
      </c>
      <c r="F47" s="82">
        <v>0</v>
      </c>
      <c r="G47" s="82">
        <v>1</v>
      </c>
      <c r="H47" s="34">
        <v>2</v>
      </c>
    </row>
    <row r="48" spans="4:9" x14ac:dyDescent="0.2">
      <c r="E48" s="82">
        <v>1</v>
      </c>
      <c r="F48" s="82">
        <f>F$47*10+$E49</f>
        <v>2</v>
      </c>
      <c r="G48" s="82">
        <f>G$47*10+$E49</f>
        <v>12</v>
      </c>
      <c r="H48" s="82">
        <f>H$47*10+$E49</f>
        <v>22</v>
      </c>
    </row>
    <row r="49" spans="5:8" x14ac:dyDescent="0.2">
      <c r="E49" s="82">
        <v>2</v>
      </c>
      <c r="F49" s="82">
        <f t="shared" ref="F49:H56" si="9">F$47*10+$E49</f>
        <v>2</v>
      </c>
      <c r="G49" s="82">
        <f t="shared" si="9"/>
        <v>12</v>
      </c>
      <c r="H49" s="82">
        <f t="shared" si="9"/>
        <v>22</v>
      </c>
    </row>
    <row r="50" spans="5:8" x14ac:dyDescent="0.2">
      <c r="E50" s="82">
        <v>3</v>
      </c>
      <c r="F50" s="82">
        <f t="shared" si="9"/>
        <v>3</v>
      </c>
      <c r="G50" s="82">
        <f t="shared" si="9"/>
        <v>13</v>
      </c>
      <c r="H50" s="82">
        <f t="shared" si="9"/>
        <v>23</v>
      </c>
    </row>
    <row r="51" spans="5:8" x14ac:dyDescent="0.2">
      <c r="E51" s="82">
        <v>4</v>
      </c>
      <c r="F51" s="82">
        <f t="shared" si="9"/>
        <v>4</v>
      </c>
      <c r="G51" s="82">
        <f t="shared" si="9"/>
        <v>14</v>
      </c>
      <c r="H51" s="82">
        <f t="shared" si="9"/>
        <v>24</v>
      </c>
    </row>
    <row r="52" spans="5:8" x14ac:dyDescent="0.2">
      <c r="E52" s="82">
        <v>5</v>
      </c>
      <c r="F52" s="82">
        <f t="shared" si="9"/>
        <v>5</v>
      </c>
      <c r="G52" s="82">
        <f t="shared" si="9"/>
        <v>15</v>
      </c>
      <c r="H52" s="82">
        <f t="shared" si="9"/>
        <v>25</v>
      </c>
    </row>
    <row r="53" spans="5:8" x14ac:dyDescent="0.2">
      <c r="E53" s="82">
        <v>6</v>
      </c>
      <c r="F53" s="82">
        <f t="shared" si="9"/>
        <v>6</v>
      </c>
      <c r="G53" s="82">
        <f t="shared" si="9"/>
        <v>16</v>
      </c>
      <c r="H53" s="82">
        <f t="shared" si="9"/>
        <v>26</v>
      </c>
    </row>
    <row r="54" spans="5:8" x14ac:dyDescent="0.2">
      <c r="E54" s="82">
        <v>7</v>
      </c>
      <c r="F54" s="82">
        <f t="shared" si="9"/>
        <v>7</v>
      </c>
      <c r="G54" s="82">
        <f t="shared" si="9"/>
        <v>17</v>
      </c>
      <c r="H54" s="82">
        <f t="shared" si="9"/>
        <v>27</v>
      </c>
    </row>
    <row r="55" spans="5:8" x14ac:dyDescent="0.2">
      <c r="E55" s="82">
        <v>9</v>
      </c>
      <c r="F55" s="82">
        <f t="shared" si="9"/>
        <v>9</v>
      </c>
      <c r="G55" s="82">
        <f t="shared" si="9"/>
        <v>19</v>
      </c>
      <c r="H55" s="82">
        <f t="shared" si="9"/>
        <v>29</v>
      </c>
    </row>
    <row r="56" spans="5:8" x14ac:dyDescent="0.2">
      <c r="E56" s="82">
        <v>9</v>
      </c>
      <c r="F56" s="82">
        <f t="shared" si="9"/>
        <v>9</v>
      </c>
      <c r="G56" s="82">
        <f t="shared" si="9"/>
        <v>19</v>
      </c>
      <c r="H56" s="82">
        <f t="shared" si="9"/>
        <v>29</v>
      </c>
    </row>
    <row r="57" spans="5:8" x14ac:dyDescent="0.2">
      <c r="H57" s="82"/>
    </row>
    <row r="58" spans="5:8" x14ac:dyDescent="0.2">
      <c r="H58" s="82"/>
    </row>
    <row r="60" spans="5:8" x14ac:dyDescent="0.2">
      <c r="H60" s="82"/>
    </row>
    <row r="61" spans="5:8" x14ac:dyDescent="0.2">
      <c r="H61" s="82"/>
    </row>
    <row r="62" spans="5:8" x14ac:dyDescent="0.2">
      <c r="H62" s="82"/>
    </row>
    <row r="63" spans="5:8" x14ac:dyDescent="0.2">
      <c r="H63" s="82"/>
    </row>
    <row r="64" spans="5:8" x14ac:dyDescent="0.2">
      <c r="H64" s="82"/>
    </row>
    <row r="65" spans="8:8" x14ac:dyDescent="0.2">
      <c r="H65" s="82"/>
    </row>
    <row r="66" spans="8:8" x14ac:dyDescent="0.2">
      <c r="H66" s="82"/>
    </row>
    <row r="67" spans="8:8" x14ac:dyDescent="0.2">
      <c r="H67" s="82"/>
    </row>
    <row r="68" spans="8:8" x14ac:dyDescent="0.2">
      <c r="H68" s="82"/>
    </row>
    <row r="69" spans="8:8" x14ac:dyDescent="0.2">
      <c r="H69" s="82"/>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M48"/>
  <sheetViews>
    <sheetView zoomScale="90" zoomScaleNormal="90" zoomScalePageLayoutView="90" workbookViewId="0">
      <pane xSplit="1" ySplit="1" topLeftCell="B23"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4" max="4" width="14.33203125" customWidth="1"/>
    <col min="5" max="5" width="9.83203125" customWidth="1"/>
    <col min="6" max="6" width="7.5" customWidth="1"/>
    <col min="7" max="7" width="8" customWidth="1"/>
    <col min="8" max="8" width="9.5" bestFit="1" customWidth="1"/>
  </cols>
  <sheetData>
    <row r="1" spans="1:13" s="58" customFormat="1" x14ac:dyDescent="0.2">
      <c r="A1" s="63" t="s">
        <v>1360</v>
      </c>
      <c r="B1" s="57">
        <v>19</v>
      </c>
      <c r="D1" s="52" t="s">
        <v>1851</v>
      </c>
      <c r="E1" s="52"/>
      <c r="F1" s="52"/>
      <c r="G1" s="52"/>
      <c r="H1" s="52"/>
      <c r="I1" s="52"/>
      <c r="J1" s="52"/>
      <c r="K1" s="52"/>
      <c r="L1" s="52"/>
      <c r="M1" s="52"/>
    </row>
    <row r="2" spans="1:13" ht="28.5" customHeight="1" x14ac:dyDescent="0.2">
      <c r="A2" s="34" t="s">
        <v>1321</v>
      </c>
      <c r="B2" s="33" t="str">
        <f ca="1">INDIRECT("main!"&amp;"C"&amp;B$1+2)</f>
        <v>Turner, J. R.; Ray, R.; Lee, B.; Everett, L.; Xiang, J.; Jepson, C.; Kaestner, K. H.; Lerman, C.; Blendy, J. A.</v>
      </c>
      <c r="D2" s="73" t="s">
        <v>1537</v>
      </c>
      <c r="E2" s="53"/>
      <c r="F2" s="53"/>
      <c r="G2" s="53"/>
      <c r="H2" s="53"/>
      <c r="I2" s="53" t="s">
        <v>1382</v>
      </c>
      <c r="J2" s="53"/>
      <c r="K2" s="53"/>
      <c r="L2" s="53"/>
      <c r="M2" s="53"/>
    </row>
    <row r="3" spans="1:13" ht="44.75" customHeight="1" x14ac:dyDescent="0.2">
      <c r="A3" s="34" t="s">
        <v>1322</v>
      </c>
      <c r="B3" s="33" t="str">
        <f ca="1">INDIRECT("main!"&amp;"D"&amp;B$1+2)</f>
        <v>Evidence from mouse and man for a role of neuregulin 3 in nicotine dependence</v>
      </c>
      <c r="D3" s="53" t="s">
        <v>1395</v>
      </c>
      <c r="E3" s="53" t="s">
        <v>1366</v>
      </c>
      <c r="F3" s="53" t="s">
        <v>1367</v>
      </c>
      <c r="G3" s="53" t="s">
        <v>1368</v>
      </c>
      <c r="H3" s="54" t="s">
        <v>0</v>
      </c>
      <c r="I3" t="s">
        <v>1369</v>
      </c>
      <c r="J3" t="s">
        <v>1370</v>
      </c>
      <c r="K3" s="53" t="s">
        <v>1371</v>
      </c>
      <c r="L3" s="54" t="s">
        <v>1372</v>
      </c>
      <c r="M3" s="54" t="s">
        <v>1373</v>
      </c>
    </row>
    <row r="4" spans="1:13" x14ac:dyDescent="0.2">
      <c r="A4" s="34" t="s">
        <v>1324</v>
      </c>
      <c r="B4" s="33" t="str">
        <f ca="1">INDIRECT("main!"&amp;"J"&amp;B$1+2)</f>
        <v>10.1038/mp.2013.104</v>
      </c>
      <c r="D4" s="54" t="s">
        <v>1305</v>
      </c>
      <c r="E4" s="55">
        <v>0</v>
      </c>
      <c r="F4" s="55"/>
      <c r="G4" s="55"/>
      <c r="H4" s="55">
        <f>INT(0.24^2*423)</f>
        <v>24</v>
      </c>
      <c r="I4">
        <f>H4*F4</f>
        <v>0</v>
      </c>
      <c r="J4">
        <f>(H4*(H4-1)*G4^2+I4^2)/H4</f>
        <v>0</v>
      </c>
      <c r="K4" s="53">
        <f>E4*I4</f>
        <v>0</v>
      </c>
      <c r="L4" s="53">
        <f>E4*H4</f>
        <v>0</v>
      </c>
      <c r="M4" s="53">
        <f>E4^2*H4</f>
        <v>0</v>
      </c>
    </row>
    <row r="5" spans="1:13" ht="60.75" customHeight="1" x14ac:dyDescent="0.2">
      <c r="A5" s="34" t="s">
        <v>1327</v>
      </c>
      <c r="B5" s="33" t="str">
        <f ca="1">INDIRECT("main!"&amp;"M"&amp;B$1+2)</f>
        <v>Discovery sample; treatment-seeking European ancestry smokers aged 18–65 who smoked 10+ cigarettes per day; Replication sample: participants in an open-label trial of nicotine patch versus nicotine nasal spray</v>
      </c>
      <c r="D5" s="54" t="s">
        <v>1307</v>
      </c>
      <c r="E5" s="55">
        <v>1</v>
      </c>
      <c r="F5" s="55"/>
      <c r="G5" s="55"/>
      <c r="H5" s="55">
        <f>423-H4-H6</f>
        <v>155</v>
      </c>
      <c r="I5">
        <f t="shared" ref="I5" si="0">H5*F5</f>
        <v>0</v>
      </c>
      <c r="J5">
        <f t="shared" ref="J5" si="1">(H5*(H5-1)*G5^2+I5^2)/H5</f>
        <v>0</v>
      </c>
      <c r="K5" s="53">
        <f t="shared" ref="K5" si="2">E5*I5</f>
        <v>0</v>
      </c>
      <c r="L5" s="53">
        <f t="shared" ref="L5" si="3">E5*H5</f>
        <v>155</v>
      </c>
      <c r="M5" s="53">
        <f t="shared" ref="M5" si="4">E5^2*H5</f>
        <v>155</v>
      </c>
    </row>
    <row r="6" spans="1:13" ht="30" x14ac:dyDescent="0.2">
      <c r="A6" s="34" t="s">
        <v>1333</v>
      </c>
      <c r="B6" s="33" t="str">
        <f ca="1">INDIRECT("main!"&amp;"L"&amp;B$1+2)</f>
        <v>Discovery: N = 449_x000D_Replication: N = 165</v>
      </c>
      <c r="D6" s="54" t="s">
        <v>1308</v>
      </c>
      <c r="E6" s="55">
        <v>2</v>
      </c>
      <c r="F6" s="55"/>
      <c r="G6" s="55"/>
      <c r="H6" s="55">
        <f>INT((1-0.24)^2*423)</f>
        <v>244</v>
      </c>
      <c r="I6" s="55"/>
      <c r="J6" s="55"/>
      <c r="K6" s="55"/>
      <c r="L6" s="55"/>
      <c r="M6" s="55"/>
    </row>
    <row r="7" spans="1:13" x14ac:dyDescent="0.2">
      <c r="A7" s="34" t="s">
        <v>1903</v>
      </c>
      <c r="B7" s="33">
        <v>1</v>
      </c>
      <c r="D7" s="54"/>
      <c r="E7" s="55"/>
      <c r="F7" s="55"/>
      <c r="G7" s="55"/>
      <c r="H7" s="55"/>
      <c r="I7" s="55"/>
      <c r="J7" s="55"/>
      <c r="K7" s="55"/>
      <c r="L7" s="55"/>
      <c r="M7" s="55"/>
    </row>
    <row r="8" spans="1:13" x14ac:dyDescent="0.2">
      <c r="A8" s="34" t="s">
        <v>343</v>
      </c>
      <c r="B8" s="33" t="str">
        <f ca="1">INDIRECT("main!"&amp;"q"&amp;B$1+2)</f>
        <v>NRG3</v>
      </c>
      <c r="D8" s="54"/>
      <c r="E8" s="55" t="s">
        <v>1374</v>
      </c>
      <c r="F8" s="55"/>
      <c r="G8" s="55"/>
      <c r="H8" s="55">
        <f>SUM(H4:H6)</f>
        <v>423</v>
      </c>
      <c r="I8" s="55">
        <f>SUM(I4:I6)</f>
        <v>0</v>
      </c>
      <c r="J8" s="55">
        <f t="shared" ref="J8:M8" si="5">SUM(J4:J6)</f>
        <v>0</v>
      </c>
      <c r="K8" s="55">
        <f t="shared" si="5"/>
        <v>0</v>
      </c>
      <c r="L8" s="55">
        <f t="shared" si="5"/>
        <v>155</v>
      </c>
      <c r="M8" s="55">
        <f t="shared" si="5"/>
        <v>155</v>
      </c>
    </row>
    <row r="9" spans="1:13" ht="20.5" customHeight="1" x14ac:dyDescent="0.2">
      <c r="A9" s="34" t="s">
        <v>1329</v>
      </c>
      <c r="B9" s="33" t="str">
        <f ca="1">INDIRECT("main!"&amp;"r"&amp;B$1+2)</f>
        <v>Ninety-three multimarker haplotype-tagging SNPs</v>
      </c>
      <c r="D9" s="53"/>
      <c r="E9" s="55"/>
      <c r="F9" s="55"/>
      <c r="G9" s="55"/>
      <c r="H9" s="55"/>
      <c r="I9" s="55"/>
      <c r="J9" s="55"/>
      <c r="K9" s="53"/>
      <c r="L9" s="53"/>
      <c r="M9" s="53"/>
    </row>
    <row r="10" spans="1:13" ht="30.5" customHeight="1" x14ac:dyDescent="0.2">
      <c r="A10" s="34" t="s">
        <v>1323</v>
      </c>
      <c r="B10" s="33" t="str">
        <f ca="1">INDIRECT("main!"&amp;"O"&amp;B$1+2)</f>
        <v>Smoking cessation after intervention: biochemically confirmed 7-day point-prevalence abstinence at the end of 9 weeks of nicotine patch treatment</v>
      </c>
      <c r="D10" s="53"/>
      <c r="E10" s="55"/>
      <c r="F10" s="55"/>
      <c r="G10" s="55"/>
      <c r="H10" s="55"/>
      <c r="I10" s="55"/>
      <c r="J10" s="55"/>
      <c r="K10" s="53"/>
      <c r="L10" s="53"/>
      <c r="M10" s="53"/>
    </row>
    <row r="11" spans="1:13" ht="60.5" customHeight="1" x14ac:dyDescent="0.2">
      <c r="A11" s="34" t="s">
        <v>1396</v>
      </c>
      <c r="B11" s="33" t="str">
        <f ca="1">INDIRECT("main!"&amp;"W"&amp;B$1+2)</f>
        <v>Individual SNP associations with cessation  evaluated using logistic regression, with χ2 tests based on likelihood ratio. Models adjusted for age, sex and nicotine dependence score. Haplotype blocks examined following single-SNP analysis</v>
      </c>
      <c r="D11" s="53"/>
      <c r="E11" s="69"/>
      <c r="F11" s="69"/>
      <c r="G11" s="55"/>
      <c r="H11" s="55"/>
      <c r="I11" s="55"/>
      <c r="J11" s="55"/>
      <c r="K11" s="53"/>
      <c r="L11" s="53"/>
      <c r="M11" s="53"/>
    </row>
    <row r="12" spans="1:13" ht="44" customHeight="1" x14ac:dyDescent="0.2">
      <c r="A12" s="34" t="s">
        <v>1898</v>
      </c>
      <c r="B12" s="33" t="s">
        <v>2126</v>
      </c>
      <c r="D12" s="53"/>
      <c r="E12" s="70"/>
      <c r="F12" s="69"/>
      <c r="G12" s="53"/>
      <c r="H12" s="53"/>
      <c r="I12" s="53"/>
      <c r="J12" s="53"/>
      <c r="K12" s="53"/>
      <c r="L12" s="53"/>
      <c r="M12" s="53"/>
    </row>
    <row r="13" spans="1:13" ht="51.5" customHeight="1" x14ac:dyDescent="0.2">
      <c r="A13" s="34" t="s">
        <v>1326</v>
      </c>
      <c r="B13" s="33" t="s">
        <v>1535</v>
      </c>
      <c r="D13" s="53"/>
      <c r="E13" s="56"/>
      <c r="F13" s="53"/>
      <c r="G13" s="53"/>
      <c r="H13" s="53"/>
      <c r="I13" s="53"/>
      <c r="J13" s="53"/>
      <c r="K13" s="53"/>
      <c r="L13" s="53"/>
      <c r="M13" s="53"/>
    </row>
    <row r="14" spans="1:13" x14ac:dyDescent="0.2">
      <c r="A14" s="34" t="s">
        <v>1852</v>
      </c>
      <c r="B14" s="33" t="str">
        <f>D4&amp;" (N = "&amp;H4&amp;"); "&amp;D5&amp;" (N = "&amp;H5&amp;"); "&amp;D6&amp;" (N = "&amp;H6&amp;")"</f>
        <v>AA (N = 24); GA (N = 155); GG (N = 244)</v>
      </c>
      <c r="E14" s="53"/>
      <c r="F14" s="53"/>
      <c r="G14" s="53"/>
      <c r="H14" s="53"/>
      <c r="I14" s="53"/>
      <c r="J14" s="53"/>
      <c r="K14" s="53"/>
      <c r="L14" s="53"/>
      <c r="M14" s="53"/>
    </row>
    <row r="15" spans="1:13" x14ac:dyDescent="0.2">
      <c r="A15" s="34" t="s">
        <v>1848</v>
      </c>
      <c r="B15" s="62">
        <f>ABS(K16)</f>
        <v>0.18033307699310666</v>
      </c>
      <c r="D15" s="58" t="s">
        <v>1438</v>
      </c>
      <c r="E15" s="58"/>
      <c r="F15" s="58"/>
      <c r="H15" t="s">
        <v>1508</v>
      </c>
      <c r="I15" t="s">
        <v>2100</v>
      </c>
      <c r="J15" t="s">
        <v>2125</v>
      </c>
      <c r="K15" t="s">
        <v>1378</v>
      </c>
    </row>
    <row r="16" spans="1:13" x14ac:dyDescent="0.2">
      <c r="A16" s="34" t="s">
        <v>1899</v>
      </c>
      <c r="B16" s="62" t="s">
        <v>2124</v>
      </c>
      <c r="D16" s="58"/>
      <c r="E16" s="58"/>
      <c r="F16" s="58"/>
      <c r="H16">
        <v>0.51</v>
      </c>
      <c r="I16">
        <f>LN(H16)*SQRT(3)/(22/7)</f>
        <v>-0.37108494730764868</v>
      </c>
      <c r="J16">
        <f>H8^2/((H4+H5)*H6)</f>
        <v>4.0967350489971608</v>
      </c>
      <c r="K16">
        <f>I16/SQRT(I16^2+J16)</f>
        <v>-0.18033307699310666</v>
      </c>
    </row>
    <row r="17" spans="1:6" ht="16" x14ac:dyDescent="0.2">
      <c r="A17" s="204" t="s">
        <v>2189</v>
      </c>
      <c r="B17" s="33">
        <v>0.13600000000000001</v>
      </c>
      <c r="D17" t="s">
        <v>1439</v>
      </c>
      <c r="E17" t="s">
        <v>1440</v>
      </c>
      <c r="F17" t="s">
        <v>1378</v>
      </c>
    </row>
    <row r="18" spans="1:6" x14ac:dyDescent="0.2">
      <c r="A18" s="64" t="s">
        <v>1401</v>
      </c>
      <c r="B18" s="33">
        <v>0.53900000000000003</v>
      </c>
      <c r="D18">
        <v>4.0000000000000002E-4</v>
      </c>
      <c r="E18">
        <f>TINV(D18,H8-2)</f>
        <v>3.5687378580072995</v>
      </c>
      <c r="F18">
        <f>SQRT(E18^2/(E18^2+H8))</f>
        <v>0.17096333524534044</v>
      </c>
    </row>
    <row r="19" spans="1:6" x14ac:dyDescent="0.2">
      <c r="A19" s="64" t="s">
        <v>1346</v>
      </c>
      <c r="B19" s="33" t="s">
        <v>359</v>
      </c>
    </row>
    <row r="20" spans="1:6" ht="30" x14ac:dyDescent="0.2">
      <c r="A20" s="33" t="s">
        <v>1388</v>
      </c>
      <c r="B20" s="33" t="s">
        <v>2304</v>
      </c>
      <c r="D20" s="58" t="s">
        <v>1507</v>
      </c>
    </row>
    <row r="21" spans="1:6" ht="59.25" customHeight="1" x14ac:dyDescent="0.2">
      <c r="A21" s="33" t="s">
        <v>1390</v>
      </c>
      <c r="D21" s="236" t="s">
        <v>2415</v>
      </c>
      <c r="E21" s="236" t="s">
        <v>2416</v>
      </c>
    </row>
    <row r="22" spans="1:6" ht="72" customHeight="1" x14ac:dyDescent="0.2">
      <c r="A22" s="34" t="s">
        <v>1387</v>
      </c>
      <c r="B22" s="33" t="s">
        <v>2127</v>
      </c>
      <c r="D22" s="236">
        <v>449</v>
      </c>
      <c r="E22" s="236">
        <v>165</v>
      </c>
    </row>
    <row r="24" spans="1:6" s="140" customFormat="1" x14ac:dyDescent="0.2">
      <c r="A24" s="138" t="s">
        <v>1746</v>
      </c>
      <c r="B24" s="139"/>
    </row>
    <row r="25" spans="1:6" s="136" customFormat="1" ht="30" x14ac:dyDescent="0.2">
      <c r="A25" s="137" t="s">
        <v>1753</v>
      </c>
      <c r="B25" s="137" t="s">
        <v>885</v>
      </c>
    </row>
    <row r="26" spans="1:6" s="136" customFormat="1" x14ac:dyDescent="0.2">
      <c r="A26" s="137" t="s">
        <v>1681</v>
      </c>
      <c r="B26" s="137">
        <f ca="1">INDIRECT("N_SNPs!"&amp;"L"&amp;B$1+2)</f>
        <v>1</v>
      </c>
    </row>
    <row r="27" spans="1:6" s="136" customFormat="1" x14ac:dyDescent="0.2">
      <c r="A27" s="137" t="s">
        <v>1747</v>
      </c>
      <c r="B27" s="137">
        <f ca="1">INDIRECT("N_SNPs!"&amp;"M"&amp;B$1+2)</f>
        <v>1</v>
      </c>
    </row>
    <row r="28" spans="1:6" s="136" customFormat="1" x14ac:dyDescent="0.2">
      <c r="A28" s="137" t="s">
        <v>1683</v>
      </c>
      <c r="B28" s="137" t="str">
        <f ca="1">INDIRECT("N_SNPs!"&amp;"N"&amp;B$1+2)</f>
        <v>not needed</v>
      </c>
    </row>
    <row r="29" spans="1:6" s="136" customFormat="1" x14ac:dyDescent="0.2">
      <c r="A29" s="137" t="s">
        <v>2171</v>
      </c>
      <c r="B29" s="137">
        <f ca="1">INDIRECT("N_SNPs!"&amp;"O"&amp;B$1+2)</f>
        <v>93</v>
      </c>
    </row>
    <row r="30" spans="1:6" s="136" customFormat="1" ht="30" x14ac:dyDescent="0.2">
      <c r="A30" s="137" t="s">
        <v>2170</v>
      </c>
      <c r="B30" s="137">
        <f ca="1">INDIRECT("N_SNPs!"&amp;"P"&amp;B$1+2)</f>
        <v>1</v>
      </c>
    </row>
    <row r="31" spans="1:6" s="136" customFormat="1" ht="60" x14ac:dyDescent="0.2">
      <c r="A31" s="137" t="s">
        <v>2172</v>
      </c>
      <c r="B31" s="137">
        <v>1</v>
      </c>
    </row>
    <row r="32" spans="1:6" s="136" customFormat="1" x14ac:dyDescent="0.2">
      <c r="A32" s="137" t="s">
        <v>1686</v>
      </c>
      <c r="B32" s="137">
        <f ca="1">INDIRECT("N_SNPs!"&amp;"R"&amp;B$1+2)</f>
        <v>0</v>
      </c>
    </row>
    <row r="33" spans="1:3" s="172" customFormat="1" x14ac:dyDescent="0.2">
      <c r="A33" s="171" t="s">
        <v>1808</v>
      </c>
      <c r="B33" s="171">
        <v>1</v>
      </c>
    </row>
    <row r="34" spans="1:3" s="172" customFormat="1" x14ac:dyDescent="0.2">
      <c r="A34" s="203" t="s">
        <v>2177</v>
      </c>
      <c r="B34" s="171">
        <v>0</v>
      </c>
    </row>
    <row r="35" spans="1:3" s="172" customFormat="1" ht="60" x14ac:dyDescent="0.2">
      <c r="A35" s="171" t="s">
        <v>1810</v>
      </c>
      <c r="B35" s="171">
        <v>5</v>
      </c>
    </row>
    <row r="36" spans="1:3" s="174" customFormat="1" x14ac:dyDescent="0.2">
      <c r="A36" s="173" t="s">
        <v>1835</v>
      </c>
      <c r="B36" s="173" t="s">
        <v>1752</v>
      </c>
      <c r="C36" s="174" t="s">
        <v>2421</v>
      </c>
    </row>
    <row r="37" spans="1:3" s="174" customFormat="1" x14ac:dyDescent="0.2">
      <c r="A37" s="173" t="s">
        <v>2272</v>
      </c>
      <c r="B37" s="173" t="s">
        <v>1752</v>
      </c>
    </row>
    <row r="38" spans="1:3" s="174" customFormat="1" ht="30" x14ac:dyDescent="0.2">
      <c r="A38" s="173" t="s">
        <v>2299</v>
      </c>
      <c r="B38" s="173" t="s">
        <v>1752</v>
      </c>
    </row>
    <row r="39" spans="1:3" s="174" customFormat="1" x14ac:dyDescent="0.2">
      <c r="A39" s="173" t="s">
        <v>2273</v>
      </c>
      <c r="B39" s="173">
        <v>0</v>
      </c>
    </row>
    <row r="40" spans="1:3" s="174" customFormat="1" ht="30" x14ac:dyDescent="0.2">
      <c r="A40" s="173" t="s">
        <v>2274</v>
      </c>
      <c r="B40" s="173" t="s">
        <v>1752</v>
      </c>
    </row>
    <row r="41" spans="1:3" s="176" customFormat="1" ht="30" x14ac:dyDescent="0.2">
      <c r="A41" s="175" t="s">
        <v>1815</v>
      </c>
      <c r="B41" s="205" t="s">
        <v>2190</v>
      </c>
    </row>
    <row r="42" spans="1:3" s="176" customFormat="1" x14ac:dyDescent="0.2">
      <c r="A42" s="175" t="s">
        <v>1881</v>
      </c>
      <c r="B42" s="175" t="s">
        <v>1890</v>
      </c>
    </row>
    <row r="43" spans="1:3" x14ac:dyDescent="0.2">
      <c r="A43" s="34" t="s">
        <v>1398</v>
      </c>
      <c r="B43" s="65"/>
    </row>
    <row r="44" spans="1:3" x14ac:dyDescent="0.2">
      <c r="A44" s="34" t="s">
        <v>1410</v>
      </c>
    </row>
    <row r="45" spans="1:3" x14ac:dyDescent="0.2">
      <c r="A45" s="34" t="s">
        <v>2056</v>
      </c>
      <c r="B45" s="33" t="s">
        <v>1752</v>
      </c>
    </row>
    <row r="46" spans="1:3" x14ac:dyDescent="0.2">
      <c r="A46" s="34" t="s">
        <v>1416</v>
      </c>
      <c r="B46" s="66" t="s">
        <v>1536</v>
      </c>
    </row>
    <row r="48" spans="1:3" x14ac:dyDescent="0.2">
      <c r="A48" s="34" t="s">
        <v>1490</v>
      </c>
      <c r="B48" s="33" t="s">
        <v>1654</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M48"/>
  <sheetViews>
    <sheetView zoomScale="110" zoomScaleNormal="110" zoomScalePageLayoutView="110" workbookViewId="0">
      <pane xSplit="1" ySplit="1" topLeftCell="B33"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4" max="4" width="14.33203125" customWidth="1"/>
    <col min="5" max="5" width="9.83203125" customWidth="1"/>
    <col min="6" max="6" width="7.5" customWidth="1"/>
    <col min="7" max="7" width="8" customWidth="1"/>
    <col min="8" max="8" width="9.5" bestFit="1" customWidth="1"/>
  </cols>
  <sheetData>
    <row r="1" spans="1:13" s="58" customFormat="1" x14ac:dyDescent="0.2">
      <c r="A1" s="63" t="s">
        <v>1360</v>
      </c>
      <c r="B1" s="57">
        <v>18</v>
      </c>
      <c r="D1" s="52" t="s">
        <v>1851</v>
      </c>
      <c r="E1" s="52"/>
      <c r="F1" s="52"/>
      <c r="G1" s="52"/>
      <c r="H1" s="52"/>
      <c r="I1" s="52"/>
      <c r="J1" s="52"/>
      <c r="K1" s="52"/>
      <c r="L1" s="52"/>
      <c r="M1" s="52"/>
    </row>
    <row r="2" spans="1:13" ht="148.75" customHeight="1" x14ac:dyDescent="0.2">
      <c r="A2" s="34" t="s">
        <v>1321</v>
      </c>
      <c r="B2" s="33" t="str">
        <f ca="1">INDIRECT("main!"&amp;"C"&amp;B$1+2)</f>
        <v>Loth, Eva; Poline, Jean-Baptiste; Thyreau, Benjamin; Jia, Tianye; Tao, Chenyang; Lourdusamy, Anbarasu; Stacey, David; Cattrell, Anna; Desrivieres, Sylvane; Ruggeri, Barbara; Fritsch, Virgile; Banaschewski, Tobias; Barker, Gareth J.; Bokde, Arun L. W.; Buechel, Christian; Carvalho, Fabiana M.; Conrod, Patricia J.; Fauth-Buehler, Mira; Flor, Herta; Gallinat, Jurgen; Garavan, Hugh; Heinz, Andreas; Bruehl, Ruediger; Lawrence, Claire; Mann, Karl; Martinot, Jean-Luc; Nees, Frauke; Paus, Tomas; Pausova, Zdenka; Poustka, Luise; Rietschel, Marcella; Smolka, Michael; Struve, Maren; Feng, Jianfeng; Schumann, Gunter</v>
      </c>
      <c r="D2" s="73" t="s">
        <v>1537</v>
      </c>
      <c r="E2" s="53"/>
      <c r="F2" s="53"/>
      <c r="G2" s="53"/>
      <c r="H2" s="53"/>
      <c r="I2" s="53" t="s">
        <v>1382</v>
      </c>
      <c r="J2" s="53"/>
      <c r="K2" s="53"/>
      <c r="L2" s="53"/>
      <c r="M2" s="53"/>
    </row>
    <row r="3" spans="1:13" ht="44.75" customHeight="1" x14ac:dyDescent="0.2">
      <c r="A3" s="34" t="s">
        <v>1322</v>
      </c>
      <c r="B3" s="33" t="str">
        <f ca="1">INDIRECT("main!"&amp;"D"&amp;B$1+2)</f>
        <v>Oxytocin Receptor Genotype Modulates Ventral Striatal Activity to Social Cues and Response to Stressful Life Events</v>
      </c>
      <c r="D3" s="53" t="s">
        <v>1395</v>
      </c>
      <c r="E3" s="53" t="s">
        <v>1366</v>
      </c>
      <c r="F3" s="53" t="s">
        <v>1367</v>
      </c>
      <c r="G3" s="53" t="s">
        <v>1368</v>
      </c>
      <c r="H3" s="54" t="s">
        <v>0</v>
      </c>
      <c r="I3" t="s">
        <v>1369</v>
      </c>
      <c r="J3" t="s">
        <v>1370</v>
      </c>
      <c r="K3" s="53" t="s">
        <v>1371</v>
      </c>
      <c r="L3" s="54" t="s">
        <v>1372</v>
      </c>
      <c r="M3" s="54" t="s">
        <v>1373</v>
      </c>
    </row>
    <row r="4" spans="1:13" ht="16" x14ac:dyDescent="0.2">
      <c r="A4" s="34" t="s">
        <v>1324</v>
      </c>
      <c r="B4" s="33" t="str">
        <f ca="1">INDIRECT("main!"&amp;"J"&amp;B$1+2)</f>
        <v>10.1016/j.biopsych.2013.07.043</v>
      </c>
      <c r="D4" s="54" t="s">
        <v>1361</v>
      </c>
      <c r="E4" s="55">
        <v>0</v>
      </c>
      <c r="F4" s="184">
        <v>-0.25666666700000001</v>
      </c>
      <c r="G4" s="55">
        <v>0.92100000000000004</v>
      </c>
      <c r="H4" s="55">
        <f>46+69</f>
        <v>115</v>
      </c>
      <c r="I4">
        <f>H4*F4</f>
        <v>-29.516666705000002</v>
      </c>
      <c r="J4">
        <f>(H4*(H4-1)*G4^2+I4^2)/H4</f>
        <v>104.27541846412223</v>
      </c>
      <c r="K4" s="53">
        <f>E4*I4</f>
        <v>0</v>
      </c>
      <c r="L4" s="53">
        <f>E4*H4</f>
        <v>0</v>
      </c>
      <c r="M4" s="53">
        <f>E4^2*H4</f>
        <v>0</v>
      </c>
    </row>
    <row r="5" spans="1:13" ht="27.25" customHeight="1" x14ac:dyDescent="0.2">
      <c r="A5" s="34" t="s">
        <v>1327</v>
      </c>
      <c r="B5" s="33" t="str">
        <f ca="1">INDIRECT("main!"&amp;"M"&amp;B$1+2)</f>
        <v>Adolescents from IMAGEN sample</v>
      </c>
      <c r="D5" s="54" t="s">
        <v>1362</v>
      </c>
      <c r="E5" s="55">
        <v>1</v>
      </c>
      <c r="F5" s="184">
        <v>-7.0000000000000007E-2</v>
      </c>
      <c r="G5" s="55">
        <v>1.115</v>
      </c>
      <c r="H5" s="55">
        <v>590</v>
      </c>
      <c r="I5">
        <f t="shared" ref="I5:I6" si="0">H5*F5</f>
        <v>-41.300000000000004</v>
      </c>
      <c r="J5">
        <f t="shared" ref="J5:J6" si="1">(H5*(H5-1)*G5^2+I5^2)/H5</f>
        <v>735.15052500000002</v>
      </c>
      <c r="K5" s="53">
        <f t="shared" ref="K5:K6" si="2">E5*I5</f>
        <v>-41.300000000000004</v>
      </c>
      <c r="L5" s="53">
        <f t="shared" ref="L5:L6" si="3">E5*H5</f>
        <v>590</v>
      </c>
      <c r="M5" s="53">
        <f t="shared" ref="M5:M6" si="4">E5^2*H5</f>
        <v>590</v>
      </c>
    </row>
    <row r="6" spans="1:13" ht="16" x14ac:dyDescent="0.2">
      <c r="A6" s="34" t="s">
        <v>1333</v>
      </c>
      <c r="B6" s="33" t="str">
        <f ca="1">INDIRECT("main!"&amp;"L"&amp;B$1+2)</f>
        <v>N = 1445</v>
      </c>
      <c r="D6" s="54" t="s">
        <v>1363</v>
      </c>
      <c r="E6" s="55">
        <v>2</v>
      </c>
      <c r="F6" s="184">
        <v>0.103333333</v>
      </c>
      <c r="G6" s="55">
        <v>0.995</v>
      </c>
      <c r="H6" s="55">
        <v>740</v>
      </c>
      <c r="I6">
        <f t="shared" si="0"/>
        <v>76.466666419999996</v>
      </c>
      <c r="J6">
        <f t="shared" si="1"/>
        <v>739.53003050457789</v>
      </c>
      <c r="K6" s="53">
        <f t="shared" si="2"/>
        <v>152.93333283999999</v>
      </c>
      <c r="L6" s="53">
        <f t="shared" si="3"/>
        <v>1480</v>
      </c>
      <c r="M6" s="53">
        <f t="shared" si="4"/>
        <v>2960</v>
      </c>
    </row>
    <row r="7" spans="1:13" ht="16" x14ac:dyDescent="0.2">
      <c r="A7" s="34" t="s">
        <v>1903</v>
      </c>
      <c r="B7" s="33">
        <v>1</v>
      </c>
      <c r="D7" s="54"/>
      <c r="E7" s="55"/>
      <c r="F7" s="184"/>
      <c r="G7" s="55"/>
      <c r="H7" s="55"/>
      <c r="K7" s="53"/>
      <c r="L7" s="53"/>
      <c r="M7" s="53"/>
    </row>
    <row r="8" spans="1:13" x14ac:dyDescent="0.2">
      <c r="A8" s="34" t="s">
        <v>343</v>
      </c>
      <c r="B8" s="33" t="str">
        <f ca="1">INDIRECT("main!"&amp;"q"&amp;B$1+2)</f>
        <v>OXTR</v>
      </c>
      <c r="D8" s="54"/>
      <c r="E8" s="55" t="s">
        <v>1374</v>
      </c>
      <c r="F8" s="55"/>
      <c r="G8" s="55"/>
      <c r="H8" s="55">
        <f>SUM(H4:H6)</f>
        <v>1445</v>
      </c>
      <c r="I8" s="55">
        <f>SUM(I4:I6)</f>
        <v>5.6499997149999928</v>
      </c>
      <c r="J8" s="55">
        <f t="shared" ref="J8:M8" si="5">SUM(J4:J6)</f>
        <v>1578.9559739687002</v>
      </c>
      <c r="K8" s="55">
        <f t="shared" si="5"/>
        <v>111.63333283999998</v>
      </c>
      <c r="L8" s="55">
        <f t="shared" si="5"/>
        <v>2070</v>
      </c>
      <c r="M8" s="55">
        <f t="shared" si="5"/>
        <v>3550</v>
      </c>
    </row>
    <row r="9" spans="1:13" ht="20.5" customHeight="1" x14ac:dyDescent="0.2">
      <c r="A9" s="34" t="s">
        <v>1329</v>
      </c>
      <c r="B9" s="33" t="str">
        <f ca="1">INDIRECT("main!"&amp;"r"&amp;B$1+2)</f>
        <v>23-tagging single nucleotide polymorphisms across the OXTR region</v>
      </c>
      <c r="D9" s="53"/>
      <c r="E9" s="55"/>
      <c r="F9" s="55"/>
      <c r="G9" s="55"/>
      <c r="H9" s="55"/>
      <c r="I9" s="55"/>
      <c r="J9" s="55"/>
      <c r="K9" s="53"/>
      <c r="L9" s="53"/>
      <c r="M9" s="53"/>
    </row>
    <row r="10" spans="1:13" ht="43" customHeight="1" x14ac:dyDescent="0.2">
      <c r="A10" s="34" t="s">
        <v>1323</v>
      </c>
      <c r="B10" s="33" t="str">
        <f ca="1">INDIRECT("main!"&amp;"O"&amp;B$1+2)</f>
        <v>fMRI response to angry faces vs control task, with focus on amygdala and ventral striatum; measure of stressful life events; strengths and difficulties questionnaire scales</v>
      </c>
      <c r="D10" s="53" t="s">
        <v>1406</v>
      </c>
      <c r="E10" s="55"/>
      <c r="F10" s="55"/>
      <c r="G10" s="55"/>
      <c r="H10" s="55"/>
      <c r="I10" s="55"/>
      <c r="J10" s="55"/>
      <c r="K10" s="53"/>
      <c r="L10" s="53"/>
      <c r="M10" s="53"/>
    </row>
    <row r="11" spans="1:13" ht="84.25" customHeight="1" x14ac:dyDescent="0.2">
      <c r="A11" s="34" t="s">
        <v>1396</v>
      </c>
      <c r="B11" s="33" t="str">
        <f ca="1">INDIRECT("main!"&amp;"W"&amp;B$1+2)</f>
        <v>Separate regression models to test for  effect of OXTR-SNP, SLEs, and gene by environment (G×E) interactions on each ROI.  Poisson regression models to examine OXTR-genotype main and G×E interaction effects on emotional problems, conduct problems, peer problems, and prosocial behavior. Sex and study center as covariates</v>
      </c>
      <c r="D11" s="53" t="s">
        <v>1376</v>
      </c>
      <c r="E11" s="69" t="s">
        <v>1377</v>
      </c>
      <c r="F11" s="69">
        <f>(H8*K8-L8*I8)/(H8*M8-L8^2)</f>
        <v>0.17709021310735631</v>
      </c>
      <c r="G11" s="55"/>
      <c r="H11" s="55"/>
      <c r="I11" s="55"/>
      <c r="J11" s="55"/>
      <c r="K11" s="53"/>
      <c r="L11" s="53"/>
      <c r="M11" s="53"/>
    </row>
    <row r="12" spans="1:13" ht="35.5" customHeight="1" x14ac:dyDescent="0.2">
      <c r="A12" s="34" t="s">
        <v>1898</v>
      </c>
      <c r="B12" s="33" t="s">
        <v>1923</v>
      </c>
      <c r="D12" s="53"/>
      <c r="E12" s="70" t="s">
        <v>1378</v>
      </c>
      <c r="F12" s="69">
        <f>(H8*K8-L8*I8)/SQRT((H8*M8-L8^2)*(H8*J8-I8^2))</f>
        <v>0.10776270122312542</v>
      </c>
      <c r="G12" s="53"/>
      <c r="H12" s="53" t="s">
        <v>1846</v>
      </c>
      <c r="I12" s="53"/>
      <c r="J12" s="53"/>
      <c r="K12" s="53"/>
      <c r="L12" s="53"/>
      <c r="M12" s="53"/>
    </row>
    <row r="13" spans="1:13" ht="70.5" customHeight="1" x14ac:dyDescent="0.2">
      <c r="A13" s="34" t="s">
        <v>1326</v>
      </c>
      <c r="B13" s="64" t="s">
        <v>1526</v>
      </c>
      <c r="D13" s="53"/>
      <c r="E13" s="56" t="s">
        <v>1379</v>
      </c>
      <c r="F13" s="53">
        <f>F12^2</f>
        <v>1.1612799774904597E-2</v>
      </c>
      <c r="G13" s="53"/>
      <c r="H13" s="53"/>
      <c r="I13" s="53"/>
      <c r="J13" s="53"/>
      <c r="K13" s="53"/>
      <c r="L13" s="53"/>
      <c r="M13" s="53"/>
    </row>
    <row r="14" spans="1:13" x14ac:dyDescent="0.2">
      <c r="A14" s="34" t="s">
        <v>1852</v>
      </c>
      <c r="B14" s="33" t="str">
        <f>D4&amp;" (N = "&amp;H4&amp;"); "&amp;D5&amp;" (N = "&amp;H5&amp;"); "&amp;D6&amp;" (N = "&amp;H6&amp;")"</f>
        <v>CC (N = 115); CT (N = 590); TT (N = 740)</v>
      </c>
      <c r="E14" s="53"/>
      <c r="F14" s="53"/>
      <c r="G14" s="53"/>
      <c r="H14" s="53"/>
      <c r="I14" s="53"/>
      <c r="J14" s="53"/>
      <c r="K14" s="53"/>
      <c r="L14" s="53"/>
      <c r="M14" s="53"/>
    </row>
    <row r="15" spans="1:13" x14ac:dyDescent="0.2">
      <c r="A15" s="34" t="s">
        <v>1848</v>
      </c>
      <c r="B15" s="62">
        <f>ABS(F18)</f>
        <v>0.11434385273992104</v>
      </c>
      <c r="D15" s="58" t="s">
        <v>1438</v>
      </c>
      <c r="E15" s="58"/>
      <c r="F15" s="58"/>
    </row>
    <row r="16" spans="1:13" x14ac:dyDescent="0.2">
      <c r="A16" s="34" t="s">
        <v>1899</v>
      </c>
      <c r="B16" s="62" t="s">
        <v>2123</v>
      </c>
      <c r="D16" s="58"/>
      <c r="E16" s="58"/>
      <c r="F16" s="58"/>
    </row>
    <row r="17" spans="1:6" ht="16" x14ac:dyDescent="0.2">
      <c r="A17" s="204" t="s">
        <v>2189</v>
      </c>
      <c r="B17" s="33">
        <v>7.3999999999999996E-2</v>
      </c>
      <c r="D17" t="s">
        <v>1439</v>
      </c>
      <c r="E17" t="s">
        <v>1440</v>
      </c>
      <c r="F17" t="s">
        <v>1378</v>
      </c>
    </row>
    <row r="18" spans="1:6" x14ac:dyDescent="0.2">
      <c r="A18" s="64" t="s">
        <v>1401</v>
      </c>
      <c r="B18" s="33">
        <v>0.96799999999999997</v>
      </c>
      <c r="D18">
        <v>1.2999999999999999E-5</v>
      </c>
      <c r="E18">
        <f>TINV(D18,H8-2)</f>
        <v>4.3752670252731694</v>
      </c>
      <c r="F18">
        <f>SQRT(E18^2/(E18^2+H8))</f>
        <v>0.11434385273992104</v>
      </c>
    </row>
    <row r="19" spans="1:6" x14ac:dyDescent="0.2">
      <c r="A19" s="64" t="s">
        <v>1346</v>
      </c>
      <c r="B19" s="33" t="s">
        <v>1506</v>
      </c>
    </row>
    <row r="20" spans="1:6" ht="45" x14ac:dyDescent="0.2">
      <c r="A20" s="64" t="s">
        <v>1388</v>
      </c>
      <c r="B20" s="64" t="s">
        <v>1524</v>
      </c>
      <c r="D20" s="58"/>
    </row>
    <row r="21" spans="1:6" ht="59.25" customHeight="1" x14ac:dyDescent="0.2">
      <c r="A21" s="33" t="s">
        <v>1390</v>
      </c>
      <c r="D21" s="236" t="s">
        <v>2415</v>
      </c>
      <c r="E21" s="236" t="s">
        <v>2416</v>
      </c>
    </row>
    <row r="22" spans="1:6" ht="57.75" customHeight="1" x14ac:dyDescent="0.2">
      <c r="A22" s="34" t="s">
        <v>1387</v>
      </c>
      <c r="D22" s="236">
        <v>1445</v>
      </c>
      <c r="E22" s="236">
        <v>0</v>
      </c>
    </row>
    <row r="24" spans="1:6" s="140" customFormat="1" x14ac:dyDescent="0.2">
      <c r="A24" s="138" t="s">
        <v>1746</v>
      </c>
      <c r="B24" s="139"/>
    </row>
    <row r="25" spans="1:6" s="136" customFormat="1" ht="30" x14ac:dyDescent="0.2">
      <c r="A25" s="137" t="s">
        <v>1753</v>
      </c>
      <c r="B25" s="159" t="s">
        <v>885</v>
      </c>
    </row>
    <row r="26" spans="1:6" s="136" customFormat="1" x14ac:dyDescent="0.2">
      <c r="A26" s="137" t="s">
        <v>1681</v>
      </c>
      <c r="B26" s="159">
        <f ca="1">INDIRECT("N_SNPs!"&amp;"L"&amp;B$1+2)</f>
        <v>1</v>
      </c>
    </row>
    <row r="27" spans="1:6" s="136" customFormat="1" x14ac:dyDescent="0.2">
      <c r="A27" s="137" t="s">
        <v>1747</v>
      </c>
      <c r="B27" s="159">
        <f ca="1">INDIRECT("N_SNPs!"&amp;"M"&amp;B$1+2)</f>
        <v>1</v>
      </c>
    </row>
    <row r="28" spans="1:6" s="136" customFormat="1" x14ac:dyDescent="0.2">
      <c r="A28" s="137" t="s">
        <v>1683</v>
      </c>
      <c r="B28" s="159" t="str">
        <f ca="1">INDIRECT("N_SNPs!"&amp;"N"&amp;B$1+2)</f>
        <v>not needed</v>
      </c>
    </row>
    <row r="29" spans="1:6" s="136" customFormat="1" x14ac:dyDescent="0.2">
      <c r="A29" s="137" t="s">
        <v>2171</v>
      </c>
      <c r="B29" s="159">
        <f ca="1">INDIRECT("N_SNPs!"&amp;"O"&amp;B$1+2)</f>
        <v>23</v>
      </c>
    </row>
    <row r="30" spans="1:6" s="136" customFormat="1" ht="30" x14ac:dyDescent="0.2">
      <c r="A30" s="137" t="s">
        <v>2170</v>
      </c>
      <c r="B30" s="159">
        <f ca="1">INDIRECT("N_SNPs!"&amp;"P"&amp;B$1+2)</f>
        <v>1</v>
      </c>
    </row>
    <row r="31" spans="1:6" s="136" customFormat="1" ht="60" x14ac:dyDescent="0.2">
      <c r="A31" s="137" t="s">
        <v>2172</v>
      </c>
      <c r="B31" s="159">
        <f ca="1">INDIRECT("N_SNPs!"&amp;"Q"&amp;B$1+2)</f>
        <v>3</v>
      </c>
    </row>
    <row r="32" spans="1:6" s="136" customFormat="1" x14ac:dyDescent="0.2">
      <c r="A32" s="137" t="s">
        <v>1686</v>
      </c>
      <c r="B32" s="159">
        <f ca="1">INDIRECT("N_SNPs!"&amp;"R"&amp;B$1+2)</f>
        <v>0</v>
      </c>
    </row>
    <row r="33" spans="1:3" s="172" customFormat="1" x14ac:dyDescent="0.2">
      <c r="A33" s="171" t="s">
        <v>1808</v>
      </c>
      <c r="B33" s="199">
        <v>4</v>
      </c>
    </row>
    <row r="34" spans="1:3" s="172" customFormat="1" x14ac:dyDescent="0.2">
      <c r="A34" s="203" t="s">
        <v>2177</v>
      </c>
      <c r="B34" s="199">
        <v>3</v>
      </c>
    </row>
    <row r="35" spans="1:3" s="172" customFormat="1" ht="60" x14ac:dyDescent="0.2">
      <c r="A35" s="171" t="s">
        <v>1810</v>
      </c>
      <c r="B35" s="199">
        <v>3</v>
      </c>
    </row>
    <row r="36" spans="1:3" s="174" customFormat="1" ht="30" x14ac:dyDescent="0.2">
      <c r="A36" s="173" t="s">
        <v>1835</v>
      </c>
      <c r="B36" s="198" t="s">
        <v>1845</v>
      </c>
      <c r="C36" s="174" t="s">
        <v>2420</v>
      </c>
    </row>
    <row r="37" spans="1:3" s="174" customFormat="1" ht="30" x14ac:dyDescent="0.2">
      <c r="A37" s="173" t="s">
        <v>2272</v>
      </c>
      <c r="B37" s="198" t="s">
        <v>2199</v>
      </c>
    </row>
    <row r="38" spans="1:3" s="174" customFormat="1" ht="30" x14ac:dyDescent="0.2">
      <c r="A38" s="173" t="s">
        <v>2299</v>
      </c>
      <c r="B38" s="198">
        <v>0</v>
      </c>
    </row>
    <row r="39" spans="1:3" s="174" customFormat="1" x14ac:dyDescent="0.2">
      <c r="A39" s="173" t="s">
        <v>2273</v>
      </c>
      <c r="B39" s="198">
        <v>4</v>
      </c>
    </row>
    <row r="40" spans="1:3" s="174" customFormat="1" ht="30" x14ac:dyDescent="0.2">
      <c r="A40" s="173" t="s">
        <v>2274</v>
      </c>
      <c r="B40" s="198">
        <v>3</v>
      </c>
    </row>
    <row r="41" spans="1:3" s="176" customFormat="1" ht="45" x14ac:dyDescent="0.2">
      <c r="A41" s="175" t="s">
        <v>1815</v>
      </c>
      <c r="B41" s="7" t="s">
        <v>2303</v>
      </c>
    </row>
    <row r="42" spans="1:3" s="176" customFormat="1" x14ac:dyDescent="0.2">
      <c r="A42" s="175" t="s">
        <v>1881</v>
      </c>
      <c r="B42" s="7" t="s">
        <v>494</v>
      </c>
    </row>
    <row r="43" spans="1:3" x14ac:dyDescent="0.2">
      <c r="A43" s="34" t="s">
        <v>1398</v>
      </c>
      <c r="B43" s="65"/>
    </row>
    <row r="44" spans="1:3" x14ac:dyDescent="0.2">
      <c r="A44" s="34" t="s">
        <v>1410</v>
      </c>
    </row>
    <row r="45" spans="1:3" x14ac:dyDescent="0.2">
      <c r="A45" s="34" t="s">
        <v>2374</v>
      </c>
      <c r="B45" s="33">
        <v>1</v>
      </c>
    </row>
    <row r="46" spans="1:3" x14ac:dyDescent="0.2">
      <c r="A46" s="34" t="s">
        <v>1416</v>
      </c>
      <c r="B46" s="66" t="s">
        <v>1536</v>
      </c>
    </row>
    <row r="48" spans="1:3" x14ac:dyDescent="0.2">
      <c r="A48" s="34" t="s">
        <v>1490</v>
      </c>
      <c r="B48" s="33" t="s">
        <v>1607</v>
      </c>
    </row>
  </sheetData>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50"/>
  </sheetPr>
  <dimension ref="A1:M50"/>
  <sheetViews>
    <sheetView zoomScale="90" zoomScaleNormal="90" zoomScalePageLayoutView="90" workbookViewId="0">
      <pane xSplit="1" ySplit="1" topLeftCell="B31"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4" max="4" width="14.33203125" customWidth="1"/>
    <col min="5" max="5" width="9.83203125" customWidth="1"/>
    <col min="6" max="6" width="7.5" customWidth="1"/>
    <col min="7" max="7" width="8" customWidth="1"/>
    <col min="8" max="8" width="9.5" bestFit="1" customWidth="1"/>
  </cols>
  <sheetData>
    <row r="1" spans="1:13" s="58" customFormat="1" x14ac:dyDescent="0.2">
      <c r="A1" s="63" t="s">
        <v>1360</v>
      </c>
      <c r="B1" s="57">
        <v>17</v>
      </c>
      <c r="D1" s="52" t="s">
        <v>1851</v>
      </c>
      <c r="E1" s="52"/>
      <c r="F1" s="52"/>
      <c r="G1" s="52"/>
      <c r="H1" s="52"/>
      <c r="I1" s="52"/>
      <c r="J1" s="52"/>
      <c r="K1" s="52"/>
      <c r="L1" s="52"/>
      <c r="M1" s="52"/>
    </row>
    <row r="2" spans="1:13" ht="28.5" customHeight="1" x14ac:dyDescent="0.2">
      <c r="A2" s="34" t="s">
        <v>1321</v>
      </c>
      <c r="B2" s="33" t="str">
        <f ca="1">INDIRECT("main!"&amp;"C"&amp;B$1+2)</f>
        <v>Cummins, T. D. R.; Jacoby, O.; Hawi, Z.; Nandam, L. S.; Byrne, M. A. V.; Kim, B-N; Wagner, J.; Chambers, C. D.; Bellgrove, M. A.</v>
      </c>
      <c r="D2" s="73" t="s">
        <v>1537</v>
      </c>
      <c r="E2" s="53"/>
      <c r="F2" s="53"/>
      <c r="G2" s="53"/>
      <c r="H2" s="53"/>
      <c r="I2" s="53" t="s">
        <v>1382</v>
      </c>
      <c r="J2" s="53"/>
      <c r="K2" s="53"/>
      <c r="L2" s="53"/>
      <c r="M2" s="53"/>
    </row>
    <row r="3" spans="1:13" ht="44.75" customHeight="1" x14ac:dyDescent="0.2">
      <c r="A3" s="34" t="s">
        <v>1322</v>
      </c>
      <c r="B3" s="33" t="str">
        <f ca="1">INDIRECT("main!"&amp;"D"&amp;B$1+2)</f>
        <v>Alpha-2A adrenergic receptor gene variants are associated with increased intra-individual variability in response time</v>
      </c>
      <c r="D3" s="53" t="s">
        <v>1395</v>
      </c>
      <c r="E3" s="53" t="s">
        <v>1366</v>
      </c>
      <c r="F3" s="53" t="s">
        <v>1367</v>
      </c>
      <c r="G3" s="53" t="s">
        <v>1368</v>
      </c>
      <c r="H3" s="54" t="s">
        <v>0</v>
      </c>
      <c r="I3" t="s">
        <v>1369</v>
      </c>
      <c r="J3" t="s">
        <v>1370</v>
      </c>
      <c r="K3" s="53" t="s">
        <v>1371</v>
      </c>
      <c r="L3" s="54" t="s">
        <v>1372</v>
      </c>
      <c r="M3" s="54" t="s">
        <v>1373</v>
      </c>
    </row>
    <row r="4" spans="1:13" x14ac:dyDescent="0.2">
      <c r="A4" s="34" t="s">
        <v>1324</v>
      </c>
      <c r="B4" s="33" t="str">
        <f ca="1">INDIRECT("main!"&amp;"J"&amp;B$1+2)</f>
        <v>10.1038/mp.2013.140</v>
      </c>
      <c r="D4" s="54" t="s">
        <v>1361</v>
      </c>
      <c r="E4" s="55">
        <v>0</v>
      </c>
      <c r="F4" s="55"/>
      <c r="G4" s="55"/>
      <c r="H4" s="55">
        <f>INT(381*0.29^2)</f>
        <v>32</v>
      </c>
      <c r="I4">
        <f>H4*F4</f>
        <v>0</v>
      </c>
      <c r="J4">
        <f>(H4*(H4-1)*G4^2+I4^2)/H4</f>
        <v>0</v>
      </c>
      <c r="K4" s="53">
        <f>E4*I4</f>
        <v>0</v>
      </c>
      <c r="L4" s="53">
        <f>E4*H4</f>
        <v>0</v>
      </c>
      <c r="M4" s="53">
        <f>E4^2*H4</f>
        <v>0</v>
      </c>
    </row>
    <row r="5" spans="1:13" ht="42.75" customHeight="1" x14ac:dyDescent="0.2">
      <c r="A5" s="34" t="s">
        <v>1327</v>
      </c>
      <c r="B5" s="33" t="str">
        <f ca="1">INDIRECT("main!"&amp;"M"&amp;B$1+2)</f>
        <v>Right-handed non-clinical participants of European descent from undergraduate participant pools; (201 males; mean age=21.2, s.d = 5.1 years)</v>
      </c>
      <c r="D5" s="54" t="s">
        <v>1518</v>
      </c>
      <c r="E5" s="55">
        <v>1</v>
      </c>
      <c r="F5" s="55"/>
      <c r="G5" s="55"/>
      <c r="H5" s="55">
        <f>381-H4-H6</f>
        <v>162</v>
      </c>
      <c r="I5">
        <f t="shared" ref="I5" si="0">H5*F5</f>
        <v>0</v>
      </c>
      <c r="J5">
        <f t="shared" ref="J5" si="1">(H5*(H5-1)*G5^2+I5^2)/H5</f>
        <v>0</v>
      </c>
      <c r="K5" s="53">
        <f t="shared" ref="K5" si="2">E5*I5</f>
        <v>0</v>
      </c>
      <c r="L5" s="53">
        <f t="shared" ref="L5" si="3">E5*H5</f>
        <v>162</v>
      </c>
      <c r="M5" s="53">
        <f t="shared" ref="M5" si="4">E5^2*H5</f>
        <v>162</v>
      </c>
    </row>
    <row r="6" spans="1:13" x14ac:dyDescent="0.2">
      <c r="A6" s="34" t="s">
        <v>1333</v>
      </c>
      <c r="B6" s="33" t="str">
        <f ca="1">INDIRECT("main!"&amp;"L"&amp;B$1+2)</f>
        <v xml:space="preserve">N = 381 </v>
      </c>
      <c r="D6" s="54" t="s">
        <v>1308</v>
      </c>
      <c r="E6" s="55">
        <v>2</v>
      </c>
      <c r="F6" s="55"/>
      <c r="G6" s="55"/>
      <c r="H6" s="55">
        <v>187</v>
      </c>
      <c r="I6" s="55"/>
      <c r="J6" s="55"/>
      <c r="K6" s="55"/>
      <c r="L6" s="55"/>
      <c r="M6" s="55"/>
    </row>
    <row r="7" spans="1:13" x14ac:dyDescent="0.2">
      <c r="A7" s="34" t="s">
        <v>1903</v>
      </c>
      <c r="B7" s="33">
        <v>1</v>
      </c>
      <c r="D7" s="54"/>
      <c r="E7" s="55"/>
      <c r="F7" s="55"/>
      <c r="G7" s="55"/>
      <c r="H7" s="55"/>
      <c r="I7" s="55"/>
      <c r="J7" s="55"/>
      <c r="K7" s="55"/>
      <c r="L7" s="55"/>
      <c r="M7" s="55"/>
    </row>
    <row r="8" spans="1:13" x14ac:dyDescent="0.2">
      <c r="A8" s="34" t="s">
        <v>343</v>
      </c>
      <c r="B8" s="33" t="str">
        <f ca="1">INDIRECT("main!"&amp;"q"&amp;B$1+2)</f>
        <v>Autosomal catecholamine genes,</v>
      </c>
      <c r="D8" s="54"/>
      <c r="E8" s="55" t="s">
        <v>1374</v>
      </c>
      <c r="F8" s="55"/>
      <c r="G8" s="55"/>
      <c r="H8" s="55">
        <f>SUM(H4:H6)</f>
        <v>381</v>
      </c>
      <c r="I8" s="55">
        <f>SUM(I4:I6)</f>
        <v>0</v>
      </c>
      <c r="J8" s="55">
        <f t="shared" ref="J8:M8" si="5">SUM(J4:J6)</f>
        <v>0</v>
      </c>
      <c r="K8" s="55">
        <f t="shared" si="5"/>
        <v>0</v>
      </c>
      <c r="L8" s="55">
        <f t="shared" si="5"/>
        <v>162</v>
      </c>
      <c r="M8" s="55">
        <f t="shared" si="5"/>
        <v>162</v>
      </c>
    </row>
    <row r="9" spans="1:13" ht="20.5" customHeight="1" x14ac:dyDescent="0.2">
      <c r="A9" s="34" t="s">
        <v>1329</v>
      </c>
      <c r="B9" s="33" t="str">
        <f ca="1">INDIRECT("main!"&amp;"r"&amp;B$1+2)</f>
        <v>107 SNPs in 19 genes</v>
      </c>
      <c r="D9" s="53"/>
      <c r="E9" s="55"/>
      <c r="F9" s="55"/>
      <c r="G9" s="55"/>
      <c r="H9" s="55"/>
      <c r="I9" s="55"/>
      <c r="J9" s="55"/>
      <c r="K9" s="53"/>
      <c r="L9" s="53"/>
      <c r="M9" s="53"/>
    </row>
    <row r="10" spans="1:13" ht="51" customHeight="1" x14ac:dyDescent="0.2">
      <c r="A10" s="34" t="s">
        <v>1323</v>
      </c>
      <c r="B10" s="33" t="str">
        <f ca="1">INDIRECT("main!"&amp;"O"&amp;B$1+2)</f>
        <v>Conners' adult ADHD rating Scale; Principal component analysis of 5 reaction time tasks to give two factors: response selection variability vs. selective attention variability</v>
      </c>
      <c r="D10" s="53"/>
      <c r="E10" s="55"/>
      <c r="F10" s="55"/>
      <c r="G10" s="55"/>
      <c r="H10" s="55"/>
      <c r="I10" s="55"/>
      <c r="J10" s="55"/>
      <c r="K10" s="53"/>
      <c r="L10" s="53"/>
      <c r="M10" s="53"/>
    </row>
    <row r="11" spans="1:13" ht="46.25" customHeight="1" x14ac:dyDescent="0.2">
      <c r="A11" s="34" t="s">
        <v>1396</v>
      </c>
      <c r="B11" s="33" t="str">
        <f ca="1">INDIRECT("main!"&amp;"W"&amp;B$1+2)</f>
        <v>Single-step linear regression, multiple comparisons controlled using permutation analysis</v>
      </c>
      <c r="D11" s="53"/>
      <c r="E11" s="69"/>
      <c r="F11" s="69"/>
      <c r="G11" s="55"/>
      <c r="H11" s="55"/>
      <c r="I11" s="55"/>
      <c r="J11" s="55"/>
      <c r="K11" s="53"/>
      <c r="L11" s="53"/>
      <c r="M11" s="53"/>
    </row>
    <row r="12" spans="1:13" ht="82.25" customHeight="1" x14ac:dyDescent="0.2">
      <c r="A12" s="34" t="s">
        <v>1898</v>
      </c>
      <c r="B12" s="33" t="s">
        <v>2119</v>
      </c>
      <c r="D12" s="53"/>
      <c r="E12" s="70"/>
      <c r="F12" s="69"/>
      <c r="G12" s="53"/>
      <c r="H12" s="53"/>
      <c r="I12" s="53"/>
      <c r="J12" s="53"/>
      <c r="K12" s="53"/>
      <c r="L12" s="53"/>
      <c r="M12" s="53"/>
    </row>
    <row r="13" spans="1:13" ht="73.5" customHeight="1" x14ac:dyDescent="0.2">
      <c r="A13" s="34" t="s">
        <v>1326</v>
      </c>
      <c r="B13" s="33" t="s">
        <v>1519</v>
      </c>
      <c r="D13" s="53"/>
      <c r="E13" s="56"/>
      <c r="F13" s="53"/>
      <c r="G13" s="53"/>
      <c r="H13" s="53"/>
      <c r="I13" s="53"/>
      <c r="J13" s="53"/>
      <c r="K13" s="53"/>
      <c r="L13" s="53"/>
      <c r="M13" s="53"/>
    </row>
    <row r="14" spans="1:13" x14ac:dyDescent="0.2">
      <c r="A14" s="34" t="s">
        <v>1852</v>
      </c>
      <c r="B14" s="33" t="str">
        <f>D4&amp;" (N = "&amp;H4&amp;"); "&amp;D5&amp;" (N = "&amp;H5&amp;"); "&amp;D6&amp;" (N = "&amp;H6&amp;")"</f>
        <v>CC (N = 32); CG (N = 162); GG (N = 187)</v>
      </c>
      <c r="E14" s="53"/>
      <c r="F14" s="53"/>
      <c r="G14" s="53"/>
      <c r="H14" s="53"/>
      <c r="I14" s="53"/>
      <c r="J14" s="53"/>
      <c r="K14" s="53"/>
      <c r="L14" s="53"/>
      <c r="M14" s="53"/>
    </row>
    <row r="15" spans="1:13" x14ac:dyDescent="0.2">
      <c r="A15" s="34" t="s">
        <v>1848</v>
      </c>
      <c r="B15" s="62">
        <f>F18</f>
        <v>0.20337743160068528</v>
      </c>
      <c r="D15" s="58" t="s">
        <v>1438</v>
      </c>
      <c r="E15" s="58"/>
      <c r="F15" s="58"/>
    </row>
    <row r="16" spans="1:13" x14ac:dyDescent="0.2">
      <c r="A16" s="34" t="s">
        <v>1899</v>
      </c>
      <c r="B16" s="62" t="s">
        <v>2120</v>
      </c>
      <c r="D16" s="58"/>
      <c r="E16" s="58"/>
      <c r="F16" s="58"/>
    </row>
    <row r="17" spans="1:6" ht="16" x14ac:dyDescent="0.2">
      <c r="A17" s="204" t="s">
        <v>2189</v>
      </c>
      <c r="B17" s="33">
        <v>0.14299999999999999</v>
      </c>
      <c r="D17" t="s">
        <v>1439</v>
      </c>
      <c r="E17" t="s">
        <v>1440</v>
      </c>
      <c r="F17" t="s">
        <v>1378</v>
      </c>
    </row>
    <row r="18" spans="1:6" x14ac:dyDescent="0.2">
      <c r="A18" s="64" t="s">
        <v>1401</v>
      </c>
      <c r="B18" s="33">
        <v>0.497</v>
      </c>
      <c r="C18" t="s">
        <v>2121</v>
      </c>
      <c r="D18">
        <v>6.0999999999999999E-5</v>
      </c>
      <c r="E18">
        <f>TINV(D18,H8-2)</f>
        <v>4.0545066042633717</v>
      </c>
      <c r="F18">
        <f>SQRT(E18^2/(E18^2+H8))</f>
        <v>0.20337743160068528</v>
      </c>
    </row>
    <row r="19" spans="1:6" x14ac:dyDescent="0.2">
      <c r="A19" s="64" t="s">
        <v>1346</v>
      </c>
      <c r="B19" s="33" t="s">
        <v>1506</v>
      </c>
      <c r="C19" t="s">
        <v>2122</v>
      </c>
      <c r="D19">
        <v>4.0000000000000001E-3</v>
      </c>
      <c r="E19">
        <f>TINV(D19,H8-2)</f>
        <v>2.8958876176680484</v>
      </c>
      <c r="F19">
        <f>SQRT(E19^2/(E19^2+H8))</f>
        <v>0.14675450620780561</v>
      </c>
    </row>
    <row r="20" spans="1:6" x14ac:dyDescent="0.2">
      <c r="A20" s="64" t="s">
        <v>1388</v>
      </c>
      <c r="B20" s="33" t="s">
        <v>1514</v>
      </c>
      <c r="D20" s="58"/>
    </row>
    <row r="21" spans="1:6" ht="59.25" customHeight="1" x14ac:dyDescent="0.2">
      <c r="A21" s="33" t="s">
        <v>1390</v>
      </c>
      <c r="D21" s="236" t="s">
        <v>2415</v>
      </c>
      <c r="E21" s="236" t="s">
        <v>2416</v>
      </c>
    </row>
    <row r="22" spans="1:6" ht="57.75" customHeight="1" x14ac:dyDescent="0.2">
      <c r="A22" s="34" t="s">
        <v>1387</v>
      </c>
      <c r="B22" s="33" t="s">
        <v>2386</v>
      </c>
      <c r="D22" s="236">
        <v>391</v>
      </c>
      <c r="E22" s="236">
        <v>0</v>
      </c>
    </row>
    <row r="24" spans="1:6" s="140" customFormat="1" x14ac:dyDescent="0.2">
      <c r="A24" s="138" t="s">
        <v>1746</v>
      </c>
      <c r="B24" s="139"/>
    </row>
    <row r="25" spans="1:6" s="136" customFormat="1" ht="30" x14ac:dyDescent="0.2">
      <c r="A25" s="137" t="s">
        <v>1753</v>
      </c>
      <c r="B25" s="137" t="s">
        <v>885</v>
      </c>
    </row>
    <row r="26" spans="1:6" s="136" customFormat="1" x14ac:dyDescent="0.2">
      <c r="A26" s="137" t="s">
        <v>1681</v>
      </c>
      <c r="B26" s="137">
        <f ca="1">INDIRECT("N_SNPs!"&amp;"L"&amp;B$1+2)</f>
        <v>0</v>
      </c>
    </row>
    <row r="27" spans="1:6" s="136" customFormat="1" x14ac:dyDescent="0.2">
      <c r="A27" s="137" t="s">
        <v>1747</v>
      </c>
      <c r="B27" s="137">
        <f ca="1">INDIRECT("N_SNPs!"&amp;"M"&amp;B$1+2)</f>
        <v>1</v>
      </c>
    </row>
    <row r="28" spans="1:6" s="136" customFormat="1" x14ac:dyDescent="0.2">
      <c r="A28" s="137" t="s">
        <v>1683</v>
      </c>
      <c r="B28" s="137" t="str">
        <f ca="1">INDIRECT("N_SNPs!"&amp;"N"&amp;B$1+2)</f>
        <v>not needed</v>
      </c>
    </row>
    <row r="29" spans="1:6" s="136" customFormat="1" x14ac:dyDescent="0.2">
      <c r="A29" s="137" t="s">
        <v>2171</v>
      </c>
      <c r="B29" s="137">
        <f ca="1">INDIRECT("N_SNPs!"&amp;"O"&amp;B$1+2)</f>
        <v>107</v>
      </c>
    </row>
    <row r="30" spans="1:6" s="136" customFormat="1" ht="30" x14ac:dyDescent="0.2">
      <c r="A30" s="137" t="s">
        <v>2170</v>
      </c>
      <c r="B30" s="137">
        <f ca="1">INDIRECT("N_SNPs!"&amp;"P"&amp;B$1+2)</f>
        <v>1</v>
      </c>
    </row>
    <row r="31" spans="1:6" s="136" customFormat="1" ht="60" x14ac:dyDescent="0.2">
      <c r="A31" s="137" t="s">
        <v>2172</v>
      </c>
      <c r="B31" s="137">
        <f ca="1">INDIRECT("N_SNPs!"&amp;"Q"&amp;B$1+2)</f>
        <v>3</v>
      </c>
    </row>
    <row r="32" spans="1:6" s="136" customFormat="1" x14ac:dyDescent="0.2">
      <c r="A32" s="137" t="s">
        <v>1686</v>
      </c>
      <c r="B32" s="137">
        <f ca="1">INDIRECT("N_SNPs!"&amp;"R"&amp;B$1+2)</f>
        <v>0</v>
      </c>
    </row>
    <row r="33" spans="1:3" s="172" customFormat="1" x14ac:dyDescent="0.2">
      <c r="A33" s="171" t="s">
        <v>1808</v>
      </c>
      <c r="B33" s="171">
        <v>2</v>
      </c>
    </row>
    <row r="34" spans="1:3" s="172" customFormat="1" x14ac:dyDescent="0.2">
      <c r="A34" s="203" t="s">
        <v>2177</v>
      </c>
      <c r="B34" s="171">
        <v>3</v>
      </c>
    </row>
    <row r="35" spans="1:3" s="172" customFormat="1" ht="60" x14ac:dyDescent="0.2">
      <c r="A35" s="171" t="s">
        <v>1810</v>
      </c>
      <c r="B35" s="171">
        <v>3</v>
      </c>
    </row>
    <row r="36" spans="1:3" s="174" customFormat="1" x14ac:dyDescent="0.2">
      <c r="A36" s="173" t="s">
        <v>1835</v>
      </c>
      <c r="B36" s="173" t="s">
        <v>1752</v>
      </c>
      <c r="C36" s="174" t="s">
        <v>2421</v>
      </c>
    </row>
    <row r="37" spans="1:3" s="174" customFormat="1" x14ac:dyDescent="0.2">
      <c r="A37" s="173" t="s">
        <v>2272</v>
      </c>
      <c r="B37" s="173" t="s">
        <v>1752</v>
      </c>
    </row>
    <row r="38" spans="1:3" s="174" customFormat="1" ht="30" x14ac:dyDescent="0.2">
      <c r="A38" s="173" t="s">
        <v>2299</v>
      </c>
      <c r="B38" s="173" t="s">
        <v>1752</v>
      </c>
    </row>
    <row r="39" spans="1:3" s="174" customFormat="1" x14ac:dyDescent="0.2">
      <c r="A39" s="173" t="s">
        <v>2273</v>
      </c>
      <c r="B39" s="173">
        <v>0</v>
      </c>
    </row>
    <row r="40" spans="1:3" s="174" customFormat="1" ht="30" x14ac:dyDescent="0.2">
      <c r="A40" s="173" t="s">
        <v>2274</v>
      </c>
      <c r="B40" s="173" t="s">
        <v>1752</v>
      </c>
    </row>
    <row r="41" spans="1:3" s="176" customFormat="1" ht="30" x14ac:dyDescent="0.2">
      <c r="A41" s="175" t="s">
        <v>1815</v>
      </c>
      <c r="B41" s="7" t="s">
        <v>2387</v>
      </c>
    </row>
    <row r="42" spans="1:3" s="176" customFormat="1" x14ac:dyDescent="0.2">
      <c r="A42" s="175" t="s">
        <v>1881</v>
      </c>
      <c r="B42" s="33" t="s">
        <v>2388</v>
      </c>
    </row>
    <row r="43" spans="1:3" x14ac:dyDescent="0.2">
      <c r="A43" s="34" t="s">
        <v>1398</v>
      </c>
      <c r="B43" s="65"/>
    </row>
    <row r="44" spans="1:3" x14ac:dyDescent="0.2">
      <c r="A44" s="34" t="s">
        <v>1410</v>
      </c>
    </row>
    <row r="45" spans="1:3" x14ac:dyDescent="0.2">
      <c r="A45" s="34" t="s">
        <v>2374</v>
      </c>
      <c r="B45" s="33" t="s">
        <v>1752</v>
      </c>
    </row>
    <row r="46" spans="1:3" x14ac:dyDescent="0.2">
      <c r="A46" s="34" t="s">
        <v>1416</v>
      </c>
      <c r="B46" s="66" t="s">
        <v>1479</v>
      </c>
    </row>
    <row r="48" spans="1:3" x14ac:dyDescent="0.2">
      <c r="A48" s="34" t="s">
        <v>1490</v>
      </c>
      <c r="B48" s="66">
        <v>42644</v>
      </c>
    </row>
    <row r="49" spans="2:2" ht="30" x14ac:dyDescent="0.2">
      <c r="B49" s="33" t="s">
        <v>1784</v>
      </c>
    </row>
    <row r="50" spans="2:2" ht="45" x14ac:dyDescent="0.2">
      <c r="B50" s="33" t="s">
        <v>1648</v>
      </c>
    </row>
  </sheetData>
  <pageMargins left="0.7" right="0.7" top="0.75" bottom="0.75" header="0.3" footer="0.3"/>
  <pageSetup paperSize="9"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50"/>
  </sheetPr>
  <dimension ref="A1:M48"/>
  <sheetViews>
    <sheetView zoomScale="90" zoomScaleNormal="90" zoomScalePageLayoutView="90" workbookViewId="0">
      <pane xSplit="1" ySplit="1" topLeftCell="B20"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4" max="4" width="14.33203125" customWidth="1"/>
    <col min="5" max="5" width="9.83203125" customWidth="1"/>
    <col min="6" max="6" width="7.5" customWidth="1"/>
    <col min="7" max="7" width="8" customWidth="1"/>
    <col min="8" max="8" width="9.5" bestFit="1" customWidth="1"/>
    <col min="10" max="10" width="10.1640625" bestFit="1" customWidth="1"/>
  </cols>
  <sheetData>
    <row r="1" spans="1:13" s="58" customFormat="1" x14ac:dyDescent="0.2">
      <c r="A1" s="63" t="s">
        <v>1360</v>
      </c>
      <c r="B1" s="57">
        <v>16</v>
      </c>
      <c r="D1" s="52" t="s">
        <v>1851</v>
      </c>
      <c r="E1" s="52"/>
      <c r="F1" s="52"/>
      <c r="G1" s="52"/>
      <c r="H1" s="52"/>
      <c r="I1" s="52"/>
      <c r="J1" s="52"/>
      <c r="K1" s="52"/>
      <c r="L1" s="52"/>
      <c r="M1" s="52"/>
    </row>
    <row r="2" spans="1:13" ht="28.5" customHeight="1" x14ac:dyDescent="0.2">
      <c r="A2" s="34" t="s">
        <v>1321</v>
      </c>
      <c r="B2" s="33" t="str">
        <f ca="1">INDIRECT("main!"&amp;"C"&amp;B$1+2)</f>
        <v>Almeida, O. P.; Hankey, G. J.; Yeap, B. B.; Golledge, J.; Flicker, L.</v>
      </c>
      <c r="D2" s="73" t="s">
        <v>1537</v>
      </c>
      <c r="E2" s="53"/>
      <c r="F2" s="53"/>
      <c r="G2" s="53"/>
      <c r="H2" s="53"/>
      <c r="I2" s="53" t="s">
        <v>1382</v>
      </c>
      <c r="J2" s="53"/>
      <c r="K2" s="53"/>
      <c r="L2" s="53"/>
      <c r="M2" s="53"/>
    </row>
    <row r="3" spans="1:13" ht="44.75" customHeight="1" x14ac:dyDescent="0.2">
      <c r="A3" s="34" t="s">
        <v>1322</v>
      </c>
      <c r="B3" s="33" t="str">
        <f ca="1">INDIRECT("main!"&amp;"D"&amp;B$1+2)</f>
        <v>The triangular association of ADH1B genetic polymorphism, alcohol consumption and the risk of depression in older men</v>
      </c>
      <c r="D3" s="53" t="s">
        <v>1395</v>
      </c>
      <c r="E3" s="53" t="s">
        <v>1366</v>
      </c>
      <c r="F3" s="53" t="s">
        <v>1367</v>
      </c>
      <c r="G3" s="53" t="s">
        <v>1368</v>
      </c>
      <c r="H3" s="54" t="s">
        <v>0</v>
      </c>
      <c r="I3" t="s">
        <v>1369</v>
      </c>
      <c r="J3" t="s">
        <v>1370</v>
      </c>
      <c r="K3" s="53" t="s">
        <v>1371</v>
      </c>
      <c r="L3" s="54" t="s">
        <v>1372</v>
      </c>
      <c r="M3" s="54" t="s">
        <v>1373</v>
      </c>
    </row>
    <row r="4" spans="1:13" x14ac:dyDescent="0.2">
      <c r="A4" s="34" t="s">
        <v>1324</v>
      </c>
      <c r="B4" s="33" t="str">
        <f ca="1">INDIRECT("main!"&amp;"J"&amp;B$1+2)</f>
        <v>10.1038/mp.2013.117</v>
      </c>
      <c r="D4" s="54" t="s">
        <v>1305</v>
      </c>
      <c r="E4" s="55">
        <v>0</v>
      </c>
      <c r="F4" s="55"/>
      <c r="G4" s="55"/>
      <c r="H4" s="55">
        <v>17</v>
      </c>
      <c r="I4">
        <f>H4*F4</f>
        <v>0</v>
      </c>
      <c r="J4">
        <f>(H4*(H4-1)*G4^2+I4^2)/H4</f>
        <v>0</v>
      </c>
      <c r="K4" s="53">
        <f>E4*I4</f>
        <v>0</v>
      </c>
      <c r="L4" s="53">
        <f>E4*H4</f>
        <v>0</v>
      </c>
      <c r="M4" s="53">
        <f>E4^2*H4</f>
        <v>0</v>
      </c>
    </row>
    <row r="5" spans="1:13" ht="27.25" customHeight="1" x14ac:dyDescent="0.2">
      <c r="A5" s="34" t="s">
        <v>1327</v>
      </c>
      <c r="B5" s="33" t="str">
        <f ca="1">INDIRECT("main!"&amp;"M"&amp;B$1+2)</f>
        <v>Health in Men Study: males aged 65-83 years</v>
      </c>
      <c r="D5" s="54" t="s">
        <v>1437</v>
      </c>
      <c r="E5" s="55">
        <v>1</v>
      </c>
      <c r="F5" s="55"/>
      <c r="G5" s="55"/>
      <c r="H5" s="55">
        <v>262</v>
      </c>
      <c r="I5">
        <f t="shared" ref="I5" si="0">H5*F5</f>
        <v>0</v>
      </c>
      <c r="J5">
        <f t="shared" ref="J5" si="1">(H5*(H5-1)*G5^2+I5^2)/H5</f>
        <v>0</v>
      </c>
      <c r="K5" s="53">
        <f t="shared" ref="K5" si="2">E5*I5</f>
        <v>0</v>
      </c>
      <c r="L5" s="53">
        <f t="shared" ref="L5" si="3">E5*H5</f>
        <v>262</v>
      </c>
      <c r="M5" s="53">
        <f t="shared" ref="M5" si="4">E5^2*H5</f>
        <v>262</v>
      </c>
    </row>
    <row r="6" spans="1:13" x14ac:dyDescent="0.2">
      <c r="A6" s="34" t="s">
        <v>1333</v>
      </c>
      <c r="B6" s="33" t="str">
        <f ca="1">INDIRECT("main!"&amp;"L"&amp;B$1+2)</f>
        <v>N = 3873</v>
      </c>
      <c r="D6" s="54" t="s">
        <v>1308</v>
      </c>
      <c r="E6" s="55"/>
      <c r="F6" s="55"/>
      <c r="G6" s="55"/>
      <c r="H6" s="55">
        <v>3594</v>
      </c>
      <c r="I6" s="55"/>
      <c r="J6" s="55"/>
      <c r="K6" s="55"/>
      <c r="L6" s="55"/>
      <c r="M6" s="55"/>
    </row>
    <row r="7" spans="1:13" x14ac:dyDescent="0.2">
      <c r="A7" s="34" t="s">
        <v>1903</v>
      </c>
      <c r="B7" s="33">
        <v>1</v>
      </c>
      <c r="D7" s="54"/>
      <c r="E7" s="55"/>
      <c r="F7" s="55"/>
      <c r="G7" s="55"/>
      <c r="H7" s="55"/>
      <c r="I7" s="55"/>
      <c r="J7" s="55"/>
      <c r="K7" s="55"/>
      <c r="L7" s="55"/>
      <c r="M7" s="55"/>
    </row>
    <row r="8" spans="1:13" x14ac:dyDescent="0.2">
      <c r="A8" s="34" t="s">
        <v>343</v>
      </c>
      <c r="B8" s="33" t="str">
        <f ca="1">INDIRECT("main!"&amp;"q"&amp;B$1+2)</f>
        <v>ADH1B</v>
      </c>
      <c r="D8" s="54"/>
      <c r="E8" s="55" t="s">
        <v>1374</v>
      </c>
      <c r="F8" s="55"/>
      <c r="G8" s="55"/>
      <c r="H8" s="55">
        <f>SUM(H4:H6)</f>
        <v>3873</v>
      </c>
      <c r="I8" s="55">
        <f>SUM(I4:I6)</f>
        <v>0</v>
      </c>
      <c r="J8" s="55">
        <f t="shared" ref="J8:M8" si="5">SUM(J4:J6)</f>
        <v>0</v>
      </c>
      <c r="K8" s="55">
        <f t="shared" si="5"/>
        <v>0</v>
      </c>
      <c r="L8" s="55">
        <f t="shared" si="5"/>
        <v>262</v>
      </c>
      <c r="M8" s="55">
        <f t="shared" si="5"/>
        <v>262</v>
      </c>
    </row>
    <row r="9" spans="1:13" ht="20.5" customHeight="1" x14ac:dyDescent="0.2">
      <c r="A9" s="34" t="s">
        <v>1329</v>
      </c>
      <c r="B9" s="33" t="str">
        <f ca="1">INDIRECT("main!"&amp;"r"&amp;B$1+2)</f>
        <v>rs1229984</v>
      </c>
      <c r="D9" s="53"/>
      <c r="E9" s="55"/>
      <c r="F9" s="55"/>
      <c r="G9" s="55"/>
      <c r="H9" s="55"/>
      <c r="I9" s="55"/>
      <c r="J9" s="55"/>
      <c r="K9" s="53"/>
      <c r="L9" s="53"/>
      <c r="M9" s="53"/>
    </row>
    <row r="10" spans="1:13" ht="30.5" customHeight="1" x14ac:dyDescent="0.2">
      <c r="A10" s="34" t="s">
        <v>1323</v>
      </c>
      <c r="B10" s="33" t="str">
        <f ca="1">INDIRECT("main!"&amp;"O"&amp;B$1+2)</f>
        <v>Alcohol consumption + depression status at follow up after 3-8 years</v>
      </c>
      <c r="D10" s="53"/>
      <c r="E10" s="55"/>
      <c r="F10" s="55"/>
      <c r="G10" s="55"/>
      <c r="H10" s="55"/>
      <c r="I10" s="55"/>
      <c r="J10" s="55"/>
      <c r="K10" s="53"/>
      <c r="L10" s="53"/>
      <c r="M10" s="53"/>
    </row>
    <row r="11" spans="1:13" ht="62.5" customHeight="1" x14ac:dyDescent="0.2">
      <c r="A11" s="34" t="s">
        <v>1396</v>
      </c>
      <c r="B11" s="33" t="str">
        <f ca="1">INDIRECT("main!"&amp;"W"&amp;B$1+2)</f>
        <v>Pearson's chi sq to compare distribution of exposures to genotype and depressive status; t-tests contrasting age according to genotype and depressive status; Mann-Whitney test to compare alcohol consumption according to genotype</v>
      </c>
      <c r="D11" s="53"/>
      <c r="E11" s="69"/>
      <c r="F11" s="69"/>
      <c r="G11" s="55"/>
      <c r="H11" s="55"/>
      <c r="I11" s="55"/>
      <c r="J11" s="55"/>
      <c r="K11" s="53"/>
      <c r="L11" s="53"/>
      <c r="M11" s="53"/>
    </row>
    <row r="12" spans="1:13" ht="29.75" customHeight="1" x14ac:dyDescent="0.2">
      <c r="A12" s="34" t="s">
        <v>1898</v>
      </c>
      <c r="B12" s="33" t="s">
        <v>1510</v>
      </c>
      <c r="D12" s="53"/>
      <c r="E12" s="70"/>
      <c r="F12" s="69"/>
      <c r="G12" s="53" t="s">
        <v>2115</v>
      </c>
      <c r="H12" s="53"/>
      <c r="I12" s="53"/>
      <c r="J12" s="53"/>
      <c r="K12" s="53"/>
      <c r="L12" s="53"/>
      <c r="M12" s="53"/>
    </row>
    <row r="13" spans="1:13" ht="93.75" customHeight="1" x14ac:dyDescent="0.2">
      <c r="A13" s="34" t="s">
        <v>1326</v>
      </c>
      <c r="B13" s="33" t="s">
        <v>1924</v>
      </c>
      <c r="D13" s="53"/>
      <c r="E13" s="56"/>
      <c r="F13" s="53"/>
      <c r="G13" s="53"/>
      <c r="H13" s="53"/>
      <c r="I13" s="53"/>
      <c r="J13" s="53"/>
      <c r="K13" s="53"/>
      <c r="L13" s="53"/>
      <c r="M13" s="53"/>
    </row>
    <row r="14" spans="1:13" x14ac:dyDescent="0.2">
      <c r="A14" s="34" t="s">
        <v>1852</v>
      </c>
      <c r="B14" s="33" t="str">
        <f>D4&amp;" (N = "&amp;H4&amp;"); "&amp;D5&amp;" (N = "&amp;H5&amp;"); "&amp;D6&amp;" (N = "&amp;H6&amp;")"</f>
        <v>AA (N = 17); AG (N = 262); GG (N = 3594)</v>
      </c>
      <c r="E14" s="53"/>
      <c r="F14" s="53"/>
      <c r="G14" s="53"/>
      <c r="H14" s="53"/>
      <c r="I14" s="53"/>
      <c r="J14" s="53"/>
      <c r="K14" s="53"/>
      <c r="L14" s="53"/>
      <c r="M14" s="53"/>
    </row>
    <row r="15" spans="1:13" x14ac:dyDescent="0.2">
      <c r="A15" s="34" t="s">
        <v>1848</v>
      </c>
      <c r="B15" s="62">
        <f>ABS(K17)</f>
        <v>5.4869660274705065E-2</v>
      </c>
      <c r="D15" s="58"/>
      <c r="E15" s="58"/>
      <c r="F15" s="58"/>
      <c r="H15" s="58" t="s">
        <v>1507</v>
      </c>
    </row>
    <row r="16" spans="1:13" x14ac:dyDescent="0.2">
      <c r="A16" s="34" t="s">
        <v>1899</v>
      </c>
      <c r="B16" s="62" t="s">
        <v>2116</v>
      </c>
      <c r="D16" s="58"/>
      <c r="E16" s="58"/>
      <c r="F16" s="58"/>
      <c r="H16" s="58" t="s">
        <v>1508</v>
      </c>
      <c r="I16" t="s">
        <v>2117</v>
      </c>
      <c r="J16" t="s">
        <v>2114</v>
      </c>
      <c r="K16" t="s">
        <v>2118</v>
      </c>
    </row>
    <row r="17" spans="1:11" ht="16" x14ac:dyDescent="0.2">
      <c r="A17" s="204" t="s">
        <v>2189</v>
      </c>
      <c r="B17" s="33">
        <v>4.4999999999999998E-2</v>
      </c>
      <c r="H17">
        <v>0.68</v>
      </c>
      <c r="I17">
        <f>LN(H17)*SQRT(3)/(22/7)</f>
        <v>-0.21254132178981372</v>
      </c>
      <c r="J17">
        <f>H8^2/((H4+H5)*H6)</f>
        <v>14.959349812411366</v>
      </c>
      <c r="K17">
        <f>I17/SQRT(I17^2+J17)</f>
        <v>-5.4869660274705065E-2</v>
      </c>
    </row>
    <row r="18" spans="1:11" x14ac:dyDescent="0.2">
      <c r="A18" s="64" t="s">
        <v>1401</v>
      </c>
      <c r="B18" s="33">
        <v>0.999</v>
      </c>
    </row>
    <row r="19" spans="1:11" x14ac:dyDescent="0.2">
      <c r="A19" s="64" t="s">
        <v>1346</v>
      </c>
      <c r="B19" s="33" t="s">
        <v>1855</v>
      </c>
    </row>
    <row r="20" spans="1:11" ht="30" x14ac:dyDescent="0.2">
      <c r="A20" s="64" t="s">
        <v>1388</v>
      </c>
      <c r="B20" s="33" t="s">
        <v>1509</v>
      </c>
      <c r="D20" s="58"/>
    </row>
    <row r="21" spans="1:11" ht="59.25" customHeight="1" x14ac:dyDescent="0.2">
      <c r="A21" s="33" t="s">
        <v>1390</v>
      </c>
      <c r="D21" s="236" t="s">
        <v>2415</v>
      </c>
      <c r="E21" s="236" t="s">
        <v>2416</v>
      </c>
    </row>
    <row r="22" spans="1:11" ht="57.75" customHeight="1" x14ac:dyDescent="0.2">
      <c r="A22" s="34" t="s">
        <v>1387</v>
      </c>
      <c r="B22" s="33" t="s">
        <v>1856</v>
      </c>
      <c r="D22" s="236">
        <v>3973</v>
      </c>
      <c r="E22" s="236">
        <v>0</v>
      </c>
    </row>
    <row r="24" spans="1:11" s="140" customFormat="1" x14ac:dyDescent="0.2">
      <c r="A24" s="138" t="s">
        <v>1746</v>
      </c>
      <c r="B24" s="139"/>
    </row>
    <row r="25" spans="1:11" s="136" customFormat="1" ht="30" x14ac:dyDescent="0.2">
      <c r="A25" s="137" t="s">
        <v>1753</v>
      </c>
      <c r="B25" s="137" t="s">
        <v>885</v>
      </c>
    </row>
    <row r="26" spans="1:11" s="136" customFormat="1" x14ac:dyDescent="0.2">
      <c r="A26" s="137" t="s">
        <v>1681</v>
      </c>
      <c r="B26" s="137">
        <f ca="1">INDIRECT("N_SNPs!"&amp;"L"&amp;B$1+2)</f>
        <v>0</v>
      </c>
    </row>
    <row r="27" spans="1:11" s="136" customFormat="1" x14ac:dyDescent="0.2">
      <c r="A27" s="137" t="s">
        <v>1747</v>
      </c>
      <c r="B27" s="137">
        <f ca="1">INDIRECT("N_SNPs!"&amp;"M"&amp;B$1+2)</f>
        <v>1</v>
      </c>
    </row>
    <row r="28" spans="1:11" s="136" customFormat="1" x14ac:dyDescent="0.2">
      <c r="A28" s="137" t="s">
        <v>1683</v>
      </c>
      <c r="B28" s="137" t="str">
        <f ca="1">INDIRECT("N_SNPs!"&amp;"N"&amp;B$1+2)</f>
        <v>not needed</v>
      </c>
    </row>
    <row r="29" spans="1:11" s="136" customFormat="1" x14ac:dyDescent="0.2">
      <c r="A29" s="137" t="s">
        <v>2171</v>
      </c>
      <c r="B29" s="137">
        <f ca="1">INDIRECT("N_SNPs!"&amp;"O"&amp;B$1+2)</f>
        <v>1</v>
      </c>
    </row>
    <row r="30" spans="1:11" s="136" customFormat="1" ht="30" x14ac:dyDescent="0.2">
      <c r="A30" s="137" t="s">
        <v>2170</v>
      </c>
      <c r="B30" s="137">
        <v>0</v>
      </c>
    </row>
    <row r="31" spans="1:11" s="136" customFormat="1" ht="60" x14ac:dyDescent="0.2">
      <c r="A31" s="137" t="s">
        <v>2172</v>
      </c>
      <c r="B31" s="137">
        <f ca="1">INDIRECT("N_SNPs!"&amp;"Q"&amp;B$1+2)</f>
        <v>5</v>
      </c>
    </row>
    <row r="32" spans="1:11" s="136" customFormat="1" x14ac:dyDescent="0.2">
      <c r="A32" s="137" t="s">
        <v>1686</v>
      </c>
      <c r="B32" s="137">
        <f ca="1">INDIRECT("N_SNPs!"&amp;"R"&amp;B$1+2)</f>
        <v>0</v>
      </c>
    </row>
    <row r="33" spans="1:3" s="172" customFormat="1" x14ac:dyDescent="0.2">
      <c r="A33" s="171" t="s">
        <v>1808</v>
      </c>
      <c r="B33" s="171">
        <v>2</v>
      </c>
    </row>
    <row r="34" spans="1:3" s="172" customFormat="1" x14ac:dyDescent="0.2">
      <c r="A34" s="203" t="s">
        <v>2177</v>
      </c>
      <c r="B34" s="171">
        <v>1</v>
      </c>
    </row>
    <row r="35" spans="1:3" s="172" customFormat="1" ht="60" x14ac:dyDescent="0.2">
      <c r="A35" s="171" t="s">
        <v>1810</v>
      </c>
      <c r="B35" s="171">
        <v>5</v>
      </c>
    </row>
    <row r="36" spans="1:3" s="174" customFormat="1" x14ac:dyDescent="0.2">
      <c r="A36" s="173" t="s">
        <v>1835</v>
      </c>
      <c r="B36" s="173" t="s">
        <v>1752</v>
      </c>
      <c r="C36" s="174" t="s">
        <v>2421</v>
      </c>
    </row>
    <row r="37" spans="1:3" s="174" customFormat="1" x14ac:dyDescent="0.2">
      <c r="A37" s="173" t="s">
        <v>2272</v>
      </c>
      <c r="B37" s="173" t="s">
        <v>1752</v>
      </c>
    </row>
    <row r="38" spans="1:3" s="174" customFormat="1" ht="30" x14ac:dyDescent="0.2">
      <c r="A38" s="173" t="s">
        <v>2299</v>
      </c>
      <c r="B38" s="173" t="s">
        <v>1752</v>
      </c>
    </row>
    <row r="39" spans="1:3" s="174" customFormat="1" x14ac:dyDescent="0.2">
      <c r="A39" s="173" t="s">
        <v>2273</v>
      </c>
      <c r="B39" s="173">
        <v>0</v>
      </c>
    </row>
    <row r="40" spans="1:3" s="174" customFormat="1" ht="30" x14ac:dyDescent="0.2">
      <c r="A40" s="173" t="s">
        <v>2274</v>
      </c>
      <c r="B40" s="173" t="s">
        <v>1752</v>
      </c>
    </row>
    <row r="41" spans="1:3" s="176" customFormat="1" ht="30" x14ac:dyDescent="0.2">
      <c r="A41" s="175" t="s">
        <v>1815</v>
      </c>
      <c r="B41" s="33" t="s">
        <v>2188</v>
      </c>
    </row>
    <row r="42" spans="1:3" s="176" customFormat="1" x14ac:dyDescent="0.2">
      <c r="A42" s="175" t="s">
        <v>1881</v>
      </c>
      <c r="B42" s="33" t="s">
        <v>1889</v>
      </c>
    </row>
    <row r="43" spans="1:3" x14ac:dyDescent="0.2">
      <c r="A43" s="34" t="s">
        <v>1398</v>
      </c>
      <c r="B43" s="65"/>
    </row>
    <row r="44" spans="1:3" x14ac:dyDescent="0.2">
      <c r="A44" s="34" t="s">
        <v>1410</v>
      </c>
    </row>
    <row r="45" spans="1:3" x14ac:dyDescent="0.2">
      <c r="A45" s="34" t="s">
        <v>2374</v>
      </c>
      <c r="B45" s="33" t="s">
        <v>1752</v>
      </c>
    </row>
    <row r="46" spans="1:3" x14ac:dyDescent="0.2">
      <c r="A46" s="34" t="s">
        <v>1416</v>
      </c>
      <c r="B46" s="66" t="s">
        <v>1479</v>
      </c>
    </row>
    <row r="48" spans="1:3" x14ac:dyDescent="0.2">
      <c r="A48" s="34" t="s">
        <v>1490</v>
      </c>
      <c r="B48" s="33" t="s">
        <v>1527</v>
      </c>
    </row>
  </sheetData>
  <hyperlinks>
    <hyperlink ref="B13" r:id="rId1" location="bib3" display="http://www.nature.com/mp/journal/v19/n9/full/mp2013117a.html - bib3"/>
  </hyperlinks>
  <pageMargins left="0.7" right="0.7" top="0.75" bottom="0.75" header="0.3" footer="0.3"/>
  <pageSetup paperSize="9" orientation="portrait" r:id="rId2"/>
  <drawing r:id="rId3"/>
  <legacyDrawing r:id="rId4"/>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50"/>
  </sheetPr>
  <dimension ref="A1:M54"/>
  <sheetViews>
    <sheetView workbookViewId="0">
      <pane xSplit="1" ySplit="1" topLeftCell="B25"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4" max="4" width="14.33203125" customWidth="1"/>
    <col min="5" max="5" width="9.83203125" customWidth="1"/>
    <col min="6" max="6" width="7.5" customWidth="1"/>
    <col min="7" max="7" width="6.1640625" customWidth="1"/>
    <col min="8" max="8" width="9.5" bestFit="1" customWidth="1"/>
  </cols>
  <sheetData>
    <row r="1" spans="1:13" s="58" customFormat="1" x14ac:dyDescent="0.2">
      <c r="A1" s="63" t="s">
        <v>1360</v>
      </c>
      <c r="B1" s="57">
        <v>15</v>
      </c>
      <c r="D1" s="52" t="s">
        <v>1851</v>
      </c>
      <c r="E1" s="52"/>
      <c r="F1" s="52"/>
      <c r="G1" s="52"/>
      <c r="H1" s="52"/>
      <c r="I1" s="52"/>
      <c r="J1" s="52"/>
      <c r="K1" s="52"/>
      <c r="L1" s="52"/>
      <c r="M1" s="52"/>
    </row>
    <row r="2" spans="1:13" ht="57.25" customHeight="1" x14ac:dyDescent="0.2">
      <c r="A2" s="34" t="s">
        <v>1321</v>
      </c>
      <c r="B2" s="33" t="str">
        <f ca="1">INDIRECT("main!"&amp;"C"&amp;B$1+2)</f>
        <v>Adams, Hieab H. H.; Verhaaren, Benjamin F. J.; Vrooman, Henri A.; Uitterlinden, Andre G.; Hofman, Albert; van Duijn, Cornelia M.; van der Lugt, Aad; Niessen, Wiro J.; Vernooij, Meike W.; Ikram, M. Arfan</v>
      </c>
      <c r="D2" s="73" t="s">
        <v>1537</v>
      </c>
      <c r="E2" s="53"/>
      <c r="F2" s="53"/>
      <c r="G2" s="53"/>
      <c r="H2" s="53"/>
      <c r="I2" s="53" t="s">
        <v>1382</v>
      </c>
      <c r="J2" s="53"/>
      <c r="K2" s="53"/>
      <c r="L2" s="53"/>
      <c r="M2" s="53"/>
    </row>
    <row r="3" spans="1:13" ht="44.75" customHeight="1" x14ac:dyDescent="0.2">
      <c r="A3" s="34" t="s">
        <v>1322</v>
      </c>
      <c r="B3" s="33" t="str">
        <f ca="1">INDIRECT("main!"&amp;"D"&amp;B$1+2)</f>
        <v>TMEM106B Influences Volume of Left-Sided Temporal Lobe and Interhemispheric Structures in the General Population</v>
      </c>
      <c r="D3" s="53" t="s">
        <v>1395</v>
      </c>
      <c r="E3" s="53" t="s">
        <v>1366</v>
      </c>
      <c r="F3" s="53" t="s">
        <v>1367</v>
      </c>
      <c r="G3" s="53" t="s">
        <v>1368</v>
      </c>
      <c r="H3" s="54" t="s">
        <v>0</v>
      </c>
      <c r="I3" t="s">
        <v>1369</v>
      </c>
      <c r="J3" t="s">
        <v>1370</v>
      </c>
      <c r="K3" s="53" t="s">
        <v>1371</v>
      </c>
      <c r="L3" s="54" t="s">
        <v>1372</v>
      </c>
      <c r="M3" s="54" t="s">
        <v>1373</v>
      </c>
    </row>
    <row r="4" spans="1:13" x14ac:dyDescent="0.2">
      <c r="A4" s="34" t="s">
        <v>1324</v>
      </c>
      <c r="B4" s="33" t="str">
        <f ca="1">INDIRECT("main!"&amp;"J"&amp;B$1+2)</f>
        <v>10.1016/j.biopsych.2014.03.006</v>
      </c>
      <c r="D4" s="54" t="s">
        <v>1305</v>
      </c>
      <c r="E4" s="55">
        <v>0</v>
      </c>
      <c r="F4" s="55"/>
      <c r="G4" s="55"/>
      <c r="H4" s="55">
        <v>1546</v>
      </c>
      <c r="I4">
        <f>H4*F4</f>
        <v>0</v>
      </c>
      <c r="J4">
        <f>(H4*(H4-1)*G4^2+I4^2)/H4</f>
        <v>0</v>
      </c>
      <c r="K4" s="53">
        <f>E4*I4</f>
        <v>0</v>
      </c>
      <c r="L4" s="53">
        <f>E4*H4</f>
        <v>0</v>
      </c>
      <c r="M4" s="53">
        <f>E4^2*H4</f>
        <v>0</v>
      </c>
    </row>
    <row r="5" spans="1:13" ht="43.5" customHeight="1" x14ac:dyDescent="0.2">
      <c r="A5" s="34" t="s">
        <v>1327</v>
      </c>
      <c r="B5" s="33" t="str">
        <f ca="1">INDIRECT("main!"&amp;"M"&amp;B$1+2)</f>
        <v>From Rotterdam study: Healthy nondemented stroke-free, aged over 45, mean age = 64.7 (SD=10.9)(European)</v>
      </c>
      <c r="D5" s="54" t="s">
        <v>1437</v>
      </c>
      <c r="E5" s="55">
        <v>1</v>
      </c>
      <c r="F5" s="55"/>
      <c r="G5" s="55"/>
      <c r="H5" s="55">
        <v>2099</v>
      </c>
      <c r="I5">
        <f t="shared" ref="I5" si="0">H5*F5</f>
        <v>0</v>
      </c>
      <c r="J5">
        <f t="shared" ref="J5" si="1">(H5*(H5-1)*G5^2+I5^2)/H5</f>
        <v>0</v>
      </c>
      <c r="K5" s="53">
        <f t="shared" ref="K5" si="2">E5*I5</f>
        <v>0</v>
      </c>
      <c r="L5" s="53">
        <f t="shared" ref="L5" si="3">E5*H5</f>
        <v>2099</v>
      </c>
      <c r="M5" s="53">
        <f t="shared" ref="M5" si="4">E5^2*H5</f>
        <v>2099</v>
      </c>
    </row>
    <row r="6" spans="1:13" x14ac:dyDescent="0.2">
      <c r="A6" s="34" t="s">
        <v>1333</v>
      </c>
      <c r="B6" s="33" t="str">
        <f ca="1">INDIRECT("main!"&amp;"L"&amp;B$1+2)</f>
        <v>N = 4413</v>
      </c>
      <c r="D6" s="54" t="s">
        <v>1308</v>
      </c>
      <c r="E6" s="55">
        <v>2</v>
      </c>
      <c r="F6" s="55"/>
      <c r="G6" s="55"/>
      <c r="H6" s="55">
        <v>779</v>
      </c>
      <c r="I6" s="55"/>
      <c r="J6" s="55"/>
      <c r="K6" s="55"/>
      <c r="L6" s="55"/>
      <c r="M6" s="55"/>
    </row>
    <row r="7" spans="1:13" x14ac:dyDescent="0.2">
      <c r="A7" s="34" t="s">
        <v>1903</v>
      </c>
      <c r="B7" s="33">
        <v>1</v>
      </c>
      <c r="D7" s="54"/>
      <c r="E7" s="55"/>
      <c r="F7" s="55"/>
      <c r="G7" s="55"/>
      <c r="H7" s="55"/>
      <c r="I7" s="55"/>
      <c r="J7" s="55"/>
      <c r="K7" s="55"/>
      <c r="L7" s="55"/>
      <c r="M7" s="55"/>
    </row>
    <row r="8" spans="1:13" x14ac:dyDescent="0.2">
      <c r="A8" s="34" t="s">
        <v>343</v>
      </c>
      <c r="B8" s="33" t="str">
        <f ca="1">INDIRECT("main!"&amp;"q"&amp;B$1+2)</f>
        <v>TMEM106B</v>
      </c>
      <c r="D8" s="54"/>
      <c r="E8" s="55" t="s">
        <v>1374</v>
      </c>
      <c r="F8" s="55"/>
      <c r="G8" s="55"/>
      <c r="H8" s="55">
        <f>SUM(H4:H6)</f>
        <v>4424</v>
      </c>
      <c r="I8" s="55">
        <f>SUM(I4:I6)</f>
        <v>0</v>
      </c>
      <c r="J8" s="55">
        <f t="shared" ref="J8:M8" si="5">SUM(J4:J6)</f>
        <v>0</v>
      </c>
      <c r="K8" s="55">
        <f t="shared" si="5"/>
        <v>0</v>
      </c>
      <c r="L8" s="55">
        <f t="shared" si="5"/>
        <v>2099</v>
      </c>
      <c r="M8" s="55">
        <f t="shared" si="5"/>
        <v>2099</v>
      </c>
    </row>
    <row r="9" spans="1:13" ht="20.5" customHeight="1" x14ac:dyDescent="0.2">
      <c r="A9" s="34" t="s">
        <v>1329</v>
      </c>
      <c r="B9" s="33" t="str">
        <f ca="1">INDIRECT("main!"&amp;"r"&amp;B$1+2)</f>
        <v>rs1990622</v>
      </c>
      <c r="D9" s="53"/>
      <c r="E9" s="55"/>
      <c r="F9" s="55"/>
      <c r="G9" s="55"/>
      <c r="H9" s="55"/>
      <c r="I9" s="55"/>
      <c r="J9" s="55"/>
      <c r="K9" s="53"/>
      <c r="L9" s="53"/>
      <c r="M9" s="53"/>
    </row>
    <row r="10" spans="1:13" ht="30.5" customHeight="1" x14ac:dyDescent="0.2">
      <c r="A10" s="34" t="s">
        <v>1323</v>
      </c>
      <c r="B10" s="33" t="str">
        <f ca="1">INDIRECT("main!"&amp;"O"&amp;B$1+2)</f>
        <v>MRI: regional brain volumes; 150 brain structures and six commissural tracts</v>
      </c>
      <c r="D10" s="53"/>
      <c r="E10" s="55"/>
      <c r="F10" s="55"/>
      <c r="G10" s="55"/>
      <c r="H10" s="55"/>
      <c r="I10" s="55"/>
      <c r="J10" s="55"/>
      <c r="K10" s="53"/>
      <c r="L10" s="53"/>
      <c r="M10" s="53"/>
    </row>
    <row r="11" spans="1:13" ht="30.25" customHeight="1" x14ac:dyDescent="0.2">
      <c r="A11" s="34" t="s">
        <v>1396</v>
      </c>
      <c r="B11" s="33" t="str">
        <f ca="1">INDIRECT("main!"&amp;"W"&amp;B$1+2)</f>
        <v>Multiple linear regression models, with age and sex as covariates, to examine associations between rs1990622 and  left and right volume of  75 cortical regions and CC and AC commissural tracts</v>
      </c>
      <c r="D11" s="53"/>
      <c r="E11" s="69"/>
      <c r="F11" s="69"/>
      <c r="G11" s="55"/>
      <c r="H11" s="55"/>
      <c r="I11" s="55"/>
      <c r="J11" s="55"/>
      <c r="K11" s="53"/>
      <c r="L11" s="53"/>
      <c r="M11" s="53"/>
    </row>
    <row r="12" spans="1:13" ht="29.75" customHeight="1" x14ac:dyDescent="0.2">
      <c r="A12" s="34" t="s">
        <v>1898</v>
      </c>
      <c r="B12" s="33" t="s">
        <v>1505</v>
      </c>
      <c r="D12" s="53"/>
      <c r="E12" s="70" t="s">
        <v>1378</v>
      </c>
      <c r="F12" s="69">
        <f>SQRT(F13)</f>
        <v>5.3851648071345036E-2</v>
      </c>
      <c r="G12" s="53"/>
      <c r="H12" s="53"/>
      <c r="I12" s="53"/>
      <c r="J12" s="53"/>
      <c r="K12" s="53"/>
      <c r="L12" s="53"/>
      <c r="M12" s="53"/>
    </row>
    <row r="13" spans="1:13" ht="55.25" customHeight="1" x14ac:dyDescent="0.2">
      <c r="A13" s="34" t="s">
        <v>1326</v>
      </c>
      <c r="B13" s="33" t="s">
        <v>1502</v>
      </c>
      <c r="D13" s="53"/>
      <c r="E13" s="56" t="s">
        <v>1379</v>
      </c>
      <c r="F13" s="53">
        <v>2.8999999999999998E-3</v>
      </c>
      <c r="G13" s="53"/>
      <c r="H13" s="53"/>
      <c r="I13" s="53"/>
      <c r="J13" s="53"/>
      <c r="K13" s="53"/>
      <c r="L13" s="53"/>
      <c r="M13" s="53"/>
    </row>
    <row r="14" spans="1:13" x14ac:dyDescent="0.2">
      <c r="A14" s="34" t="s">
        <v>1852</v>
      </c>
      <c r="B14" s="33" t="str">
        <f>D4&amp;" (N = "&amp;H4&amp;"); "&amp;D5&amp;" (N = "&amp;H5&amp;"); "&amp;D6&amp;" (N = "&amp;H6&amp;")"</f>
        <v>AA (N = 1546); AG (N = 2099); GG (N = 779)</v>
      </c>
      <c r="E14" s="53"/>
      <c r="F14" s="53"/>
      <c r="G14" s="53"/>
      <c r="H14" s="53"/>
      <c r="I14" s="53"/>
      <c r="J14" s="53"/>
      <c r="K14" s="53"/>
      <c r="L14" s="53"/>
      <c r="M14" s="53"/>
    </row>
    <row r="15" spans="1:13" x14ac:dyDescent="0.2">
      <c r="A15" s="34" t="s">
        <v>1848</v>
      </c>
      <c r="B15" s="62">
        <f>ABS(F12)</f>
        <v>5.3851648071345036E-2</v>
      </c>
      <c r="D15" s="58" t="s">
        <v>2113</v>
      </c>
      <c r="E15" s="58"/>
      <c r="F15" s="58"/>
    </row>
    <row r="16" spans="1:13" x14ac:dyDescent="0.2">
      <c r="A16" s="34" t="s">
        <v>1899</v>
      </c>
      <c r="B16" s="62" t="s">
        <v>2112</v>
      </c>
      <c r="D16" s="58"/>
      <c r="E16" s="58"/>
      <c r="F16" s="58"/>
    </row>
    <row r="17" spans="1:6" ht="16" x14ac:dyDescent="0.2">
      <c r="A17" s="204" t="s">
        <v>2189</v>
      </c>
      <c r="B17" s="33">
        <v>4.2000000000000003E-2</v>
      </c>
      <c r="D17" t="s">
        <v>1439</v>
      </c>
      <c r="E17" t="s">
        <v>1440</v>
      </c>
      <c r="F17" t="s">
        <v>1378</v>
      </c>
    </row>
    <row r="18" spans="1:6" x14ac:dyDescent="0.2">
      <c r="A18" s="64" t="s">
        <v>1401</v>
      </c>
      <c r="B18" s="33">
        <v>0.999</v>
      </c>
      <c r="D18">
        <v>7.64E-5</v>
      </c>
      <c r="E18">
        <f>TINV(D18,H8-2)</f>
        <v>3.9591463522818233</v>
      </c>
      <c r="F18">
        <f>SQRT(E18^2/(E18^2+H8))</f>
        <v>5.9419086967224102E-2</v>
      </c>
    </row>
    <row r="19" spans="1:6" x14ac:dyDescent="0.2">
      <c r="A19" s="64" t="s">
        <v>1346</v>
      </c>
      <c r="B19" s="33" t="s">
        <v>1506</v>
      </c>
    </row>
    <row r="20" spans="1:6" ht="32" x14ac:dyDescent="0.2">
      <c r="A20" s="64" t="s">
        <v>1388</v>
      </c>
      <c r="B20" s="33" t="s">
        <v>1504</v>
      </c>
      <c r="D20" s="58"/>
    </row>
    <row r="21" spans="1:6" ht="59.25" customHeight="1" x14ac:dyDescent="0.2">
      <c r="A21" s="33" t="s">
        <v>1390</v>
      </c>
      <c r="B21" s="33" t="s">
        <v>1501</v>
      </c>
      <c r="D21" s="236" t="s">
        <v>2415</v>
      </c>
      <c r="E21" s="236" t="s">
        <v>2416</v>
      </c>
    </row>
    <row r="22" spans="1:6" x14ac:dyDescent="0.2">
      <c r="A22" s="34" t="s">
        <v>1387</v>
      </c>
      <c r="D22" s="236">
        <v>4413</v>
      </c>
      <c r="E22" s="236">
        <v>0</v>
      </c>
    </row>
    <row r="23" spans="1:6" x14ac:dyDescent="0.2">
      <c r="A23" s="34" t="s">
        <v>1426</v>
      </c>
      <c r="B23" s="65"/>
    </row>
    <row r="24" spans="1:6" s="140" customFormat="1" x14ac:dyDescent="0.2">
      <c r="A24" s="138" t="s">
        <v>1746</v>
      </c>
      <c r="B24" s="139"/>
    </row>
    <row r="25" spans="1:6" s="136" customFormat="1" ht="30" x14ac:dyDescent="0.2">
      <c r="A25" s="137" t="s">
        <v>1753</v>
      </c>
      <c r="B25" s="137" t="s">
        <v>885</v>
      </c>
    </row>
    <row r="26" spans="1:6" s="136" customFormat="1" x14ac:dyDescent="0.2">
      <c r="A26" s="137" t="s">
        <v>1681</v>
      </c>
      <c r="B26" s="137">
        <f ca="1">INDIRECT("N_SNPs!"&amp;"L"&amp;B$1+2)</f>
        <v>0</v>
      </c>
    </row>
    <row r="27" spans="1:6" s="136" customFormat="1" x14ac:dyDescent="0.2">
      <c r="A27" s="137" t="s">
        <v>1747</v>
      </c>
      <c r="B27" s="137">
        <f ca="1">INDIRECT("N_SNPs!"&amp;"M"&amp;B$1+2)</f>
        <v>1</v>
      </c>
    </row>
    <row r="28" spans="1:6" s="136" customFormat="1" x14ac:dyDescent="0.2">
      <c r="A28" s="137" t="s">
        <v>1683</v>
      </c>
      <c r="B28" s="137" t="str">
        <f ca="1">INDIRECT("N_SNPs!"&amp;"N"&amp;B$1+2)</f>
        <v>not needed</v>
      </c>
    </row>
    <row r="29" spans="1:6" s="136" customFormat="1" x14ac:dyDescent="0.2">
      <c r="A29" s="137" t="s">
        <v>2171</v>
      </c>
      <c r="B29" s="137">
        <f ca="1">INDIRECT("N_SNPs!"&amp;"O"&amp;B$1+2)</f>
        <v>1</v>
      </c>
    </row>
    <row r="30" spans="1:6" s="136" customFormat="1" ht="30" x14ac:dyDescent="0.2">
      <c r="A30" s="137" t="s">
        <v>2170</v>
      </c>
      <c r="B30" s="137">
        <v>0</v>
      </c>
    </row>
    <row r="31" spans="1:6" s="136" customFormat="1" ht="60" x14ac:dyDescent="0.2">
      <c r="A31" s="137" t="s">
        <v>2172</v>
      </c>
      <c r="B31" s="137">
        <f ca="1">INDIRECT("N_SNPs!"&amp;"Q"&amp;B$1+2)</f>
        <v>5</v>
      </c>
    </row>
    <row r="32" spans="1:6" s="136" customFormat="1" x14ac:dyDescent="0.2">
      <c r="A32" s="137" t="s">
        <v>1686</v>
      </c>
      <c r="B32" s="137">
        <f ca="1">INDIRECT("N_SNPs!"&amp;"R"&amp;B$1+2)</f>
        <v>0</v>
      </c>
    </row>
    <row r="33" spans="1:3" s="172" customFormat="1" x14ac:dyDescent="0.2">
      <c r="A33" s="171" t="s">
        <v>1808</v>
      </c>
      <c r="B33" s="171">
        <v>1</v>
      </c>
    </row>
    <row r="34" spans="1:3" s="172" customFormat="1" x14ac:dyDescent="0.2">
      <c r="A34" s="203" t="s">
        <v>2177</v>
      </c>
      <c r="B34" s="171">
        <v>0</v>
      </c>
    </row>
    <row r="35" spans="1:3" s="172" customFormat="1" ht="60" x14ac:dyDescent="0.2">
      <c r="A35" s="171" t="s">
        <v>1810</v>
      </c>
      <c r="B35" s="171">
        <v>5</v>
      </c>
    </row>
    <row r="36" spans="1:3" s="174" customFormat="1" ht="30" x14ac:dyDescent="0.2">
      <c r="A36" s="173" t="s">
        <v>1835</v>
      </c>
      <c r="B36" s="198" t="s">
        <v>1844</v>
      </c>
      <c r="C36" s="174" t="s">
        <v>2424</v>
      </c>
    </row>
    <row r="37" spans="1:3" s="174" customFormat="1" ht="30" x14ac:dyDescent="0.2">
      <c r="A37" s="173" t="s">
        <v>2272</v>
      </c>
      <c r="B37" s="198" t="s">
        <v>2110</v>
      </c>
    </row>
    <row r="38" spans="1:3" s="174" customFormat="1" ht="30" x14ac:dyDescent="0.2">
      <c r="A38" s="173" t="s">
        <v>2299</v>
      </c>
      <c r="B38" s="173">
        <v>0</v>
      </c>
    </row>
    <row r="39" spans="1:3" s="174" customFormat="1" x14ac:dyDescent="0.2">
      <c r="A39" s="173" t="s">
        <v>2273</v>
      </c>
      <c r="B39" s="173">
        <v>156</v>
      </c>
    </row>
    <row r="40" spans="1:3" s="174" customFormat="1" ht="30" x14ac:dyDescent="0.2">
      <c r="A40" s="173" t="s">
        <v>2274</v>
      </c>
      <c r="B40" s="180">
        <v>2</v>
      </c>
    </row>
    <row r="41" spans="1:3" s="176" customFormat="1" x14ac:dyDescent="0.2">
      <c r="A41" s="175" t="s">
        <v>1815</v>
      </c>
      <c r="B41" s="7" t="s">
        <v>2298</v>
      </c>
    </row>
    <row r="42" spans="1:3" s="176" customFormat="1" x14ac:dyDescent="0.2">
      <c r="A42" s="175" t="s">
        <v>1881</v>
      </c>
      <c r="B42" s="7" t="s">
        <v>2111</v>
      </c>
    </row>
    <row r="43" spans="1:3" x14ac:dyDescent="0.2">
      <c r="A43" s="34" t="s">
        <v>1398</v>
      </c>
      <c r="B43" s="65"/>
    </row>
    <row r="44" spans="1:3" x14ac:dyDescent="0.2">
      <c r="A44" s="34" t="s">
        <v>1410</v>
      </c>
    </row>
    <row r="45" spans="1:3" x14ac:dyDescent="0.2">
      <c r="A45" s="34" t="s">
        <v>2385</v>
      </c>
      <c r="B45" s="33">
        <v>0</v>
      </c>
    </row>
    <row r="46" spans="1:3" x14ac:dyDescent="0.2">
      <c r="A46" s="34" t="s">
        <v>1416</v>
      </c>
      <c r="B46" s="66" t="s">
        <v>1479</v>
      </c>
    </row>
    <row r="48" spans="1:3" x14ac:dyDescent="0.2">
      <c r="A48" s="34" t="s">
        <v>1490</v>
      </c>
      <c r="B48" s="66">
        <v>42667</v>
      </c>
    </row>
    <row r="49" spans="2:2" ht="45" x14ac:dyDescent="0.2">
      <c r="B49" s="33" t="s">
        <v>1772</v>
      </c>
    </row>
    <row r="50" spans="2:2" ht="30" x14ac:dyDescent="0.2">
      <c r="B50" s="33" t="s">
        <v>1857</v>
      </c>
    </row>
    <row r="51" spans="2:2" x14ac:dyDescent="0.2">
      <c r="B51" s="33" t="s">
        <v>1773</v>
      </c>
    </row>
    <row r="52" spans="2:2" ht="59.25" customHeight="1" x14ac:dyDescent="0.2">
      <c r="B52" s="65" t="s">
        <v>1775</v>
      </c>
    </row>
    <row r="53" spans="2:2" ht="30" x14ac:dyDescent="0.2">
      <c r="B53" s="33" t="s">
        <v>1774</v>
      </c>
    </row>
    <row r="54" spans="2:2" ht="45" x14ac:dyDescent="0.2">
      <c r="B54" s="33" t="s">
        <v>1776</v>
      </c>
    </row>
  </sheetData>
  <hyperlinks>
    <hyperlink ref="B13" r:id="rId1" display="http://topics.sciencedirect.com/topics/page/Superior_temporal_gyrus"/>
  </hyperlinks>
  <pageMargins left="0.7" right="0.7" top="0.75" bottom="0.75" header="0.3" footer="0.3"/>
  <pageSetup paperSize="9" orientation="portrait" r:id="rId2"/>
  <drawing r:id="rId3"/>
  <legacyDrawing r:id="rId4"/>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50"/>
  </sheetPr>
  <dimension ref="A1:AC53"/>
  <sheetViews>
    <sheetView zoomScale="110" zoomScaleNormal="110" zoomScalePageLayoutView="110" workbookViewId="0">
      <pane xSplit="1" ySplit="1" topLeftCell="B34"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4" max="4" width="17.6640625" customWidth="1"/>
    <col min="5" max="5" width="9.83203125" customWidth="1"/>
    <col min="6" max="6" width="7.5" customWidth="1"/>
    <col min="7" max="7" width="8.5" customWidth="1"/>
    <col min="8" max="8" width="9.5" bestFit="1" customWidth="1"/>
    <col min="21" max="21" width="9.33203125" bestFit="1" customWidth="1"/>
  </cols>
  <sheetData>
    <row r="1" spans="1:29" s="58" customFormat="1" x14ac:dyDescent="0.2">
      <c r="A1" s="63" t="s">
        <v>1360</v>
      </c>
      <c r="B1" s="57">
        <v>14</v>
      </c>
      <c r="D1" s="52" t="s">
        <v>1851</v>
      </c>
      <c r="E1" s="52"/>
      <c r="F1" s="52"/>
      <c r="G1" s="52"/>
      <c r="H1" s="52"/>
      <c r="I1" s="52"/>
      <c r="J1" s="52"/>
      <c r="K1" s="52"/>
      <c r="L1" s="52"/>
      <c r="M1" s="52"/>
    </row>
    <row r="2" spans="1:29" ht="88.5" customHeight="1" x14ac:dyDescent="0.2">
      <c r="A2" s="34" t="s">
        <v>1321</v>
      </c>
      <c r="B2" s="33" t="str">
        <f ca="1">INDIRECT("main!"&amp;"C"&amp;B$1+2)</f>
        <v>Erk, Susanne; Meyer-Lindenberg, Andreas; Schmierer, Phoebe; Mohnke, Sebastian; Grimm, Oliver; Garbusow, Maria; Haddad, Leila; Poehland, Lydia; Muehleisen, Thomas W.; Witt, Stephanie H.; Tost, Heike; Kirsch, Peter; Romanczuk-Seiferth, Nina; Schott, Bjoern H.; Cichon, Sven; Noethen, Markus M.; Rietschel, Marcella; Heinz, Andreas; Walter, Henrik</v>
      </c>
      <c r="D2" s="73" t="s">
        <v>1537</v>
      </c>
      <c r="E2" s="53"/>
      <c r="F2" s="53"/>
      <c r="G2" s="53"/>
      <c r="H2" s="53"/>
      <c r="I2" s="53" t="s">
        <v>1382</v>
      </c>
      <c r="J2" s="53"/>
      <c r="K2" s="53"/>
      <c r="L2" s="53"/>
      <c r="M2" s="53"/>
    </row>
    <row r="3" spans="1:29" ht="44.75" customHeight="1" x14ac:dyDescent="0.2">
      <c r="A3" s="34" t="s">
        <v>1322</v>
      </c>
      <c r="B3" s="33" t="str">
        <f ca="1">INDIRECT("main!"&amp;"D"&amp;B$1+2)</f>
        <v>Hippocampal and Frontolimbic Function as Intermediate Phenotype for Psychosis: Evidence from Healthy Relatives and a Common Risk Variant in CACNA1C</v>
      </c>
      <c r="D3" s="53" t="s">
        <v>1395</v>
      </c>
      <c r="E3" s="53" t="s">
        <v>1366</v>
      </c>
      <c r="F3" s="53" t="s">
        <v>1367</v>
      </c>
      <c r="G3" t="s">
        <v>1368</v>
      </c>
      <c r="H3" s="54" t="s">
        <v>0</v>
      </c>
      <c r="I3" t="s">
        <v>1369</v>
      </c>
      <c r="J3" t="s">
        <v>1370</v>
      </c>
      <c r="K3" s="53" t="s">
        <v>1371</v>
      </c>
      <c r="L3" s="54" t="s">
        <v>1372</v>
      </c>
      <c r="M3" s="54" t="s">
        <v>1373</v>
      </c>
      <c r="O3" s="170" t="s">
        <v>1797</v>
      </c>
      <c r="S3" s="53"/>
    </row>
    <row r="4" spans="1:29" x14ac:dyDescent="0.2">
      <c r="A4" s="34" t="s">
        <v>1324</v>
      </c>
      <c r="B4" s="33" t="str">
        <f ca="1">INDIRECT("main!"&amp;"J"&amp;B$1+2)</f>
        <v>10.1016/j.biopsych.2013.11.025</v>
      </c>
      <c r="D4" s="54" t="s">
        <v>1308</v>
      </c>
      <c r="E4" s="55">
        <v>0</v>
      </c>
      <c r="F4" s="72">
        <v>11.363636363636401</v>
      </c>
      <c r="G4" s="72">
        <v>34.878774715001697</v>
      </c>
      <c r="H4">
        <v>92</v>
      </c>
      <c r="I4">
        <f>H4*F4</f>
        <v>1045.4545454545489</v>
      </c>
      <c r="J4">
        <f>(H4*(H4-1)*G4^2+I4^2)/H4</f>
        <v>122584.29752066187</v>
      </c>
      <c r="K4" s="53">
        <f>E4*I4</f>
        <v>0</v>
      </c>
      <c r="L4" s="53">
        <f>E4*H4</f>
        <v>0</v>
      </c>
      <c r="M4" s="53">
        <f>E4^2*H4</f>
        <v>0</v>
      </c>
      <c r="O4" s="169">
        <v>9.3000000000000007</v>
      </c>
      <c r="S4" s="55"/>
      <c r="T4" s="55"/>
    </row>
    <row r="5" spans="1:29" ht="77" customHeight="1" x14ac:dyDescent="0.2">
      <c r="A5" s="34" t="s">
        <v>1327</v>
      </c>
      <c r="B5" s="33" t="str">
        <f ca="1">INDIRECT("main!"&amp;"M"&amp;B$1+2)</f>
        <v>188 Healthy first degree relatives (patients BP n=59, MD n=73, SZ n=56); also analyses 110 healthy volunteers from earlier study by Erk S, et al. (2010). Latter group referred to as 'Discovery sample' and 'control sample'</v>
      </c>
      <c r="D5" s="54" t="s">
        <v>1498</v>
      </c>
      <c r="E5" s="55">
        <v>1</v>
      </c>
      <c r="F5">
        <v>-10.909090909090899</v>
      </c>
      <c r="G5">
        <v>28.7973469278447</v>
      </c>
      <c r="H5">
        <v>95</v>
      </c>
      <c r="I5">
        <f t="shared" ref="I5" si="0">H5*F5</f>
        <v>-1036.3636363636354</v>
      </c>
      <c r="J5">
        <f>(H5*(H5-1)*G5^2+I5^2)/H5</f>
        <v>89258.780991735708</v>
      </c>
      <c r="K5" s="53">
        <f t="shared" ref="K5" si="1">E5*I5</f>
        <v>-1036.3636363636354</v>
      </c>
      <c r="L5" s="53">
        <f t="shared" ref="L5" si="2">E5*H5</f>
        <v>95</v>
      </c>
      <c r="M5" s="53">
        <f t="shared" ref="M5" si="3">E5^2*H5</f>
        <v>95</v>
      </c>
      <c r="O5" s="169">
        <v>9.6999999999999993</v>
      </c>
      <c r="S5" s="55"/>
      <c r="T5" s="55"/>
    </row>
    <row r="6" spans="1:29" x14ac:dyDescent="0.2">
      <c r="A6" s="34" t="s">
        <v>1333</v>
      </c>
      <c r="B6" s="33">
        <f ca="1">INDIRECT("main!"&amp;"L"&amp;B$1+2)</f>
        <v>188</v>
      </c>
      <c r="D6" s="54"/>
      <c r="E6" s="55"/>
      <c r="F6" s="55"/>
      <c r="G6" s="55"/>
      <c r="H6" s="55"/>
      <c r="I6" s="55"/>
      <c r="J6" s="55"/>
      <c r="K6" s="55"/>
      <c r="L6" s="55"/>
      <c r="M6" s="55"/>
      <c r="O6" s="169"/>
    </row>
    <row r="7" spans="1:29" x14ac:dyDescent="0.2">
      <c r="A7" s="34" t="s">
        <v>1903</v>
      </c>
      <c r="B7" s="33">
        <v>3</v>
      </c>
      <c r="C7" t="s">
        <v>2091</v>
      </c>
      <c r="D7" s="54"/>
      <c r="E7" s="55"/>
      <c r="F7" s="55"/>
      <c r="G7" s="55"/>
      <c r="H7" s="55"/>
      <c r="I7" s="55"/>
      <c r="J7" s="55"/>
      <c r="K7" s="55"/>
      <c r="L7" s="55"/>
      <c r="M7" s="55"/>
      <c r="O7" s="169"/>
    </row>
    <row r="8" spans="1:29" x14ac:dyDescent="0.2">
      <c r="A8" s="34" t="s">
        <v>343</v>
      </c>
      <c r="B8" s="33" t="str">
        <f ca="1">INDIRECT("main!"&amp;"q"&amp;B$1+2)</f>
        <v>CACNA1C</v>
      </c>
      <c r="D8" s="54"/>
      <c r="E8" s="55" t="s">
        <v>1374</v>
      </c>
      <c r="F8" s="55"/>
      <c r="G8" s="55"/>
      <c r="H8" s="55">
        <f>SUM(H4:H6)</f>
        <v>187</v>
      </c>
      <c r="I8" s="55">
        <f>SUM(I4:I6)</f>
        <v>9.0909090909135557</v>
      </c>
      <c r="J8" s="55">
        <f t="shared" ref="J8:M8" si="4">SUM(J4:J6)</f>
        <v>211843.07851239759</v>
      </c>
      <c r="K8" s="55">
        <f t="shared" si="4"/>
        <v>-1036.3636363636354</v>
      </c>
      <c r="L8" s="55">
        <f t="shared" si="4"/>
        <v>95</v>
      </c>
      <c r="M8" s="55">
        <f t="shared" si="4"/>
        <v>95</v>
      </c>
    </row>
    <row r="9" spans="1:29" ht="20.5" customHeight="1" x14ac:dyDescent="0.2">
      <c r="A9" s="34" t="s">
        <v>1329</v>
      </c>
      <c r="B9" s="33" t="str">
        <f ca="1">INDIRECT("main!"&amp;"r"&amp;B$1+2)</f>
        <v>rs1006737</v>
      </c>
      <c r="D9" s="53"/>
      <c r="E9" s="55"/>
      <c r="F9" s="55"/>
      <c r="G9" s="55"/>
      <c r="H9" s="55"/>
      <c r="I9" s="55"/>
      <c r="J9" s="55"/>
      <c r="K9" s="53"/>
      <c r="L9" s="53"/>
      <c r="M9" s="53"/>
    </row>
    <row r="10" spans="1:29" ht="54" customHeight="1" x14ac:dyDescent="0.2">
      <c r="A10" s="34" t="s">
        <v>1323</v>
      </c>
      <c r="B10" s="33" t="str">
        <f ca="1">INDIRECT("main!"&amp;"O"&amp;B$1+2)</f>
        <v>fMRI during episodic memory task; psychological testing. At least 9 measures from psych testing but unclear if tested for association</v>
      </c>
      <c r="D10" s="53" t="s">
        <v>1406</v>
      </c>
      <c r="E10" s="55"/>
      <c r="F10" s="55"/>
      <c r="G10" s="55"/>
      <c r="H10" s="55"/>
      <c r="I10" s="55"/>
      <c r="J10" s="55"/>
      <c r="K10" s="53"/>
      <c r="L10" s="53"/>
      <c r="M10" s="53"/>
      <c r="X10" t="s">
        <v>2105</v>
      </c>
    </row>
    <row r="11" spans="1:29" ht="36" customHeight="1" x14ac:dyDescent="0.2">
      <c r="A11" s="34" t="s">
        <v>1396</v>
      </c>
      <c r="B11" s="33" t="str">
        <f ca="1">INDIRECT("main!"&amp;"W"&amp;B$1+2)</f>
        <v>ANOVAs; general linear model; random effects analysis</v>
      </c>
      <c r="D11" s="53" t="s">
        <v>1376</v>
      </c>
      <c r="E11" s="69" t="s">
        <v>1377</v>
      </c>
      <c r="F11" s="69">
        <f>(H8*K8-L8*I8)/(H8*M8-L8^2)</f>
        <v>-22.272727272727298</v>
      </c>
      <c r="G11" s="55"/>
      <c r="H11" s="55"/>
      <c r="I11" s="55"/>
      <c r="J11" s="55"/>
      <c r="K11" s="53"/>
      <c r="L11" s="53"/>
      <c r="M11" s="53"/>
      <c r="P11" t="s">
        <v>2092</v>
      </c>
      <c r="Y11" t="s">
        <v>0</v>
      </c>
      <c r="Z11" t="s">
        <v>1367</v>
      </c>
      <c r="AA11" t="s">
        <v>2093</v>
      </c>
      <c r="AB11" t="s">
        <v>2094</v>
      </c>
      <c r="AC11" t="s">
        <v>2100</v>
      </c>
    </row>
    <row r="12" spans="1:29" ht="39.25" customHeight="1" x14ac:dyDescent="0.2">
      <c r="A12" s="34" t="s">
        <v>1896</v>
      </c>
      <c r="B12" s="33" t="s">
        <v>2108</v>
      </c>
      <c r="D12" s="53"/>
      <c r="E12" s="70" t="s">
        <v>1378</v>
      </c>
      <c r="F12" s="69">
        <f>(H8*K8-L8*I8)/SQRT((H8*M8-L8^2)*(H8*J8-I8^2))</f>
        <v>-0.33082751730192467</v>
      </c>
      <c r="G12" s="53"/>
      <c r="H12" s="53"/>
      <c r="I12" s="53"/>
      <c r="J12" s="53"/>
      <c r="K12" s="53"/>
      <c r="L12" s="53"/>
      <c r="M12" s="53"/>
      <c r="Q12" t="s">
        <v>0</v>
      </c>
      <c r="R12" t="s">
        <v>1367</v>
      </c>
      <c r="S12" t="s">
        <v>2093</v>
      </c>
      <c r="T12" t="s">
        <v>2094</v>
      </c>
      <c r="U12" t="s">
        <v>2100</v>
      </c>
      <c r="X12" t="s">
        <v>1308</v>
      </c>
      <c r="Y12">
        <v>60</v>
      </c>
      <c r="Z12">
        <v>0.19411764705882401</v>
      </c>
      <c r="AA12">
        <v>7.0588235294117702E-2</v>
      </c>
      <c r="AB12">
        <v>0.54677411946457699</v>
      </c>
      <c r="AC12">
        <f>(Z12-Z13)/AVERAGE(AB12:AB13)</f>
        <v>0.53817540685649035</v>
      </c>
    </row>
    <row r="13" spans="1:29" ht="60" customHeight="1" x14ac:dyDescent="0.2">
      <c r="A13" s="34" t="s">
        <v>1326</v>
      </c>
      <c r="B13" s="33" t="s">
        <v>1499</v>
      </c>
      <c r="D13" s="53"/>
      <c r="E13" s="56" t="s">
        <v>1379</v>
      </c>
      <c r="F13" s="53">
        <f>F12^2</f>
        <v>0.10944684620415526</v>
      </c>
      <c r="G13" s="53"/>
      <c r="H13" s="53"/>
      <c r="I13" s="53"/>
      <c r="J13" s="53"/>
      <c r="K13" s="53"/>
      <c r="L13" s="53"/>
      <c r="M13" s="53"/>
      <c r="O13" t="s">
        <v>2095</v>
      </c>
      <c r="P13" t="s">
        <v>2096</v>
      </c>
      <c r="Q13">
        <v>60</v>
      </c>
      <c r="R13">
        <v>48.636363636363697</v>
      </c>
      <c r="S13">
        <v>2.2727272727272698</v>
      </c>
      <c r="T13">
        <v>17.6044697554882</v>
      </c>
      <c r="U13">
        <f>(R13-R14)/AVERAGE(T13:T14)</f>
        <v>2.2672316909261281</v>
      </c>
      <c r="X13" t="s">
        <v>2104</v>
      </c>
      <c r="Y13">
        <v>50</v>
      </c>
      <c r="Z13">
        <v>-0.10784313725490199</v>
      </c>
      <c r="AA13">
        <v>8.1372549019607804E-2</v>
      </c>
      <c r="AB13">
        <v>0.57539081214199395</v>
      </c>
    </row>
    <row r="14" spans="1:29" x14ac:dyDescent="0.2">
      <c r="A14" s="34" t="s">
        <v>1852</v>
      </c>
      <c r="B14" s="33" t="str">
        <f>D4&amp;" (N = "&amp;H4&amp;"); "&amp;D5&amp;" (N = "&amp;H5&amp;") "</f>
        <v xml:space="preserve">GG (N = 92); AG/AA (N = 95) </v>
      </c>
      <c r="E14" s="53"/>
      <c r="F14" s="53"/>
      <c r="G14" s="53"/>
      <c r="H14" s="53"/>
      <c r="I14" s="53"/>
      <c r="J14" s="53"/>
      <c r="K14" s="53"/>
      <c r="L14" s="53"/>
      <c r="M14" s="53"/>
      <c r="P14" t="s">
        <v>2097</v>
      </c>
      <c r="Q14">
        <v>50</v>
      </c>
      <c r="R14">
        <v>6.8181818181818397</v>
      </c>
      <c r="S14">
        <v>2.7272727272727302</v>
      </c>
      <c r="T14">
        <v>19.2847303959968</v>
      </c>
    </row>
    <row r="15" spans="1:29" x14ac:dyDescent="0.2">
      <c r="A15" s="34" t="s">
        <v>1848</v>
      </c>
      <c r="B15" s="62">
        <f>ABS(F12)</f>
        <v>0.33082751730192467</v>
      </c>
      <c r="D15" s="72"/>
      <c r="E15" s="72"/>
      <c r="F15" s="72"/>
      <c r="G15" s="72"/>
      <c r="P15" t="s">
        <v>2098</v>
      </c>
      <c r="Q15">
        <v>92</v>
      </c>
      <c r="R15">
        <v>18.181818181818201</v>
      </c>
      <c r="S15">
        <v>3.1818181818181701</v>
      </c>
      <c r="T15">
        <v>30.5189278756263</v>
      </c>
      <c r="U15">
        <f t="shared" ref="U15:U19" si="5">(R15-R16)/AVERAGE(T15:T16)</f>
        <v>0.42724442289427766</v>
      </c>
    </row>
    <row r="16" spans="1:29" ht="30" x14ac:dyDescent="0.2">
      <c r="A16" s="34" t="s">
        <v>1897</v>
      </c>
      <c r="B16" s="62" t="s">
        <v>2107</v>
      </c>
      <c r="D16" s="72"/>
      <c r="E16" s="72"/>
      <c r="F16" s="72"/>
      <c r="G16" s="72"/>
      <c r="P16" t="s">
        <v>2106</v>
      </c>
      <c r="Q16">
        <v>95</v>
      </c>
      <c r="R16">
        <v>4.0909090909091201</v>
      </c>
      <c r="S16">
        <v>3.63636363636365</v>
      </c>
      <c r="T16">
        <v>35.442888526578201</v>
      </c>
    </row>
    <row r="17" spans="1:21" ht="16" x14ac:dyDescent="0.2">
      <c r="A17" s="204" t="s">
        <v>2189</v>
      </c>
      <c r="B17" s="33">
        <v>0.20300000000000001</v>
      </c>
      <c r="D17" s="72"/>
      <c r="E17" s="72"/>
      <c r="F17" s="72"/>
      <c r="G17" s="72"/>
      <c r="O17" t="s">
        <v>2099</v>
      </c>
      <c r="P17" t="s">
        <v>2096</v>
      </c>
      <c r="Q17">
        <v>60</v>
      </c>
      <c r="R17">
        <v>55.454545454545503</v>
      </c>
      <c r="S17">
        <v>3.1818181818181901</v>
      </c>
      <c r="T17">
        <v>24.646257657683599</v>
      </c>
      <c r="U17">
        <f t="shared" si="5"/>
        <v>2.1018279422822919</v>
      </c>
    </row>
    <row r="18" spans="1:21" x14ac:dyDescent="0.2">
      <c r="A18" s="64" t="s">
        <v>1401</v>
      </c>
      <c r="B18" s="33">
        <v>0.27600000000000002</v>
      </c>
      <c r="D18" s="72"/>
      <c r="E18" s="72"/>
      <c r="F18" s="72"/>
      <c r="G18" s="72"/>
      <c r="P18" t="s">
        <v>2097</v>
      </c>
      <c r="Q18">
        <v>50</v>
      </c>
      <c r="R18">
        <v>5.9090909090909101</v>
      </c>
      <c r="S18">
        <v>3.1818181818181701</v>
      </c>
      <c r="T18">
        <v>22.498852128662801</v>
      </c>
    </row>
    <row r="19" spans="1:21" s="72" customFormat="1" ht="31" customHeight="1" x14ac:dyDescent="0.2">
      <c r="A19" s="71" t="s">
        <v>1346</v>
      </c>
      <c r="B19" s="65" t="s">
        <v>2109</v>
      </c>
      <c r="P19" t="s">
        <v>2098</v>
      </c>
      <c r="Q19">
        <v>92</v>
      </c>
      <c r="R19" s="72">
        <v>11.363636363636401</v>
      </c>
      <c r="S19" s="72">
        <v>3.63636363636365</v>
      </c>
      <c r="T19" s="72">
        <v>34.878774715001697</v>
      </c>
      <c r="U19">
        <f t="shared" si="5"/>
        <v>0.69956293499321498</v>
      </c>
    </row>
    <row r="20" spans="1:21" ht="45" x14ac:dyDescent="0.2">
      <c r="A20" s="64" t="s">
        <v>1388</v>
      </c>
      <c r="B20" s="221" t="s">
        <v>2266</v>
      </c>
      <c r="D20" s="72"/>
      <c r="E20" s="72"/>
      <c r="F20" s="72"/>
      <c r="G20" s="72"/>
      <c r="P20" t="s">
        <v>2106</v>
      </c>
      <c r="Q20">
        <v>95</v>
      </c>
      <c r="R20">
        <v>-10.909090909090899</v>
      </c>
      <c r="S20">
        <v>2.9545454545454599</v>
      </c>
      <c r="T20">
        <v>28.7973469278447</v>
      </c>
    </row>
    <row r="21" spans="1:21" ht="96.75" customHeight="1" x14ac:dyDescent="0.2">
      <c r="A21" s="33" t="s">
        <v>1390</v>
      </c>
      <c r="B21" s="33" t="s">
        <v>1497</v>
      </c>
      <c r="D21" s="236" t="s">
        <v>2415</v>
      </c>
      <c r="E21" s="236" t="s">
        <v>2416</v>
      </c>
    </row>
    <row r="22" spans="1:21" x14ac:dyDescent="0.2">
      <c r="A22" s="34" t="s">
        <v>1387</v>
      </c>
      <c r="B22" s="64" t="s">
        <v>2101</v>
      </c>
      <c r="D22" s="236">
        <v>110</v>
      </c>
      <c r="E22" s="236">
        <v>188</v>
      </c>
    </row>
    <row r="23" spans="1:21" ht="51" customHeight="1" x14ac:dyDescent="0.2">
      <c r="A23" s="34" t="s">
        <v>1426</v>
      </c>
      <c r="B23" s="57" t="s">
        <v>2102</v>
      </c>
    </row>
    <row r="24" spans="1:21" s="140" customFormat="1" ht="51" customHeight="1" x14ac:dyDescent="0.2">
      <c r="A24" s="138" t="s">
        <v>1746</v>
      </c>
      <c r="B24" s="139"/>
    </row>
    <row r="25" spans="1:21" s="136" customFormat="1" ht="30" x14ac:dyDescent="0.2">
      <c r="A25" s="137" t="s">
        <v>1753</v>
      </c>
      <c r="B25" s="137" t="s">
        <v>2259</v>
      </c>
    </row>
    <row r="26" spans="1:21" s="136" customFormat="1" x14ac:dyDescent="0.2">
      <c r="A26" s="137" t="s">
        <v>1681</v>
      </c>
      <c r="B26" s="137">
        <f ca="1">INDIRECT("N_SNPs!"&amp;"L"&amp;B$1+2)</f>
        <v>0</v>
      </c>
    </row>
    <row r="27" spans="1:21" s="136" customFormat="1" x14ac:dyDescent="0.2">
      <c r="A27" s="137" t="s">
        <v>1747</v>
      </c>
      <c r="B27" s="137">
        <f ca="1">INDIRECT("N_SNPs!"&amp;"M"&amp;B$1+2)</f>
        <v>1</v>
      </c>
    </row>
    <row r="28" spans="1:21" s="136" customFormat="1" x14ac:dyDescent="0.2">
      <c r="A28" s="137" t="s">
        <v>1683</v>
      </c>
      <c r="B28" s="137" t="str">
        <f ca="1">INDIRECT("N_SNPs!"&amp;"N"&amp;B$1+2)</f>
        <v>not needed</v>
      </c>
    </row>
    <row r="29" spans="1:21" s="136" customFormat="1" x14ac:dyDescent="0.2">
      <c r="A29" s="137" t="s">
        <v>2171</v>
      </c>
      <c r="B29" s="137">
        <f ca="1">INDIRECT("N_SNPs!"&amp;"O"&amp;B$1+2)</f>
        <v>1</v>
      </c>
    </row>
    <row r="30" spans="1:21" s="136" customFormat="1" ht="30" x14ac:dyDescent="0.2">
      <c r="A30" s="137" t="s">
        <v>2170</v>
      </c>
      <c r="B30" s="137">
        <v>0</v>
      </c>
    </row>
    <row r="31" spans="1:21" s="136" customFormat="1" ht="60" x14ac:dyDescent="0.2">
      <c r="A31" s="137" t="s">
        <v>2172</v>
      </c>
      <c r="B31" s="137">
        <f ca="1">INDIRECT("N_SNPs!"&amp;"Q"&amp;B$1+2)</f>
        <v>5</v>
      </c>
    </row>
    <row r="32" spans="1:21" s="136" customFormat="1" x14ac:dyDescent="0.2">
      <c r="A32" s="137" t="s">
        <v>1686</v>
      </c>
      <c r="B32" s="137">
        <f ca="1">INDIRECT("N_SNPs!"&amp;"R"&amp;B$1+2)</f>
        <v>0</v>
      </c>
    </row>
    <row r="33" spans="1:3" s="172" customFormat="1" x14ac:dyDescent="0.2">
      <c r="A33" s="171" t="s">
        <v>1808</v>
      </c>
      <c r="B33" s="171">
        <v>1</v>
      </c>
    </row>
    <row r="34" spans="1:3" s="172" customFormat="1" x14ac:dyDescent="0.2">
      <c r="A34" s="203" t="s">
        <v>2177</v>
      </c>
      <c r="B34" s="171">
        <v>0</v>
      </c>
    </row>
    <row r="35" spans="1:3" s="172" customFormat="1" ht="60" x14ac:dyDescent="0.2">
      <c r="A35" s="171" t="s">
        <v>1810</v>
      </c>
      <c r="B35" s="171">
        <v>5</v>
      </c>
    </row>
    <row r="36" spans="1:3" s="174" customFormat="1" ht="30" x14ac:dyDescent="0.2">
      <c r="A36" s="173" t="s">
        <v>1835</v>
      </c>
      <c r="B36" s="198" t="s">
        <v>2300</v>
      </c>
      <c r="C36" s="174" t="s">
        <v>2420</v>
      </c>
    </row>
    <row r="37" spans="1:3" s="174" customFormat="1" x14ac:dyDescent="0.2">
      <c r="A37" s="173" t="s">
        <v>2272</v>
      </c>
      <c r="B37" s="198" t="s">
        <v>2301</v>
      </c>
    </row>
    <row r="38" spans="1:3" s="174" customFormat="1" ht="30" x14ac:dyDescent="0.2">
      <c r="A38" s="173" t="s">
        <v>2299</v>
      </c>
      <c r="B38" s="173">
        <v>1</v>
      </c>
    </row>
    <row r="39" spans="1:3" s="174" customFormat="1" x14ac:dyDescent="0.2">
      <c r="A39" s="173" t="s">
        <v>2273</v>
      </c>
      <c r="B39" s="173">
        <v>3</v>
      </c>
    </row>
    <row r="40" spans="1:3" s="174" customFormat="1" ht="30" x14ac:dyDescent="0.2">
      <c r="A40" s="173" t="s">
        <v>2274</v>
      </c>
      <c r="B40" s="173">
        <v>0</v>
      </c>
    </row>
    <row r="41" spans="1:3" s="176" customFormat="1" ht="16" x14ac:dyDescent="0.2">
      <c r="A41" s="175" t="s">
        <v>1815</v>
      </c>
      <c r="B41" s="84" t="s">
        <v>2187</v>
      </c>
    </row>
    <row r="42" spans="1:3" s="176" customFormat="1" ht="16" x14ac:dyDescent="0.2">
      <c r="A42" s="175" t="s">
        <v>1881</v>
      </c>
      <c r="B42" s="84" t="s">
        <v>2297</v>
      </c>
    </row>
    <row r="43" spans="1:3" x14ac:dyDescent="0.2">
      <c r="A43" s="34" t="s">
        <v>1398</v>
      </c>
      <c r="B43" s="57"/>
    </row>
    <row r="44" spans="1:3" x14ac:dyDescent="0.2">
      <c r="A44" s="34" t="s">
        <v>1410</v>
      </c>
    </row>
    <row r="45" spans="1:3" x14ac:dyDescent="0.2">
      <c r="A45" s="34" t="s">
        <v>2374</v>
      </c>
      <c r="B45" s="33">
        <v>1</v>
      </c>
    </row>
    <row r="46" spans="1:3" x14ac:dyDescent="0.2">
      <c r="A46" s="34" t="s">
        <v>1416</v>
      </c>
      <c r="B46" s="66" t="s">
        <v>1783</v>
      </c>
    </row>
    <row r="47" spans="1:3" ht="17" x14ac:dyDescent="0.25">
      <c r="B47" s="66"/>
      <c r="C47" s="166"/>
    </row>
    <row r="48" spans="1:3" ht="17" x14ac:dyDescent="0.25">
      <c r="A48" s="34" t="s">
        <v>1790</v>
      </c>
      <c r="B48" s="168">
        <v>42674</v>
      </c>
      <c r="C48" s="166"/>
    </row>
    <row r="49" spans="1:2" x14ac:dyDescent="0.2">
      <c r="B49"/>
    </row>
    <row r="50" spans="1:2" ht="48" x14ac:dyDescent="0.2">
      <c r="A50" s="34" t="s">
        <v>1674</v>
      </c>
      <c r="B50" s="84" t="s">
        <v>2103</v>
      </c>
    </row>
    <row r="51" spans="1:2" x14ac:dyDescent="0.2">
      <c r="B51"/>
    </row>
    <row r="52" spans="1:2" ht="32" x14ac:dyDescent="0.2">
      <c r="A52" s="167"/>
      <c r="B52" s="84" t="s">
        <v>1672</v>
      </c>
    </row>
    <row r="53" spans="1:2" ht="80" x14ac:dyDescent="0.2">
      <c r="B53" s="84" t="s">
        <v>1673</v>
      </c>
    </row>
  </sheetData>
  <pageMargins left="0.7" right="0.7" top="0.75" bottom="0.75" header="0.3" footer="0.3"/>
  <pageSetup paperSize="9" orientation="portrait" r:id="rId1"/>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M47"/>
  <sheetViews>
    <sheetView zoomScale="90" zoomScaleNormal="90" zoomScalePageLayoutView="90" workbookViewId="0">
      <pane xSplit="1" ySplit="1" topLeftCell="B21"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4" max="4" width="17.6640625" customWidth="1"/>
    <col min="5" max="5" width="9.83203125" customWidth="1"/>
    <col min="6" max="6" width="7.5" customWidth="1"/>
    <col min="7" max="7" width="8.5" customWidth="1"/>
    <col min="8" max="8" width="9.5" bestFit="1" customWidth="1"/>
  </cols>
  <sheetData>
    <row r="1" spans="1:13" s="58" customFormat="1" x14ac:dyDescent="0.2">
      <c r="A1" s="63" t="s">
        <v>1360</v>
      </c>
      <c r="B1" s="57">
        <v>13</v>
      </c>
      <c r="D1" s="52" t="s">
        <v>1851</v>
      </c>
      <c r="E1" s="52"/>
      <c r="F1" s="52"/>
      <c r="G1" s="52"/>
      <c r="H1" s="52"/>
      <c r="I1" s="52"/>
      <c r="J1" s="52"/>
      <c r="K1" s="52"/>
      <c r="L1" s="52"/>
      <c r="M1" s="52"/>
    </row>
    <row r="2" spans="1:13" ht="51.75" customHeight="1" x14ac:dyDescent="0.2">
      <c r="A2" s="34" t="s">
        <v>1321</v>
      </c>
      <c r="B2" s="33" t="str">
        <f ca="1">INDIRECT("main!"&amp;"C"&amp;B$1+2)</f>
        <v>Gorlick, Marissa A.; Worthy, Darrell A.; Knopik, Valerie S.; McGeary, John E.; Beevers, Christopher G.; Maddox, W. Todd</v>
      </c>
      <c r="D2" s="193" t="s">
        <v>1537</v>
      </c>
      <c r="E2" s="194"/>
      <c r="F2" s="194"/>
      <c r="G2" s="195"/>
      <c r="H2" s="195"/>
      <c r="I2" s="195" t="s">
        <v>1382</v>
      </c>
      <c r="J2" s="195"/>
      <c r="K2" s="195"/>
      <c r="L2" s="195"/>
      <c r="M2" s="195"/>
    </row>
    <row r="3" spans="1:13" ht="44.75" customHeight="1" x14ac:dyDescent="0.2">
      <c r="A3" s="34" t="s">
        <v>1322</v>
      </c>
      <c r="B3" s="33" t="str">
        <f ca="1">INDIRECT("main!"&amp;"D"&amp;B$1+2)</f>
        <v>DRD4 Long Allele Carriers Show Heightened Attention to High-priority Items Relative to Low-priority Items</v>
      </c>
      <c r="D3" s="195" t="s">
        <v>1395</v>
      </c>
      <c r="E3" s="195" t="s">
        <v>1366</v>
      </c>
      <c r="F3" s="195" t="s">
        <v>1367</v>
      </c>
      <c r="G3" s="195" t="s">
        <v>1368</v>
      </c>
      <c r="H3" s="195" t="s">
        <v>0</v>
      </c>
      <c r="I3" s="196" t="s">
        <v>1369</v>
      </c>
      <c r="J3" s="196" t="s">
        <v>1370</v>
      </c>
      <c r="K3" s="195" t="s">
        <v>1371</v>
      </c>
      <c r="L3" s="195" t="s">
        <v>1372</v>
      </c>
      <c r="M3" s="195" t="s">
        <v>1373</v>
      </c>
    </row>
    <row r="4" spans="1:13" x14ac:dyDescent="0.2">
      <c r="A4" s="34" t="s">
        <v>1324</v>
      </c>
      <c r="B4" s="33" t="str">
        <f ca="1">INDIRECT("main!"&amp;"J"&amp;B$1+2)</f>
        <v>10.1162/jocn_a_00724</v>
      </c>
      <c r="D4" s="195" t="s">
        <v>1492</v>
      </c>
      <c r="E4" s="197">
        <v>0</v>
      </c>
      <c r="F4" s="197">
        <v>72.12</v>
      </c>
      <c r="G4" s="197">
        <v>4.76</v>
      </c>
      <c r="H4" s="197">
        <v>161</v>
      </c>
      <c r="I4">
        <f>H4*F4</f>
        <v>11611.320000000002</v>
      </c>
      <c r="J4">
        <f>(H4*(H4-1)*G4^2+I4^2)/H4</f>
        <v>841033.61440000008</v>
      </c>
      <c r="K4" s="53">
        <f>E4*I4</f>
        <v>0</v>
      </c>
      <c r="L4" s="53">
        <f>E4*H4</f>
        <v>0</v>
      </c>
      <c r="M4" s="53">
        <f>E4^2*H4</f>
        <v>0</v>
      </c>
    </row>
    <row r="5" spans="1:13" ht="43.5" customHeight="1" x14ac:dyDescent="0.2">
      <c r="A5" s="34" t="s">
        <v>1327</v>
      </c>
      <c r="B5" s="33" t="str">
        <f ca="1">INDIRECT("main!"&amp;"M"&amp;B$1+2)</f>
        <v>General sample: n=187 (60 men); 18-35 years; University of Texas at Austin introductory participant pool; Screened sample n=221 (96 men), given more detailed neuropsychiatric screening</v>
      </c>
      <c r="D5" s="195" t="s">
        <v>1493</v>
      </c>
      <c r="E5" s="197">
        <v>1</v>
      </c>
      <c r="F5" s="197">
        <v>69.680000000000007</v>
      </c>
      <c r="G5" s="197">
        <v>4.67</v>
      </c>
      <c r="H5" s="197">
        <v>32</v>
      </c>
      <c r="I5">
        <f t="shared" ref="I5" si="0">H5*F5</f>
        <v>2229.7600000000002</v>
      </c>
      <c r="J5">
        <f t="shared" ref="J5" si="1">(H5*(H5-1)*G5^2+I5^2)/H5</f>
        <v>156045.75270000004</v>
      </c>
      <c r="K5" s="53">
        <f t="shared" ref="K5" si="2">E5*I5</f>
        <v>2229.7600000000002</v>
      </c>
      <c r="L5" s="53">
        <f t="shared" ref="L5" si="3">E5*H5</f>
        <v>32</v>
      </c>
      <c r="M5" s="53">
        <f t="shared" ref="M5" si="4">E5^2*H5</f>
        <v>32</v>
      </c>
    </row>
    <row r="6" spans="1:13" x14ac:dyDescent="0.2">
      <c r="A6" s="34" t="s">
        <v>1333</v>
      </c>
      <c r="B6" s="33" t="str">
        <f ca="1">INDIRECT("main!"&amp;"L"&amp;B$1+2)</f>
        <v>n1=187; n2=221</v>
      </c>
      <c r="D6" s="195"/>
      <c r="E6" s="197"/>
      <c r="F6" s="197"/>
      <c r="G6" s="197"/>
      <c r="H6" s="197"/>
      <c r="I6" s="55"/>
      <c r="J6" s="55"/>
      <c r="K6" s="55"/>
      <c r="L6" s="55"/>
      <c r="M6" s="55"/>
    </row>
    <row r="7" spans="1:13" x14ac:dyDescent="0.2">
      <c r="A7" s="34" t="s">
        <v>1903</v>
      </c>
      <c r="B7" s="33">
        <v>1</v>
      </c>
      <c r="C7" t="s">
        <v>2088</v>
      </c>
      <c r="D7" s="195"/>
      <c r="E7" s="197"/>
      <c r="F7" s="197"/>
      <c r="G7" s="197"/>
      <c r="H7" s="197"/>
      <c r="I7" s="55"/>
      <c r="J7" s="55"/>
      <c r="K7" s="55"/>
      <c r="L7" s="55"/>
      <c r="M7" s="55"/>
    </row>
    <row r="8" spans="1:13" x14ac:dyDescent="0.2">
      <c r="A8" s="34" t="s">
        <v>343</v>
      </c>
      <c r="B8" s="33" t="str">
        <f ca="1">INDIRECT("main!"&amp;"q"&amp;B$1+2)</f>
        <v>DRD4</v>
      </c>
      <c r="D8" s="195"/>
      <c r="E8" s="197" t="s">
        <v>1374</v>
      </c>
      <c r="F8" s="197"/>
      <c r="G8" s="197"/>
      <c r="H8" s="197">
        <f>SUM(H4:H5)</f>
        <v>193</v>
      </c>
      <c r="I8" s="55">
        <f>SUM(I4:I6)</f>
        <v>13841.080000000002</v>
      </c>
      <c r="J8" s="55">
        <f t="shared" ref="J8:M8" si="5">SUM(J4:J6)</f>
        <v>997079.36710000015</v>
      </c>
      <c r="K8" s="55">
        <f t="shared" si="5"/>
        <v>2229.7600000000002</v>
      </c>
      <c r="L8" s="55">
        <f t="shared" si="5"/>
        <v>32</v>
      </c>
      <c r="M8" s="55">
        <f t="shared" si="5"/>
        <v>32</v>
      </c>
    </row>
    <row r="9" spans="1:13" ht="20.5" customHeight="1" x14ac:dyDescent="0.2">
      <c r="A9" s="34" t="s">
        <v>1329</v>
      </c>
      <c r="B9" s="33" t="str">
        <f ca="1">INDIRECT("main!"&amp;"r"&amp;B$1+2)</f>
        <v>48-base pair VNTR in exon 3; short (both alleles &lt;7 repeat)  vs. long (7+ repeats)</v>
      </c>
      <c r="D9" s="195"/>
      <c r="E9" s="197"/>
      <c r="F9" s="197"/>
      <c r="G9" s="197"/>
      <c r="H9" s="197"/>
      <c r="I9" s="197"/>
      <c r="J9" s="197"/>
      <c r="K9" s="195"/>
      <c r="L9" s="195"/>
      <c r="M9" s="195"/>
    </row>
    <row r="10" spans="1:13" ht="97.5" customHeight="1" x14ac:dyDescent="0.2">
      <c r="A10" s="34" t="s">
        <v>1323</v>
      </c>
      <c r="B10" s="33" t="str">
        <f ca="1">INDIRECT("main!"&amp;"O"&amp;B$1+2)</f>
        <v>Experimental tasks to assess (a) goal-directed attention and (b) attentional competition: (a) category learning task; (b) operation span task. For (a) overall accuracy measure; accuracy for similar and dissimilar items for each of 2 blocks (6 measures), plus measures of attention weight from computational model. For (b) memory span and % correctly recalled letters</v>
      </c>
      <c r="D10" s="195" t="s">
        <v>1406</v>
      </c>
      <c r="E10" s="197"/>
      <c r="F10" s="197"/>
      <c r="G10" s="197"/>
      <c r="H10" s="197"/>
      <c r="I10" s="197"/>
      <c r="J10" s="197"/>
      <c r="K10" s="195"/>
      <c r="L10" s="195"/>
      <c r="M10" s="195"/>
    </row>
    <row r="11" spans="1:13" ht="38.25" customHeight="1" x14ac:dyDescent="0.2">
      <c r="A11" s="34" t="s">
        <v>1396</v>
      </c>
      <c r="B11" s="33" t="str">
        <f ca="1">INDIRECT("main!"&amp;"W"&amp;B$1+2)</f>
        <v>ANOVAs; independent samples t tests</v>
      </c>
      <c r="D11" s="53" t="s">
        <v>1376</v>
      </c>
      <c r="E11" s="69" t="s">
        <v>1377</v>
      </c>
      <c r="F11" s="69">
        <f>(H8*K8-L8*I8)/(H8*M8-L8^2)</f>
        <v>-2.4400000000000008</v>
      </c>
      <c r="G11" s="197"/>
      <c r="H11" s="197"/>
      <c r="I11" s="197"/>
      <c r="J11" s="197"/>
      <c r="K11" s="195"/>
      <c r="L11" s="195"/>
      <c r="M11" s="195"/>
    </row>
    <row r="12" spans="1:13" ht="51.5" customHeight="1" x14ac:dyDescent="0.2">
      <c r="A12" s="34" t="s">
        <v>1896</v>
      </c>
      <c r="B12" s="191" t="s">
        <v>2089</v>
      </c>
      <c r="D12" s="53"/>
      <c r="E12" s="70" t="s">
        <v>1378</v>
      </c>
      <c r="F12" s="69">
        <f>(H8*K8-L8*I8)/SQRT((H8*M8-L8^2)*(H8*J8-I8^2))</f>
        <v>-0.18876479599548945</v>
      </c>
      <c r="G12" s="195"/>
      <c r="H12" s="195"/>
      <c r="I12" s="195"/>
      <c r="J12" s="195"/>
      <c r="K12" s="195"/>
      <c r="L12" s="195"/>
      <c r="M12" s="195"/>
    </row>
    <row r="13" spans="1:13" ht="75.75" customHeight="1" x14ac:dyDescent="0.2">
      <c r="A13" s="34" t="s">
        <v>1326</v>
      </c>
      <c r="B13" s="33" t="s">
        <v>1494</v>
      </c>
      <c r="D13" s="53"/>
      <c r="E13" s="56" t="s">
        <v>1379</v>
      </c>
      <c r="F13" s="53">
        <f>F12^2</f>
        <v>3.5632148207218751E-2</v>
      </c>
      <c r="G13" s="195"/>
      <c r="H13" s="195"/>
      <c r="I13" s="195"/>
      <c r="J13" s="195"/>
      <c r="K13" s="195"/>
      <c r="L13" s="195"/>
      <c r="M13" s="195"/>
    </row>
    <row r="14" spans="1:13" x14ac:dyDescent="0.2">
      <c r="A14" s="34" t="s">
        <v>1852</v>
      </c>
      <c r="B14" s="191" t="str">
        <f>D4&amp;" (N = "&amp;H4&amp;"); "&amp;D5&amp;" (N = "&amp;H5&amp;") "</f>
        <v xml:space="preserve">short homozygote (N = 161); long carriers (N = 32) </v>
      </c>
      <c r="D14" s="196"/>
      <c r="E14" s="195"/>
      <c r="F14" s="195"/>
      <c r="G14" s="195"/>
      <c r="H14" s="195"/>
      <c r="I14" s="195"/>
      <c r="J14" s="195"/>
      <c r="K14" s="195"/>
      <c r="L14" s="195"/>
      <c r="M14" s="195"/>
    </row>
    <row r="15" spans="1:13" x14ac:dyDescent="0.2">
      <c r="A15" s="34" t="s">
        <v>1848</v>
      </c>
      <c r="B15" s="192">
        <f>ABS(F12)</f>
        <v>0.18876479599548945</v>
      </c>
      <c r="D15" s="196"/>
      <c r="E15" s="196"/>
      <c r="F15" s="196"/>
      <c r="G15" s="196"/>
      <c r="H15" s="196"/>
      <c r="I15" s="196"/>
      <c r="J15" s="196"/>
      <c r="K15" s="196"/>
      <c r="L15" s="196"/>
      <c r="M15" s="196"/>
    </row>
    <row r="16" spans="1:13" x14ac:dyDescent="0.2">
      <c r="A16" s="34" t="s">
        <v>1897</v>
      </c>
      <c r="B16" s="192" t="s">
        <v>2090</v>
      </c>
      <c r="D16" s="196"/>
      <c r="E16" s="196"/>
      <c r="F16" s="196"/>
      <c r="G16" s="196"/>
      <c r="H16" s="196"/>
      <c r="I16" s="196"/>
      <c r="J16" s="196"/>
      <c r="K16" s="196"/>
      <c r="L16" s="196"/>
      <c r="M16" s="196"/>
    </row>
    <row r="17" spans="1:13" ht="16" x14ac:dyDescent="0.2">
      <c r="A17" s="204" t="s">
        <v>2189</v>
      </c>
      <c r="B17" s="191">
        <v>0.2</v>
      </c>
      <c r="D17" s="196"/>
      <c r="E17" s="196"/>
      <c r="F17" s="196"/>
      <c r="G17" s="196"/>
      <c r="H17" s="196"/>
      <c r="I17" s="196"/>
      <c r="J17" s="196"/>
      <c r="K17" s="196"/>
      <c r="L17" s="196"/>
      <c r="M17" s="196"/>
    </row>
    <row r="18" spans="1:13" x14ac:dyDescent="0.2">
      <c r="A18" s="64" t="s">
        <v>1401</v>
      </c>
      <c r="B18" s="191">
        <v>0.28299999999999997</v>
      </c>
      <c r="D18" s="196"/>
      <c r="E18" s="196"/>
      <c r="F18" s="196"/>
      <c r="G18" s="196"/>
      <c r="H18" s="196"/>
      <c r="I18" s="196"/>
      <c r="J18" s="196"/>
      <c r="K18" s="196"/>
      <c r="L18" s="196"/>
      <c r="M18" s="196"/>
    </row>
    <row r="19" spans="1:13" ht="30" x14ac:dyDescent="0.2">
      <c r="A19" s="64" t="s">
        <v>1346</v>
      </c>
      <c r="B19" s="65" t="s">
        <v>1495</v>
      </c>
      <c r="D19" s="196"/>
      <c r="E19" s="196"/>
      <c r="F19" s="196"/>
      <c r="G19" s="196"/>
      <c r="H19" s="196"/>
      <c r="I19" s="196"/>
      <c r="J19" s="196"/>
      <c r="K19" s="196"/>
      <c r="L19" s="196"/>
      <c r="M19" s="196"/>
    </row>
    <row r="20" spans="1:13" x14ac:dyDescent="0.2">
      <c r="A20" s="64" t="s">
        <v>1388</v>
      </c>
      <c r="B20" s="33" t="s">
        <v>2169</v>
      </c>
      <c r="D20" s="196"/>
      <c r="E20" s="196"/>
      <c r="F20" s="196"/>
      <c r="G20" s="196"/>
      <c r="H20" s="196"/>
      <c r="I20" s="196"/>
      <c r="J20" s="196"/>
      <c r="K20" s="196"/>
      <c r="L20" s="196"/>
      <c r="M20" s="196"/>
    </row>
    <row r="21" spans="1:13" ht="59.25" customHeight="1" x14ac:dyDescent="0.2">
      <c r="A21" s="64" t="s">
        <v>1390</v>
      </c>
      <c r="D21" s="236" t="s">
        <v>2415</v>
      </c>
      <c r="E21" s="236" t="s">
        <v>2416</v>
      </c>
      <c r="F21" s="196"/>
      <c r="G21" s="196"/>
      <c r="H21" s="196"/>
      <c r="I21" s="196"/>
      <c r="J21" s="196"/>
      <c r="K21" s="196"/>
      <c r="L21" s="196"/>
      <c r="M21" s="196"/>
    </row>
    <row r="22" spans="1:13" x14ac:dyDescent="0.2">
      <c r="A22" s="34" t="s">
        <v>1387</v>
      </c>
      <c r="B22" s="64"/>
      <c r="D22" s="236">
        <v>187</v>
      </c>
      <c r="E22" s="236">
        <v>221</v>
      </c>
    </row>
    <row r="23" spans="1:13" x14ac:dyDescent="0.2">
      <c r="A23" s="34" t="s">
        <v>1426</v>
      </c>
      <c r="B23" s="57" t="s">
        <v>1496</v>
      </c>
    </row>
    <row r="24" spans="1:13" s="140" customFormat="1" x14ac:dyDescent="0.2">
      <c r="A24" s="138" t="s">
        <v>1746</v>
      </c>
      <c r="B24" s="139"/>
    </row>
    <row r="25" spans="1:13" s="136" customFormat="1" ht="30" x14ac:dyDescent="0.2">
      <c r="A25" s="137" t="s">
        <v>1753</v>
      </c>
      <c r="B25" s="137" t="s">
        <v>2260</v>
      </c>
    </row>
    <row r="26" spans="1:13" s="136" customFormat="1" x14ac:dyDescent="0.2">
      <c r="A26" s="137" t="s">
        <v>1681</v>
      </c>
      <c r="B26" s="137">
        <f ca="1">INDIRECT("N_SNPs!"&amp;"L"&amp;B$1+2)</f>
        <v>0</v>
      </c>
    </row>
    <row r="27" spans="1:13" s="136" customFormat="1" x14ac:dyDescent="0.2">
      <c r="A27" s="137" t="s">
        <v>1747</v>
      </c>
      <c r="B27" s="137">
        <f ca="1">INDIRECT("N_SNPs!"&amp;"M"&amp;B$1+2)</f>
        <v>1</v>
      </c>
    </row>
    <row r="28" spans="1:13" s="136" customFormat="1" x14ac:dyDescent="0.2">
      <c r="A28" s="137" t="s">
        <v>1683</v>
      </c>
      <c r="B28" s="137" t="str">
        <f ca="1">INDIRECT("N_SNPs!"&amp;"N"&amp;B$1+2)</f>
        <v>not needed</v>
      </c>
    </row>
    <row r="29" spans="1:13" s="136" customFormat="1" x14ac:dyDescent="0.2">
      <c r="A29" s="137" t="s">
        <v>2171</v>
      </c>
      <c r="B29" s="137">
        <f ca="1">INDIRECT("N_SNPs!"&amp;"O"&amp;B$1+2)</f>
        <v>1</v>
      </c>
    </row>
    <row r="30" spans="1:13" s="136" customFormat="1" ht="30" x14ac:dyDescent="0.2">
      <c r="A30" s="137" t="s">
        <v>2170</v>
      </c>
      <c r="B30" s="137">
        <v>0</v>
      </c>
    </row>
    <row r="31" spans="1:13" s="136" customFormat="1" ht="60" x14ac:dyDescent="0.2">
      <c r="A31" s="137" t="s">
        <v>2172</v>
      </c>
      <c r="B31" s="137">
        <f ca="1">INDIRECT("N_SNPs!"&amp;"Q"&amp;B$1+2)</f>
        <v>5</v>
      </c>
    </row>
    <row r="32" spans="1:13" s="136" customFormat="1" x14ac:dyDescent="0.2">
      <c r="A32" s="137" t="s">
        <v>1686</v>
      </c>
      <c r="B32" s="137" t="str">
        <f ca="1">INDIRECT("N_SNPs!"&amp;"R"&amp;B$1+2)</f>
        <v>compared long and short tandem repeats</v>
      </c>
    </row>
    <row r="33" spans="1:3" s="172" customFormat="1" x14ac:dyDescent="0.2">
      <c r="A33" s="171" t="s">
        <v>1808</v>
      </c>
      <c r="B33" s="171">
        <v>15</v>
      </c>
    </row>
    <row r="34" spans="1:3" s="172" customFormat="1" x14ac:dyDescent="0.2">
      <c r="A34" s="203" t="s">
        <v>2177</v>
      </c>
      <c r="B34" s="171">
        <v>2</v>
      </c>
    </row>
    <row r="35" spans="1:3" s="172" customFormat="1" ht="60" x14ac:dyDescent="0.2">
      <c r="A35" s="171" t="s">
        <v>1810</v>
      </c>
      <c r="B35" s="171">
        <v>0</v>
      </c>
    </row>
    <row r="36" spans="1:3" s="174" customFormat="1" x14ac:dyDescent="0.2">
      <c r="A36" s="173" t="s">
        <v>1835</v>
      </c>
      <c r="B36" s="173" t="s">
        <v>1752</v>
      </c>
      <c r="C36" s="174" t="s">
        <v>2421</v>
      </c>
    </row>
    <row r="37" spans="1:3" s="174" customFormat="1" x14ac:dyDescent="0.2">
      <c r="A37" s="173" t="s">
        <v>2272</v>
      </c>
      <c r="B37" s="173" t="s">
        <v>1752</v>
      </c>
    </row>
    <row r="38" spans="1:3" s="174" customFormat="1" ht="30" x14ac:dyDescent="0.2">
      <c r="A38" s="173" t="s">
        <v>2299</v>
      </c>
      <c r="B38" s="173" t="s">
        <v>1752</v>
      </c>
    </row>
    <row r="39" spans="1:3" s="174" customFormat="1" x14ac:dyDescent="0.2">
      <c r="A39" s="173" t="s">
        <v>2273</v>
      </c>
      <c r="B39" s="173">
        <v>0</v>
      </c>
    </row>
    <row r="40" spans="1:3" s="174" customFormat="1" ht="30" x14ac:dyDescent="0.2">
      <c r="A40" s="173" t="s">
        <v>2274</v>
      </c>
      <c r="B40" s="173" t="s">
        <v>1752</v>
      </c>
    </row>
    <row r="41" spans="1:3" s="176" customFormat="1" x14ac:dyDescent="0.2">
      <c r="A41" s="175" t="s">
        <v>1815</v>
      </c>
      <c r="B41" s="176" t="s">
        <v>2169</v>
      </c>
    </row>
    <row r="42" spans="1:3" s="176" customFormat="1" x14ac:dyDescent="0.2">
      <c r="A42" s="175" t="s">
        <v>1881</v>
      </c>
      <c r="B42" s="176" t="s">
        <v>494</v>
      </c>
    </row>
    <row r="43" spans="1:3" x14ac:dyDescent="0.2">
      <c r="A43" s="34" t="s">
        <v>1398</v>
      </c>
      <c r="B43" s="57"/>
    </row>
    <row r="44" spans="1:3" x14ac:dyDescent="0.2">
      <c r="A44" s="34" t="s">
        <v>1410</v>
      </c>
    </row>
    <row r="45" spans="1:3" x14ac:dyDescent="0.2">
      <c r="A45" s="34" t="s">
        <v>2374</v>
      </c>
      <c r="B45" s="33" t="s">
        <v>1752</v>
      </c>
    </row>
    <row r="46" spans="1:3" x14ac:dyDescent="0.2">
      <c r="A46" s="34" t="s">
        <v>1416</v>
      </c>
      <c r="B46" s="66" t="s">
        <v>1782</v>
      </c>
    </row>
    <row r="47" spans="1:3" x14ac:dyDescent="0.2">
      <c r="B47" s="66"/>
    </row>
  </sheetData>
  <pageMargins left="0.7" right="0.7" top="0.75" bottom="0.75" header="0.3" footer="0.3"/>
  <pageSetup paperSize="9" orientation="portrait" r:id="rId1"/>
  <drawing r:id="rId2"/>
  <legacyDrawing r:id="rId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M47"/>
  <sheetViews>
    <sheetView zoomScale="90" zoomScaleNormal="90" zoomScalePageLayoutView="90" workbookViewId="0">
      <pane xSplit="1" ySplit="1" topLeftCell="B21"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4" max="4" width="17.6640625" customWidth="1"/>
    <col min="5" max="5" width="9.83203125" customWidth="1"/>
    <col min="6" max="6" width="7.5" customWidth="1"/>
    <col min="7" max="7" width="8.5" customWidth="1"/>
    <col min="8" max="8" width="9.5" bestFit="1" customWidth="1"/>
  </cols>
  <sheetData>
    <row r="1" spans="1:13" s="58" customFormat="1" x14ac:dyDescent="0.2">
      <c r="A1" s="63" t="s">
        <v>1360</v>
      </c>
      <c r="B1" s="57">
        <v>12</v>
      </c>
      <c r="D1" s="52" t="s">
        <v>1851</v>
      </c>
      <c r="E1" s="52"/>
      <c r="F1" s="52"/>
      <c r="G1" s="52"/>
      <c r="H1" s="52"/>
      <c r="I1" s="52"/>
      <c r="J1" s="52"/>
      <c r="K1" s="52"/>
      <c r="L1" s="52"/>
      <c r="M1" s="52"/>
    </row>
    <row r="2" spans="1:13" ht="51.75" customHeight="1" x14ac:dyDescent="0.2">
      <c r="A2" s="34" t="s">
        <v>1321</v>
      </c>
      <c r="B2" s="33" t="str">
        <f ca="1">INDIRECT("main!"&amp;"C"&amp;B$1+2)</f>
        <v>Replogle, Joseph M.; Chan, Gail; White, Charles C.; Raj, Towfique; Winn, Phoebe A.; Evans, Denis A.; Sperling, Reisa A.; Chibnik, Lori B.; Bradshaw, Elizabeth M.; Schneider, Julie A.; Bennett, David A.; De Jager, Philip L.</v>
      </c>
      <c r="D2" s="73" t="s">
        <v>1537</v>
      </c>
      <c r="E2" s="53"/>
      <c r="F2" s="53"/>
      <c r="G2" s="53"/>
      <c r="H2" s="53"/>
      <c r="I2" s="53" t="s">
        <v>1382</v>
      </c>
      <c r="J2" s="53"/>
      <c r="K2" s="53"/>
      <c r="L2" s="53"/>
      <c r="M2" s="53"/>
    </row>
    <row r="3" spans="1:13" ht="44.75" customHeight="1" x14ac:dyDescent="0.2">
      <c r="A3" s="34" t="s">
        <v>1322</v>
      </c>
      <c r="B3" s="33" t="str">
        <f ca="1">INDIRECT("main!"&amp;"D"&amp;B$1+2)</f>
        <v>A TREM1 Variant Alters the Accumulation of Alzheimer-Related Amyloid Pathology</v>
      </c>
      <c r="D3" s="53" t="s">
        <v>1395</v>
      </c>
      <c r="E3" s="53" t="s">
        <v>1366</v>
      </c>
      <c r="F3" s="53" t="s">
        <v>1367</v>
      </c>
      <c r="G3" s="53" t="s">
        <v>1368</v>
      </c>
      <c r="H3" s="54" t="s">
        <v>0</v>
      </c>
      <c r="I3" t="s">
        <v>1369</v>
      </c>
      <c r="J3" t="s">
        <v>1370</v>
      </c>
      <c r="K3" s="53" t="s">
        <v>1371</v>
      </c>
      <c r="L3" s="54" t="s">
        <v>1372</v>
      </c>
      <c r="M3" s="54" t="s">
        <v>1373</v>
      </c>
    </row>
    <row r="4" spans="1:13" x14ac:dyDescent="0.2">
      <c r="A4" s="34" t="s">
        <v>1324</v>
      </c>
      <c r="B4" s="33" t="str">
        <f ca="1">INDIRECT("main!"&amp;"J"&amp;B$1+2)</f>
        <v>10.1002/ana.24337</v>
      </c>
      <c r="D4" s="54" t="s">
        <v>1363</v>
      </c>
      <c r="E4" s="55">
        <v>0</v>
      </c>
      <c r="F4" s="55"/>
      <c r="G4" s="55"/>
      <c r="H4" s="55">
        <v>51</v>
      </c>
      <c r="I4">
        <f>H4*F4</f>
        <v>0</v>
      </c>
      <c r="J4">
        <f>(H4*(H4-1)*G4^2+I4^2)/H4</f>
        <v>0</v>
      </c>
      <c r="K4" s="53">
        <f>E4*I4</f>
        <v>0</v>
      </c>
      <c r="L4" s="53">
        <f>E4*H4</f>
        <v>0</v>
      </c>
      <c r="M4" s="53">
        <f>E4^2*H4</f>
        <v>0</v>
      </c>
    </row>
    <row r="5" spans="1:13" ht="43.5" customHeight="1" x14ac:dyDescent="0.2">
      <c r="A5" s="34" t="s">
        <v>1327</v>
      </c>
      <c r="B5" s="33" t="str">
        <f ca="1">INDIRECT("main!"&amp;"M"&amp;B$1+2)</f>
        <v>Deceased individuals from 3 prospective cohorts on ageing; mixed heritage (European American, African American)</v>
      </c>
      <c r="D5" s="54" t="s">
        <v>1362</v>
      </c>
      <c r="E5" s="55">
        <v>1</v>
      </c>
      <c r="F5" s="55"/>
      <c r="G5" s="55"/>
      <c r="H5" s="55">
        <v>770</v>
      </c>
      <c r="I5">
        <f t="shared" ref="I5" si="0">H5*F5</f>
        <v>0</v>
      </c>
      <c r="J5">
        <f t="shared" ref="J5" si="1">(H5*(H5-1)*G5^2+I5^2)/H5</f>
        <v>0</v>
      </c>
      <c r="K5" s="53">
        <f t="shared" ref="K5" si="2">E5*I5</f>
        <v>0</v>
      </c>
      <c r="L5" s="53">
        <f t="shared" ref="L5" si="3">E5*H5</f>
        <v>770</v>
      </c>
      <c r="M5" s="53">
        <f t="shared" ref="M5" si="4">E5^2*H5</f>
        <v>770</v>
      </c>
    </row>
    <row r="6" spans="1:13" x14ac:dyDescent="0.2">
      <c r="A6" s="34" t="s">
        <v>1333</v>
      </c>
      <c r="B6" s="33" t="str">
        <f ca="1">INDIRECT("main!"&amp;"L"&amp;B$1+2)</f>
        <v>N = 3421</v>
      </c>
      <c r="D6" s="54" t="s">
        <v>1361</v>
      </c>
      <c r="E6" s="55">
        <v>2</v>
      </c>
      <c r="F6" s="55"/>
      <c r="G6" s="55"/>
      <c r="H6" s="55">
        <v>2600</v>
      </c>
      <c r="I6" s="55"/>
      <c r="J6" s="55"/>
      <c r="K6" s="55"/>
      <c r="L6" s="55"/>
      <c r="M6" s="55"/>
    </row>
    <row r="7" spans="1:13" x14ac:dyDescent="0.2">
      <c r="A7" s="34" t="s">
        <v>1903</v>
      </c>
      <c r="B7" s="33">
        <v>1</v>
      </c>
      <c r="D7" s="54"/>
      <c r="E7" s="55"/>
      <c r="F7" s="55"/>
      <c r="G7" s="55"/>
      <c r="H7" s="55"/>
      <c r="I7" s="55"/>
      <c r="J7" s="55"/>
      <c r="K7" s="55"/>
      <c r="L7" s="55"/>
      <c r="M7" s="55"/>
    </row>
    <row r="8" spans="1:13" x14ac:dyDescent="0.2">
      <c r="A8" s="34" t="s">
        <v>343</v>
      </c>
      <c r="B8" s="33" t="str">
        <f ca="1">INDIRECT("main!"&amp;"q"&amp;B$1+2)</f>
        <v>TREM gene family</v>
      </c>
      <c r="D8" s="54"/>
      <c r="E8" s="55" t="s">
        <v>1374</v>
      </c>
      <c r="F8" s="55"/>
      <c r="G8" s="55"/>
      <c r="H8" s="55">
        <f>SUM(H4:H6)</f>
        <v>3421</v>
      </c>
      <c r="I8" s="55">
        <f>SUM(I4:I6)</f>
        <v>0</v>
      </c>
      <c r="J8" s="55">
        <f t="shared" ref="J8:M8" si="5">SUM(J4:J6)</f>
        <v>0</v>
      </c>
      <c r="K8" s="55">
        <f t="shared" si="5"/>
        <v>0</v>
      </c>
      <c r="L8" s="55">
        <f t="shared" si="5"/>
        <v>770</v>
      </c>
      <c r="M8" s="55">
        <f t="shared" si="5"/>
        <v>770</v>
      </c>
    </row>
    <row r="9" spans="1:13" ht="20.5" customHeight="1" x14ac:dyDescent="0.2">
      <c r="A9" s="34" t="s">
        <v>1329</v>
      </c>
      <c r="B9" s="33" t="str">
        <f ca="1">INDIRECT("main!"&amp;"r"&amp;B$1+2)</f>
        <v>36 SNPs that captured the common haplotypic diversity of TREM region</v>
      </c>
      <c r="D9" s="53"/>
      <c r="E9" s="55"/>
      <c r="F9" s="55"/>
      <c r="G9" s="55"/>
      <c r="H9" s="55"/>
      <c r="I9" s="55"/>
      <c r="J9" s="55"/>
      <c r="K9" s="53"/>
      <c r="L9" s="53"/>
      <c r="M9" s="53"/>
    </row>
    <row r="10" spans="1:13" ht="54" customHeight="1" x14ac:dyDescent="0.2">
      <c r="A10" s="34" t="s">
        <v>1323</v>
      </c>
      <c r="B10" s="33" t="str">
        <f ca="1">INDIRECT("main!"&amp;"O"&amp;B$1+2)</f>
        <v>Behavioural outcome: global cognitive decline. and clinical AD diagnosis. Neuropathology: visualized neurotic plaques, diffuse plaques and neurofibrillary tangles in tissue sections from 5 brain regions. Also alpha-beta and tau tangle densities measured by immunohistochemistry. Cerebral amyloid angiopathy assessed in 5 regions on a 5-point scale and averaged across all regions into a summary score. Density of terminally activated stage III microglia averaged over the inferior temporal gyrus, the midfrontal cortex, the posterior putamen, and the ventral medial caudate based on immunohistochemistry and morphology. Microvascular and macrovascular cerebral infarct as binary variable of presence or absence.</v>
      </c>
      <c r="D10" s="53" t="s">
        <v>1406</v>
      </c>
      <c r="E10" s="55"/>
      <c r="F10" s="55"/>
      <c r="G10" s="55"/>
      <c r="H10" s="55"/>
      <c r="I10" s="55"/>
      <c r="J10" s="55"/>
      <c r="K10" s="53"/>
      <c r="L10" s="53"/>
      <c r="M10" s="53"/>
    </row>
    <row r="11" spans="1:13" ht="101.25" customHeight="1" x14ac:dyDescent="0.2">
      <c r="A11" s="34" t="s">
        <v>1396</v>
      </c>
      <c r="B11" s="33" t="str">
        <f ca="1">INDIRECT("main!"&amp;"W"&amp;B$1+2)</f>
        <v>General linear mixed models; linear regression, logistic regression or ordinal regression; model-based causal mediation analysis. SNP and rate of cognitive decline adjusted for age, education, and sex; in regression analyses cohort, age at death, sex used as covariates; tested for mediation of relationship between variants and cognitive decline by pathological phenotypes</v>
      </c>
      <c r="D11" s="53"/>
      <c r="E11" s="69"/>
      <c r="F11" s="69"/>
      <c r="G11" s="55"/>
      <c r="H11" s="55"/>
      <c r="I11" s="55"/>
      <c r="J11" s="55"/>
      <c r="K11" s="53"/>
      <c r="L11" s="53"/>
      <c r="M11" s="53"/>
    </row>
    <row r="12" spans="1:13" ht="51.5" customHeight="1" x14ac:dyDescent="0.2">
      <c r="A12" s="34" t="s">
        <v>1896</v>
      </c>
      <c r="B12" s="33" t="s">
        <v>1489</v>
      </c>
      <c r="D12" s="53"/>
      <c r="E12" s="70"/>
      <c r="F12" s="69"/>
      <c r="G12" s="53"/>
      <c r="H12" s="53"/>
      <c r="I12" s="53"/>
      <c r="J12" s="53"/>
      <c r="K12" s="53"/>
      <c r="L12" s="53"/>
      <c r="M12" s="53"/>
    </row>
    <row r="13" spans="1:13" ht="51" customHeight="1" x14ac:dyDescent="0.2">
      <c r="A13" s="34" t="s">
        <v>1326</v>
      </c>
      <c r="B13" s="33" t="s">
        <v>1483</v>
      </c>
      <c r="D13" s="53"/>
      <c r="E13" s="56"/>
      <c r="F13" s="53"/>
      <c r="G13" s="53"/>
      <c r="H13" s="53"/>
      <c r="I13" s="53"/>
      <c r="J13" s="53"/>
      <c r="K13" s="53"/>
      <c r="L13" s="53"/>
      <c r="M13" s="53"/>
    </row>
    <row r="14" spans="1:13" x14ac:dyDescent="0.2">
      <c r="A14" s="34" t="s">
        <v>1852</v>
      </c>
      <c r="B14" s="33" t="str">
        <f>D4&amp;" (N = "&amp;H4&amp;"); "&amp;D5&amp;" (N = "&amp;H5&amp;"); "&amp;D6&amp;" (N = "&amp;H6&amp;")"</f>
        <v>TT (N = 51); CT (N = 770); CC (N = 2600)</v>
      </c>
      <c r="E14" s="53"/>
      <c r="F14" s="53"/>
      <c r="G14" s="53"/>
      <c r="H14" s="53"/>
      <c r="I14" s="53"/>
      <c r="J14" s="53"/>
      <c r="K14" s="53"/>
      <c r="L14" s="53"/>
      <c r="M14" s="53"/>
    </row>
    <row r="15" spans="1:13" x14ac:dyDescent="0.2">
      <c r="A15" s="34" t="s">
        <v>1848</v>
      </c>
      <c r="B15" s="62">
        <f>ABS(F18)</f>
        <v>5.2088785039844189E-2</v>
      </c>
      <c r="D15" s="58" t="s">
        <v>1438</v>
      </c>
      <c r="E15" s="58"/>
      <c r="F15" s="58"/>
    </row>
    <row r="16" spans="1:13" x14ac:dyDescent="0.2">
      <c r="A16" s="34" t="s">
        <v>1897</v>
      </c>
      <c r="B16" s="62" t="s">
        <v>2087</v>
      </c>
      <c r="D16" s="58"/>
      <c r="E16" s="58"/>
      <c r="F16" s="58"/>
    </row>
    <row r="17" spans="1:6" ht="16" x14ac:dyDescent="0.2">
      <c r="A17" s="204" t="s">
        <v>2189</v>
      </c>
      <c r="B17" s="33">
        <v>4.7E-2</v>
      </c>
      <c r="D17" t="s">
        <v>1439</v>
      </c>
      <c r="E17" t="s">
        <v>1440</v>
      </c>
      <c r="F17" t="s">
        <v>1378</v>
      </c>
    </row>
    <row r="18" spans="1:6" x14ac:dyDescent="0.2">
      <c r="A18" s="64" t="s">
        <v>1401</v>
      </c>
      <c r="B18" s="33">
        <v>0.999</v>
      </c>
      <c r="D18">
        <v>2.3E-3</v>
      </c>
      <c r="E18">
        <f>TINV(D18,H8-2)</f>
        <v>3.0507789311059907</v>
      </c>
      <c r="F18">
        <f>SQRT(E18^2/(E18^2+H8))</f>
        <v>5.2088785039844189E-2</v>
      </c>
    </row>
    <row r="19" spans="1:6" ht="30" x14ac:dyDescent="0.2">
      <c r="A19" s="64" t="s">
        <v>1346</v>
      </c>
      <c r="B19" s="57" t="s">
        <v>2408</v>
      </c>
    </row>
    <row r="20" spans="1:6" ht="62" x14ac:dyDescent="0.2">
      <c r="A20" s="64" t="s">
        <v>1388</v>
      </c>
      <c r="B20" s="7" t="s">
        <v>2308</v>
      </c>
      <c r="D20" s="58" t="s">
        <v>1475</v>
      </c>
    </row>
    <row r="21" spans="1:6" ht="59.25" customHeight="1" x14ac:dyDescent="0.2">
      <c r="A21" s="64" t="s">
        <v>1390</v>
      </c>
      <c r="D21" s="236" t="s">
        <v>2415</v>
      </c>
      <c r="E21" s="236" t="s">
        <v>2416</v>
      </c>
    </row>
    <row r="22" spans="1:6" ht="60" x14ac:dyDescent="0.2">
      <c r="A22" s="34" t="s">
        <v>1387</v>
      </c>
      <c r="B22" s="64" t="s">
        <v>1487</v>
      </c>
      <c r="D22" s="236">
        <v>3421</v>
      </c>
      <c r="E22" s="236">
        <v>0</v>
      </c>
    </row>
    <row r="23" spans="1:6" x14ac:dyDescent="0.2">
      <c r="A23" s="34" t="s">
        <v>1426</v>
      </c>
      <c r="B23" s="57"/>
    </row>
    <row r="24" spans="1:6" s="140" customFormat="1" x14ac:dyDescent="0.2">
      <c r="A24" s="138" t="s">
        <v>1746</v>
      </c>
      <c r="B24" s="139"/>
    </row>
    <row r="25" spans="1:6" s="136" customFormat="1" ht="30" x14ac:dyDescent="0.2">
      <c r="A25" s="137" t="s">
        <v>1753</v>
      </c>
      <c r="B25" s="137" t="s">
        <v>885</v>
      </c>
    </row>
    <row r="26" spans="1:6" s="136" customFormat="1" x14ac:dyDescent="0.2">
      <c r="A26" s="137" t="s">
        <v>1681</v>
      </c>
      <c r="B26" s="137">
        <f ca="1">INDIRECT("N_SNPs!"&amp;"L"&amp;B$1+2)</f>
        <v>1</v>
      </c>
    </row>
    <row r="27" spans="1:6" s="136" customFormat="1" x14ac:dyDescent="0.2">
      <c r="A27" s="137" t="s">
        <v>1747</v>
      </c>
      <c r="B27" s="137">
        <f ca="1">INDIRECT("N_SNPs!"&amp;"M"&amp;B$1+2)</f>
        <v>1</v>
      </c>
    </row>
    <row r="28" spans="1:6" s="136" customFormat="1" x14ac:dyDescent="0.2">
      <c r="A28" s="137" t="s">
        <v>1683</v>
      </c>
      <c r="B28" s="137" t="str">
        <f ca="1">INDIRECT("N_SNPs!"&amp;"N"&amp;B$1+2)</f>
        <v>not needed</v>
      </c>
    </row>
    <row r="29" spans="1:6" s="136" customFormat="1" x14ac:dyDescent="0.2">
      <c r="A29" s="137" t="s">
        <v>2171</v>
      </c>
      <c r="B29" s="137">
        <f ca="1">INDIRECT("N_SNPs!"&amp;"O"&amp;B$1+2)</f>
        <v>36</v>
      </c>
    </row>
    <row r="30" spans="1:6" s="136" customFormat="1" ht="30" x14ac:dyDescent="0.2">
      <c r="A30" s="137" t="s">
        <v>2170</v>
      </c>
      <c r="B30" s="137">
        <v>3</v>
      </c>
    </row>
    <row r="31" spans="1:6" s="136" customFormat="1" ht="60" x14ac:dyDescent="0.2">
      <c r="A31" s="137" t="s">
        <v>2172</v>
      </c>
      <c r="B31" s="137">
        <f ca="1">INDIRECT("N_SNPs!"&amp;"Q"&amp;B$1+2)</f>
        <v>1</v>
      </c>
    </row>
    <row r="32" spans="1:6" s="136" customFormat="1" x14ac:dyDescent="0.2">
      <c r="A32" s="137" t="s">
        <v>1686</v>
      </c>
      <c r="B32" s="137">
        <f ca="1">INDIRECT("N_SNPs!"&amp;"R"&amp;B$1+2)</f>
        <v>0</v>
      </c>
    </row>
    <row r="33" spans="1:3" s="172" customFormat="1" x14ac:dyDescent="0.2">
      <c r="A33" s="171" t="s">
        <v>1808</v>
      </c>
      <c r="B33" s="171">
        <v>1</v>
      </c>
    </row>
    <row r="34" spans="1:3" s="172" customFormat="1" x14ac:dyDescent="0.2">
      <c r="A34" s="203" t="s">
        <v>2177</v>
      </c>
      <c r="B34" s="171">
        <v>0</v>
      </c>
    </row>
    <row r="35" spans="1:3" s="172" customFormat="1" ht="60" x14ac:dyDescent="0.2">
      <c r="A35" s="171" t="s">
        <v>1810</v>
      </c>
      <c r="B35" s="171">
        <v>5</v>
      </c>
    </row>
    <row r="36" spans="1:3" s="174" customFormat="1" x14ac:dyDescent="0.2">
      <c r="A36" s="173" t="s">
        <v>1835</v>
      </c>
      <c r="B36" s="225" t="s">
        <v>1752</v>
      </c>
      <c r="C36" s="174" t="s">
        <v>2421</v>
      </c>
    </row>
    <row r="37" spans="1:3" s="174" customFormat="1" x14ac:dyDescent="0.2">
      <c r="A37" s="173" t="s">
        <v>2272</v>
      </c>
      <c r="B37" s="225" t="s">
        <v>1752</v>
      </c>
    </row>
    <row r="38" spans="1:3" s="174" customFormat="1" ht="30" x14ac:dyDescent="0.2">
      <c r="A38" s="173" t="s">
        <v>2299</v>
      </c>
      <c r="B38" s="225" t="s">
        <v>1752</v>
      </c>
    </row>
    <row r="39" spans="1:3" s="174" customFormat="1" x14ac:dyDescent="0.2">
      <c r="A39" s="173" t="s">
        <v>2273</v>
      </c>
      <c r="B39" s="173">
        <v>0</v>
      </c>
    </row>
    <row r="40" spans="1:3" s="174" customFormat="1" ht="30" x14ac:dyDescent="0.2">
      <c r="A40" s="173" t="s">
        <v>2274</v>
      </c>
      <c r="B40" s="173" t="s">
        <v>1752</v>
      </c>
    </row>
    <row r="41" spans="1:3" s="176" customFormat="1" ht="90" x14ac:dyDescent="0.2">
      <c r="A41" s="175" t="s">
        <v>1815</v>
      </c>
      <c r="B41" s="66" t="s">
        <v>2282</v>
      </c>
    </row>
    <row r="42" spans="1:3" s="176" customFormat="1" x14ac:dyDescent="0.2">
      <c r="A42" s="175" t="s">
        <v>1881</v>
      </c>
      <c r="B42" s="66" t="s">
        <v>1888</v>
      </c>
    </row>
    <row r="43" spans="1:3" x14ac:dyDescent="0.2">
      <c r="A43" s="34" t="s">
        <v>1398</v>
      </c>
      <c r="B43" s="57"/>
    </row>
    <row r="44" spans="1:3" x14ac:dyDescent="0.2">
      <c r="A44" s="34" t="s">
        <v>1410</v>
      </c>
    </row>
    <row r="45" spans="1:3" x14ac:dyDescent="0.2">
      <c r="A45" s="34" t="s">
        <v>2374</v>
      </c>
      <c r="B45" s="33" t="s">
        <v>1752</v>
      </c>
    </row>
    <row r="46" spans="1:3" x14ac:dyDescent="0.2">
      <c r="A46" s="34" t="s">
        <v>1416</v>
      </c>
      <c r="B46" s="66" t="s">
        <v>1781</v>
      </c>
    </row>
    <row r="47" spans="1:3" x14ac:dyDescent="0.2">
      <c r="B47" s="66"/>
    </row>
  </sheetData>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50"/>
  </sheetPr>
  <dimension ref="A1:M49"/>
  <sheetViews>
    <sheetView zoomScale="90" zoomScaleNormal="90" zoomScalePageLayoutView="90" workbookViewId="0">
      <pane xSplit="1" ySplit="1" topLeftCell="B22"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4" max="4" width="17.6640625" customWidth="1"/>
    <col min="5" max="5" width="9.83203125" customWidth="1"/>
    <col min="6" max="6" width="7.5" customWidth="1"/>
    <col min="7" max="7" width="8.5" customWidth="1"/>
    <col min="8" max="8" width="9.5" bestFit="1" customWidth="1"/>
  </cols>
  <sheetData>
    <row r="1" spans="1:13" s="58" customFormat="1" x14ac:dyDescent="0.2">
      <c r="A1" s="63" t="s">
        <v>1360</v>
      </c>
      <c r="B1" s="57">
        <v>11</v>
      </c>
      <c r="D1" s="52" t="s">
        <v>1851</v>
      </c>
      <c r="E1" s="52"/>
      <c r="F1" s="52"/>
      <c r="G1" s="52"/>
      <c r="H1" s="52"/>
      <c r="I1" s="52"/>
      <c r="J1" s="52"/>
      <c r="K1" s="52"/>
      <c r="L1" s="52"/>
      <c r="M1" s="52"/>
    </row>
    <row r="2" spans="1:13" ht="76.75" customHeight="1" x14ac:dyDescent="0.2">
      <c r="A2" s="34" t="s">
        <v>1321</v>
      </c>
      <c r="B2" s="33" t="str">
        <f ca="1">INDIRECT("main!"&amp;"C"&amp;B$1+2)</f>
        <v>Dannlowski, U.; Grabe, H. J.; Wittfeld, K.; Klaus, J.; Konrad, C.; Grotegerd, D.; Redlich, R.; Suslow, T.; Opel, N.; Ohrmann, P.; Bauer, J.; Zwanzger, P.; Laeger, I.; Hohoff, C.; Arolt, V.; Heindel, W.; Deppe, M.; Domschke, K.; Hegenscheid, K.; Voelzke, H.; Stacey, D.; Schwabedissen, H. Meyer Zu; Kugel, H.; Baune, B. T.</v>
      </c>
      <c r="D2" s="73" t="s">
        <v>1537</v>
      </c>
      <c r="E2" s="53"/>
      <c r="F2" s="53"/>
      <c r="G2" s="53"/>
      <c r="H2" s="53"/>
      <c r="I2" s="53" t="s">
        <v>1382</v>
      </c>
      <c r="J2" s="53"/>
      <c r="K2" s="53"/>
      <c r="L2" s="53"/>
      <c r="M2" s="53"/>
    </row>
    <row r="3" spans="1:13" ht="44.75" customHeight="1" x14ac:dyDescent="0.2">
      <c r="A3" s="34" t="s">
        <v>1322</v>
      </c>
      <c r="B3" s="33" t="str">
        <f ca="1">INDIRECT("main!"&amp;"D"&amp;B$1+2)</f>
        <v>Multimodal imaging of a tescalcin (TESC)-regulating polymorphism (rs7294919)-specific effects on hippocampal gray matter structure</v>
      </c>
      <c r="C3" t="s">
        <v>1476</v>
      </c>
      <c r="D3" s="53" t="s">
        <v>1395</v>
      </c>
      <c r="E3" s="53" t="s">
        <v>1366</v>
      </c>
      <c r="F3" s="53" t="s">
        <v>1367</v>
      </c>
      <c r="G3" s="53" t="s">
        <v>1368</v>
      </c>
      <c r="H3" s="54" t="s">
        <v>0</v>
      </c>
      <c r="I3" t="s">
        <v>1369</v>
      </c>
      <c r="J3" t="s">
        <v>1370</v>
      </c>
      <c r="K3" s="53" t="s">
        <v>1371</v>
      </c>
      <c r="L3" s="54" t="s">
        <v>1372</v>
      </c>
      <c r="M3" s="54" t="s">
        <v>1373</v>
      </c>
    </row>
    <row r="4" spans="1:13" x14ac:dyDescent="0.2">
      <c r="A4" s="34" t="s">
        <v>1324</v>
      </c>
      <c r="B4" s="33" t="str">
        <f ca="1">INDIRECT("main!"&amp;"J"&amp;B$1+2)</f>
        <v>10.1038/mp.2014.39</v>
      </c>
      <c r="D4" s="54" t="s">
        <v>2256</v>
      </c>
      <c r="E4" s="55"/>
      <c r="F4" s="55"/>
      <c r="G4" s="55"/>
      <c r="H4" s="55">
        <v>151</v>
      </c>
      <c r="I4">
        <f>H4*F4</f>
        <v>0</v>
      </c>
      <c r="J4">
        <f>(H4*(H4-1)*G4^2+I4^2)/H4</f>
        <v>0</v>
      </c>
      <c r="K4" s="53">
        <f>E4*I4</f>
        <v>0</v>
      </c>
      <c r="L4" s="53">
        <f>E4*H4</f>
        <v>0</v>
      </c>
      <c r="M4" s="53">
        <f>E4^2*H4</f>
        <v>0</v>
      </c>
    </row>
    <row r="5" spans="1:13" ht="43.5" customHeight="1" x14ac:dyDescent="0.2">
      <c r="A5" s="34" t="s">
        <v>1327</v>
      </c>
      <c r="B5" s="33" t="str">
        <f ca="1">INDIRECT("main!"&amp;"M"&amp;B$1+2)</f>
        <v>Two German samples from general population: Münster sample and new subsample of the SHIP-TREND MRI cohort that was not part of previously published GWAS</v>
      </c>
      <c r="D5" s="54" t="s">
        <v>1363</v>
      </c>
      <c r="E5" s="55"/>
      <c r="F5" s="55"/>
      <c r="G5" s="55"/>
      <c r="H5" s="55">
        <v>570</v>
      </c>
      <c r="I5">
        <f t="shared" ref="I5" si="0">H5*F5</f>
        <v>0</v>
      </c>
      <c r="J5">
        <f t="shared" ref="J5" si="1">(H5*(H5-1)*G5^2+I5^2)/H5</f>
        <v>0</v>
      </c>
      <c r="K5" s="53">
        <f t="shared" ref="K5" si="2">E5*I5</f>
        <v>0</v>
      </c>
      <c r="L5" s="53">
        <f t="shared" ref="L5" si="3">E5*H5</f>
        <v>0</v>
      </c>
      <c r="M5" s="53">
        <f t="shared" ref="M5" si="4">E5^2*H5</f>
        <v>0</v>
      </c>
    </row>
    <row r="6" spans="1:13" x14ac:dyDescent="0.2">
      <c r="A6" s="34" t="s">
        <v>1333</v>
      </c>
      <c r="B6" s="33" t="str">
        <f ca="1">INDIRECT("main!"&amp;"L"&amp;B$1+2)</f>
        <v>Sample 1: N = 512; Sample 2: N = 721</v>
      </c>
      <c r="D6" s="54"/>
      <c r="E6" s="55"/>
      <c r="F6" s="55"/>
      <c r="G6" s="55"/>
      <c r="H6" s="55"/>
      <c r="I6" s="55"/>
      <c r="J6" s="55"/>
      <c r="K6" s="55"/>
      <c r="L6" s="55"/>
      <c r="M6" s="55"/>
    </row>
    <row r="7" spans="1:13" x14ac:dyDescent="0.2">
      <c r="A7" s="34" t="s">
        <v>1903</v>
      </c>
      <c r="B7" s="33">
        <v>1</v>
      </c>
      <c r="D7" s="54"/>
      <c r="E7" s="55"/>
      <c r="F7" s="55"/>
      <c r="G7" s="55"/>
      <c r="H7" s="55"/>
      <c r="I7" s="55"/>
      <c r="J7" s="55"/>
      <c r="K7" s="55"/>
      <c r="L7" s="55"/>
      <c r="M7" s="55"/>
    </row>
    <row r="8" spans="1:13" x14ac:dyDescent="0.2">
      <c r="A8" s="34" t="s">
        <v>343</v>
      </c>
      <c r="B8" s="33" t="str">
        <f ca="1">INDIRECT("main!"&amp;"q"&amp;B$1+2)</f>
        <v>TESC regulating polymorphism</v>
      </c>
      <c r="D8" s="54"/>
      <c r="E8" s="55" t="s">
        <v>1374</v>
      </c>
      <c r="F8" s="55"/>
      <c r="G8" s="55"/>
      <c r="H8" s="55">
        <f>SUM(H4:H6)</f>
        <v>721</v>
      </c>
      <c r="I8" s="55">
        <f>SUM(I4:I6)</f>
        <v>0</v>
      </c>
      <c r="J8" s="55">
        <f t="shared" ref="J8:M8" si="5">SUM(J4:J6)</f>
        <v>0</v>
      </c>
      <c r="K8" s="55">
        <f t="shared" si="5"/>
        <v>0</v>
      </c>
      <c r="L8" s="55">
        <f t="shared" si="5"/>
        <v>0</v>
      </c>
      <c r="M8" s="55">
        <f t="shared" si="5"/>
        <v>0</v>
      </c>
    </row>
    <row r="9" spans="1:13" ht="20.5" customHeight="1" x14ac:dyDescent="0.2">
      <c r="A9" s="34" t="s">
        <v>1329</v>
      </c>
      <c r="B9" s="33" t="str">
        <f ca="1">INDIRECT("main!"&amp;"r"&amp;B$1+2)</f>
        <v>rs7294919</v>
      </c>
      <c r="D9" s="53"/>
      <c r="E9" s="55"/>
      <c r="F9" s="55"/>
      <c r="G9" s="55"/>
      <c r="H9" s="55"/>
      <c r="I9" s="55"/>
      <c r="J9" s="55"/>
      <c r="K9" s="53"/>
      <c r="L9" s="53"/>
      <c r="M9" s="53"/>
    </row>
    <row r="10" spans="1:13" ht="78" customHeight="1" x14ac:dyDescent="0.2">
      <c r="A10" s="34" t="s">
        <v>1323</v>
      </c>
      <c r="B10" s="33" t="str">
        <f ca="1">INDIRECT("main!"&amp;"O"&amp;B$1+2)</f>
        <v>Voxel based morphometry, local gray matter volume; subsample white matter fiber structure (DTI) (N=220); subsample fMRI limbic areas facial emotion processing (N=264); gene x environment (childhood maltreatment) and gene x gene interactions with (FKBP5, Reelin, IL-6, TNF-α, BDNF and 5-HTTLPR/rs25531)</v>
      </c>
      <c r="D10" s="53" t="s">
        <v>1406</v>
      </c>
      <c r="E10" s="55"/>
      <c r="F10" s="55"/>
      <c r="G10" s="55"/>
      <c r="H10" s="55"/>
      <c r="I10" s="55"/>
      <c r="J10" s="55"/>
      <c r="K10" s="53"/>
      <c r="L10" s="53"/>
      <c r="M10" s="53"/>
    </row>
    <row r="11" spans="1:13" ht="30.25" customHeight="1" x14ac:dyDescent="0.2">
      <c r="A11" s="34" t="s">
        <v>1396</v>
      </c>
      <c r="B11" s="33" t="str">
        <f ca="1">INDIRECT("main!"&amp;"W"&amp;B$1+2)</f>
        <v>Group statistics with second-level models using SPM8 for each sample separately.  t-tests comparing genotype groups. Age and gender as nuisance regressors. Also G x G and G x E interaction analyses</v>
      </c>
      <c r="D11" s="53"/>
      <c r="E11" s="69"/>
      <c r="F11" s="69"/>
      <c r="G11" s="55"/>
      <c r="H11" s="55"/>
      <c r="I11" s="55"/>
      <c r="J11" s="55"/>
      <c r="K11" s="53"/>
      <c r="L11" s="53"/>
      <c r="M11" s="53"/>
    </row>
    <row r="12" spans="1:13" ht="51.5" customHeight="1" x14ac:dyDescent="0.2">
      <c r="A12" s="34" t="s">
        <v>1896</v>
      </c>
      <c r="B12" s="33" t="s">
        <v>1474</v>
      </c>
      <c r="D12" s="53"/>
      <c r="E12" s="70"/>
      <c r="F12" s="69"/>
      <c r="G12" s="53"/>
      <c r="H12" s="53"/>
      <c r="I12" s="53"/>
      <c r="J12" s="53"/>
      <c r="K12" s="53"/>
      <c r="L12" s="53"/>
      <c r="M12" s="53"/>
    </row>
    <row r="13" spans="1:13" ht="90.5" customHeight="1" x14ac:dyDescent="0.2">
      <c r="A13" s="34" t="s">
        <v>1326</v>
      </c>
      <c r="B13" s="33" t="s">
        <v>1473</v>
      </c>
      <c r="D13" s="53"/>
      <c r="E13" s="56"/>
      <c r="F13" s="53"/>
      <c r="G13" s="53"/>
      <c r="H13" s="53"/>
      <c r="I13" s="53"/>
      <c r="J13" s="53"/>
      <c r="K13" s="53"/>
      <c r="L13" s="53"/>
      <c r="M13" s="53"/>
    </row>
    <row r="14" spans="1:13" x14ac:dyDescent="0.2">
      <c r="A14" s="34" t="s">
        <v>1852</v>
      </c>
      <c r="B14" s="33" t="str">
        <f>D4&amp;" (N = "&amp;H4&amp;"); "&amp;D5&amp;" (N = "&amp;H5&amp;") "</f>
        <v xml:space="preserve">CC/CT (N = 151); TT (N = 570) </v>
      </c>
      <c r="E14" s="53"/>
      <c r="F14" s="53"/>
      <c r="G14" s="53"/>
      <c r="H14" s="53"/>
      <c r="I14" s="53"/>
      <c r="J14" s="53"/>
      <c r="K14" s="53"/>
      <c r="L14" s="53"/>
      <c r="M14" s="53"/>
    </row>
    <row r="15" spans="1:13" x14ac:dyDescent="0.2">
      <c r="A15" s="34" t="s">
        <v>1848</v>
      </c>
      <c r="B15" s="62">
        <f>F18</f>
        <v>0.17038222910265771</v>
      </c>
      <c r="D15" s="58" t="s">
        <v>1438</v>
      </c>
      <c r="E15" s="58"/>
      <c r="F15" s="58"/>
    </row>
    <row r="16" spans="1:13" ht="30" x14ac:dyDescent="0.2">
      <c r="A16" s="34" t="s">
        <v>1897</v>
      </c>
      <c r="B16" s="62" t="s">
        <v>2086</v>
      </c>
      <c r="D16" s="58"/>
      <c r="E16" s="58"/>
      <c r="F16" s="58"/>
    </row>
    <row r="17" spans="1:6" ht="16" x14ac:dyDescent="0.2">
      <c r="A17" s="204" t="s">
        <v>2189</v>
      </c>
      <c r="B17" s="33">
        <v>0.10299999999999999</v>
      </c>
      <c r="D17" t="s">
        <v>0</v>
      </c>
      <c r="E17" t="s">
        <v>1440</v>
      </c>
      <c r="F17" t="s">
        <v>1378</v>
      </c>
    </row>
    <row r="18" spans="1:6" x14ac:dyDescent="0.2">
      <c r="A18" s="64" t="s">
        <v>1401</v>
      </c>
      <c r="B18" s="33">
        <v>0.76700000000000002</v>
      </c>
      <c r="D18">
        <v>717</v>
      </c>
      <c r="E18">
        <v>4.63</v>
      </c>
      <c r="F18">
        <f>SQRT(E18^2/(E18^2+D18))</f>
        <v>0.17038222910265771</v>
      </c>
    </row>
    <row r="19" spans="1:6" x14ac:dyDescent="0.2">
      <c r="A19" s="64" t="s">
        <v>1346</v>
      </c>
      <c r="B19" s="33" t="s">
        <v>359</v>
      </c>
    </row>
    <row r="20" spans="1:6" x14ac:dyDescent="0.2">
      <c r="A20" s="64" t="s">
        <v>1388</v>
      </c>
      <c r="B20" s="33" t="s">
        <v>2169</v>
      </c>
      <c r="D20" s="58" t="s">
        <v>2085</v>
      </c>
      <c r="E20">
        <f>TDIST(E18,D18-2,2)</f>
        <v>4.3431683859381756E-6</v>
      </c>
    </row>
    <row r="21" spans="1:6" ht="59.25" customHeight="1" x14ac:dyDescent="0.2">
      <c r="A21" s="64" t="s">
        <v>1390</v>
      </c>
      <c r="B21" s="33" t="s">
        <v>1471</v>
      </c>
      <c r="D21" s="236" t="s">
        <v>2415</v>
      </c>
      <c r="E21" s="236" t="s">
        <v>2416</v>
      </c>
    </row>
    <row r="22" spans="1:6" ht="45" x14ac:dyDescent="0.2">
      <c r="A22" s="34" t="s">
        <v>1387</v>
      </c>
      <c r="B22" s="33" t="s">
        <v>1858</v>
      </c>
      <c r="D22" s="236">
        <v>512</v>
      </c>
      <c r="E22" s="236">
        <v>721</v>
      </c>
    </row>
    <row r="23" spans="1:6" ht="30" x14ac:dyDescent="0.2">
      <c r="A23" s="34" t="s">
        <v>1426</v>
      </c>
      <c r="B23" s="57" t="s">
        <v>1477</v>
      </c>
    </row>
    <row r="24" spans="1:6" s="140" customFormat="1" x14ac:dyDescent="0.2">
      <c r="A24" s="138" t="s">
        <v>1746</v>
      </c>
      <c r="B24" s="139"/>
    </row>
    <row r="25" spans="1:6" s="136" customFormat="1" ht="30" x14ac:dyDescent="0.2">
      <c r="A25" s="137" t="s">
        <v>1753</v>
      </c>
      <c r="B25" s="137" t="s">
        <v>2260</v>
      </c>
    </row>
    <row r="26" spans="1:6" s="136" customFormat="1" x14ac:dyDescent="0.2">
      <c r="A26" s="137" t="s">
        <v>1681</v>
      </c>
      <c r="B26" s="137">
        <f ca="1">INDIRECT("N_SNPs!"&amp;"L"&amp;B$1+2)</f>
        <v>0</v>
      </c>
    </row>
    <row r="27" spans="1:6" s="136" customFormat="1" x14ac:dyDescent="0.2">
      <c r="A27" s="137" t="s">
        <v>1747</v>
      </c>
      <c r="B27" s="137">
        <f ca="1">INDIRECT("N_SNPs!"&amp;"M"&amp;B$1+2)</f>
        <v>1</v>
      </c>
    </row>
    <row r="28" spans="1:6" s="136" customFormat="1" x14ac:dyDescent="0.2">
      <c r="A28" s="137" t="s">
        <v>1683</v>
      </c>
      <c r="B28" s="137" t="str">
        <f ca="1">INDIRECT("N_SNPs!"&amp;"N"&amp;B$1+2)</f>
        <v>not needed</v>
      </c>
    </row>
    <row r="29" spans="1:6" s="136" customFormat="1" x14ac:dyDescent="0.2">
      <c r="A29" s="137" t="s">
        <v>2171</v>
      </c>
      <c r="B29" s="137">
        <f ca="1">INDIRECT("N_SNPs!"&amp;"O"&amp;B$1+2)</f>
        <v>1</v>
      </c>
    </row>
    <row r="30" spans="1:6" s="136" customFormat="1" ht="30" x14ac:dyDescent="0.2">
      <c r="A30" s="137" t="s">
        <v>2170</v>
      </c>
      <c r="B30" s="137">
        <v>0</v>
      </c>
    </row>
    <row r="31" spans="1:6" s="136" customFormat="1" ht="60" x14ac:dyDescent="0.2">
      <c r="A31" s="137" t="s">
        <v>2172</v>
      </c>
      <c r="B31" s="137">
        <f ca="1">INDIRECT("N_SNPs!"&amp;"Q"&amp;B$1+2)</f>
        <v>5</v>
      </c>
    </row>
    <row r="32" spans="1:6" s="136" customFormat="1" x14ac:dyDescent="0.2">
      <c r="A32" s="137" t="s">
        <v>1686</v>
      </c>
      <c r="B32" s="137">
        <f ca="1">INDIRECT("N_SNPs!"&amp;"R"&amp;B$1+2)</f>
        <v>0</v>
      </c>
    </row>
    <row r="33" spans="1:3" s="172" customFormat="1" x14ac:dyDescent="0.2">
      <c r="A33" s="171" t="s">
        <v>1808</v>
      </c>
      <c r="B33" s="171">
        <v>1</v>
      </c>
    </row>
    <row r="34" spans="1:3" s="172" customFormat="1" x14ac:dyDescent="0.2">
      <c r="A34" s="203" t="s">
        <v>2177</v>
      </c>
      <c r="B34" s="171">
        <v>0</v>
      </c>
    </row>
    <row r="35" spans="1:3" s="172" customFormat="1" ht="60" x14ac:dyDescent="0.2">
      <c r="A35" s="171" t="s">
        <v>1810</v>
      </c>
      <c r="B35" s="171">
        <v>5</v>
      </c>
    </row>
    <row r="36" spans="1:3" s="174" customFormat="1" ht="75" x14ac:dyDescent="0.2">
      <c r="A36" s="173" t="s">
        <v>1835</v>
      </c>
      <c r="B36" s="33" t="s">
        <v>2281</v>
      </c>
      <c r="C36" s="174" t="s">
        <v>2426</v>
      </c>
    </row>
    <row r="37" spans="1:3" s="174" customFormat="1" ht="135" x14ac:dyDescent="0.2">
      <c r="A37" s="173" t="s">
        <v>2272</v>
      </c>
      <c r="B37" s="33" t="s">
        <v>2280</v>
      </c>
    </row>
    <row r="38" spans="1:3" s="174" customFormat="1" ht="30" x14ac:dyDescent="0.2">
      <c r="A38" s="173" t="s">
        <v>2299</v>
      </c>
      <c r="B38" s="183">
        <v>1</v>
      </c>
    </row>
    <row r="39" spans="1:3" s="174" customFormat="1" x14ac:dyDescent="0.2">
      <c r="A39" s="173" t="s">
        <v>2273</v>
      </c>
      <c r="B39" s="173">
        <v>3</v>
      </c>
      <c r="C39" s="174" t="s">
        <v>2179</v>
      </c>
    </row>
    <row r="40" spans="1:3" s="174" customFormat="1" ht="30" x14ac:dyDescent="0.2">
      <c r="A40" s="173" t="s">
        <v>2274</v>
      </c>
      <c r="B40" s="173">
        <v>1</v>
      </c>
    </row>
    <row r="41" spans="1:3" s="176" customFormat="1" x14ac:dyDescent="0.2">
      <c r="A41" s="175" t="s">
        <v>1815</v>
      </c>
      <c r="B41" s="175" t="s">
        <v>2186</v>
      </c>
    </row>
    <row r="42" spans="1:3" s="176" customFormat="1" x14ac:dyDescent="0.2">
      <c r="A42" s="175" t="s">
        <v>1881</v>
      </c>
      <c r="B42" s="175" t="s">
        <v>494</v>
      </c>
    </row>
    <row r="43" spans="1:3" x14ac:dyDescent="0.2">
      <c r="A43" s="34" t="s">
        <v>1398</v>
      </c>
      <c r="B43" s="57"/>
    </row>
    <row r="44" spans="1:3" x14ac:dyDescent="0.2">
      <c r="A44" s="34" t="s">
        <v>1410</v>
      </c>
    </row>
    <row r="45" spans="1:3" x14ac:dyDescent="0.2">
      <c r="A45" s="34" t="s">
        <v>2374</v>
      </c>
      <c r="B45" s="33">
        <v>1</v>
      </c>
    </row>
    <row r="46" spans="1:3" x14ac:dyDescent="0.2">
      <c r="A46" s="34" t="s">
        <v>1416</v>
      </c>
      <c r="B46" s="66" t="s">
        <v>1478</v>
      </c>
    </row>
    <row r="48" spans="1:3" x14ac:dyDescent="0.2">
      <c r="A48" s="34" t="s">
        <v>1490</v>
      </c>
      <c r="B48" s="33" t="s">
        <v>2382</v>
      </c>
    </row>
    <row r="49" spans="2:2" x14ac:dyDescent="0.2">
      <c r="B49" s="33" t="s">
        <v>2383</v>
      </c>
    </row>
  </sheetData>
  <pageMargins left="0.7" right="0.7" top="0.75" bottom="0.75" header="0.3" footer="0.3"/>
  <pageSetup paperSize="9" orientation="portrait"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N50"/>
  <sheetViews>
    <sheetView zoomScale="90" zoomScaleNormal="90" zoomScalePageLayoutView="90" workbookViewId="0">
      <pane xSplit="1" ySplit="1" topLeftCell="B29"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4" max="4" width="17.6640625" customWidth="1"/>
    <col min="5" max="5" width="9.83203125" customWidth="1"/>
    <col min="6" max="6" width="7.5" customWidth="1"/>
    <col min="7" max="7" width="8.5" customWidth="1"/>
    <col min="8" max="8" width="9.5" bestFit="1" customWidth="1"/>
  </cols>
  <sheetData>
    <row r="1" spans="1:13" s="58" customFormat="1" x14ac:dyDescent="0.2">
      <c r="A1" s="63" t="s">
        <v>1360</v>
      </c>
      <c r="B1" s="57">
        <v>10</v>
      </c>
      <c r="D1" s="52" t="s">
        <v>1851</v>
      </c>
      <c r="E1" s="52"/>
      <c r="F1" s="52"/>
      <c r="G1" s="52"/>
      <c r="H1" s="52"/>
      <c r="I1" s="52"/>
      <c r="J1" s="52"/>
      <c r="K1" s="52"/>
      <c r="L1" s="52"/>
      <c r="M1" s="52"/>
    </row>
    <row r="2" spans="1:13" ht="48.25" customHeight="1" x14ac:dyDescent="0.2">
      <c r="A2" s="34" t="s">
        <v>1321</v>
      </c>
      <c r="B2" s="33" t="str">
        <f ca="1">INDIRECT("main!"&amp;"C"&amp;B$1+2)</f>
        <v>Sun, Xue; Kroemer, Nils B.; Veldhuizen, Maria G.; Babbs, Amanda E.; de Araujo, Ivan E.; Gitelman, Darren R.; Sherwin, Robert S.; Sinha, Rajita; Small, Dana M.</v>
      </c>
      <c r="D2" s="73" t="s">
        <v>1537</v>
      </c>
      <c r="E2" s="53"/>
      <c r="F2" s="53"/>
      <c r="G2" s="53"/>
      <c r="H2" s="53"/>
      <c r="I2" s="53" t="s">
        <v>1382</v>
      </c>
      <c r="J2" s="53"/>
      <c r="K2" s="53"/>
      <c r="L2" s="53"/>
      <c r="M2" s="53"/>
    </row>
    <row r="3" spans="1:13" ht="35.5" customHeight="1" x14ac:dyDescent="0.2">
      <c r="A3" s="34" t="s">
        <v>1322</v>
      </c>
      <c r="B3" s="33" t="str">
        <f ca="1">INDIRECT("main!"&amp;"D"&amp;B$1+2)</f>
        <v>Basolateral Amygdala Response to Food Cues in the Absence of Hunger Is Associated with Weight Gain Susceptibility</v>
      </c>
      <c r="C3" s="53" t="s">
        <v>581</v>
      </c>
      <c r="D3" s="53" t="s">
        <v>1395</v>
      </c>
      <c r="E3" s="53" t="s">
        <v>1366</v>
      </c>
      <c r="F3" s="53" t="s">
        <v>1367</v>
      </c>
      <c r="G3" s="53" t="s">
        <v>1368</v>
      </c>
      <c r="H3" s="54" t="s">
        <v>0</v>
      </c>
      <c r="I3" t="s">
        <v>1369</v>
      </c>
      <c r="J3" t="s">
        <v>1370</v>
      </c>
      <c r="K3" s="53" t="s">
        <v>1371</v>
      </c>
      <c r="L3" s="54" t="s">
        <v>1372</v>
      </c>
      <c r="M3" s="54" t="s">
        <v>1373</v>
      </c>
    </row>
    <row r="4" spans="1:13" x14ac:dyDescent="0.2">
      <c r="A4" s="34" t="s">
        <v>1324</v>
      </c>
      <c r="B4" s="33" t="str">
        <f ca="1">INDIRECT("main!"&amp;"J"&amp;B$1+2)</f>
        <v>10.1523/JNEUROSCI.3884-14.2015</v>
      </c>
      <c r="D4" s="54" t="s">
        <v>1466</v>
      </c>
      <c r="E4" s="55">
        <v>0</v>
      </c>
      <c r="F4" s="55">
        <v>-1.3390000000000001E-2</v>
      </c>
      <c r="G4" s="55">
        <v>1.004</v>
      </c>
      <c r="H4" s="55">
        <v>17</v>
      </c>
      <c r="I4">
        <f>H4*F4</f>
        <v>-0.22763000000000003</v>
      </c>
      <c r="J4">
        <f>(H4*(H4-1)*G4^2+I4^2)/H4</f>
        <v>16.131303965700003</v>
      </c>
      <c r="K4" s="53">
        <f>E4*I4</f>
        <v>0</v>
      </c>
      <c r="L4" s="53">
        <f>E4*H4</f>
        <v>0</v>
      </c>
      <c r="M4" s="53">
        <f>E4^2*H4</f>
        <v>0</v>
      </c>
    </row>
    <row r="5" spans="1:13" ht="33.5" customHeight="1" x14ac:dyDescent="0.2">
      <c r="A5" s="34" t="s">
        <v>1327</v>
      </c>
      <c r="B5" s="33" t="str">
        <f ca="1">INDIRECT("main!"&amp;"M"&amp;B$1+2)</f>
        <v xml:space="preserve">Right handed; 15 male M=25.3 years, SD=5.6, range 18-40; greater New Haven area; were enrolled based on BMI and genotype, matched on age, sex, genotype </v>
      </c>
      <c r="D5" s="54" t="s">
        <v>1467</v>
      </c>
      <c r="E5" s="55">
        <v>1</v>
      </c>
      <c r="F5" s="55">
        <v>1.51836E-2</v>
      </c>
      <c r="G5" s="55">
        <v>0.99399999999999999</v>
      </c>
      <c r="H5" s="55">
        <v>15</v>
      </c>
      <c r="I5">
        <f t="shared" ref="I5" si="0">H5*F5</f>
        <v>0.22775400000000001</v>
      </c>
      <c r="J5">
        <f t="shared" ref="J5" si="1">(H5*(H5-1)*G5^2+I5^2)/H5</f>
        <v>13.835962125634401</v>
      </c>
      <c r="K5" s="53">
        <f t="shared" ref="K5" si="2">E5*I5</f>
        <v>0.22775400000000001</v>
      </c>
      <c r="L5" s="53">
        <f t="shared" ref="L5" si="3">E5*H5</f>
        <v>15</v>
      </c>
      <c r="M5" s="53">
        <f t="shared" ref="M5" si="4">E5^2*H5</f>
        <v>15</v>
      </c>
    </row>
    <row r="6" spans="1:13" x14ac:dyDescent="0.2">
      <c r="A6" s="34" t="s">
        <v>1333</v>
      </c>
      <c r="B6" s="33" t="str">
        <f ca="1">INDIRECT("main!"&amp;"L"&amp;B$1+2)</f>
        <v>N = 32</v>
      </c>
      <c r="D6" s="54"/>
      <c r="E6" s="55"/>
      <c r="F6" s="55"/>
      <c r="G6" s="55"/>
      <c r="H6" s="55"/>
      <c r="I6" s="55"/>
      <c r="J6" s="55"/>
      <c r="K6" s="55"/>
      <c r="L6" s="55"/>
      <c r="M6" s="55"/>
    </row>
    <row r="7" spans="1:13" x14ac:dyDescent="0.2">
      <c r="A7" s="34" t="s">
        <v>1903</v>
      </c>
      <c r="B7" s="33">
        <v>1</v>
      </c>
      <c r="D7" s="54"/>
      <c r="E7" s="55"/>
      <c r="F7" s="55"/>
      <c r="G7" s="55"/>
      <c r="H7" s="55"/>
      <c r="I7" s="55"/>
      <c r="J7" s="55"/>
      <c r="K7" s="55"/>
      <c r="L7" s="55"/>
      <c r="M7" s="55"/>
    </row>
    <row r="8" spans="1:13" x14ac:dyDescent="0.2">
      <c r="A8" s="34" t="s">
        <v>343</v>
      </c>
      <c r="B8" s="33" t="str">
        <f ca="1">INDIRECT("main!"&amp;"q"&amp;B$1+2)</f>
        <v>ANKK1</v>
      </c>
      <c r="D8" s="54"/>
      <c r="E8" s="55" t="s">
        <v>1374</v>
      </c>
      <c r="F8" s="55"/>
      <c r="G8" s="55"/>
      <c r="H8" s="55">
        <f>SUM(H4:H6)</f>
        <v>32</v>
      </c>
      <c r="I8" s="55">
        <f>SUM(I4:I6)</f>
        <v>1.2399999999998523E-4</v>
      </c>
      <c r="J8" s="55">
        <f t="shared" ref="J8:M8" si="5">SUM(J4:J6)</f>
        <v>29.967266091334402</v>
      </c>
      <c r="K8" s="55">
        <f t="shared" si="5"/>
        <v>0.22775400000000001</v>
      </c>
      <c r="L8" s="55">
        <f t="shared" si="5"/>
        <v>15</v>
      </c>
      <c r="M8" s="55">
        <f t="shared" si="5"/>
        <v>15</v>
      </c>
    </row>
    <row r="9" spans="1:13" ht="20.5" customHeight="1" x14ac:dyDescent="0.2">
      <c r="A9" s="34" t="s">
        <v>1329</v>
      </c>
      <c r="B9" s="33" t="str">
        <f ca="1">INDIRECT("main!"&amp;"r"&amp;B$1+2)</f>
        <v>Taq1A</v>
      </c>
      <c r="D9" s="53"/>
      <c r="E9" s="55"/>
      <c r="F9" s="55"/>
      <c r="G9" s="55"/>
      <c r="H9" s="55"/>
      <c r="I9" s="55"/>
      <c r="J9" s="55"/>
      <c r="K9" s="53"/>
      <c r="L9" s="53"/>
      <c r="M9" s="53"/>
    </row>
    <row r="10" spans="1:13" ht="73.25" customHeight="1" x14ac:dyDescent="0.2">
      <c r="A10" s="34" t="s">
        <v>1323</v>
      </c>
      <c r="B10" s="33" t="str">
        <f ca="1">INDIRECT("main!"&amp;"O"&amp;B$1+2)</f>
        <v>fMRI: amygdala response to odor and taste of milkshakes when sated or hungry; weight gain at 1 year follow up</v>
      </c>
      <c r="D10" s="53" t="s">
        <v>1406</v>
      </c>
      <c r="E10" s="55"/>
      <c r="F10" s="55"/>
      <c r="G10" s="55"/>
      <c r="H10" s="55"/>
      <c r="I10" s="55"/>
      <c r="J10" s="55"/>
      <c r="K10" s="53"/>
      <c r="L10" s="53"/>
      <c r="M10" s="53"/>
    </row>
    <row r="11" spans="1:13" ht="93.75" customHeight="1" x14ac:dyDescent="0.2">
      <c r="A11" s="34" t="s">
        <v>1396</v>
      </c>
      <c r="B11" s="33" t="str">
        <f ca="1">INDIRECT("main!"&amp;"W"&amp;B$1+2)</f>
        <v>ANOVA; bootstapped correlation coefficients; stepwise regression; dynamic causal modeling</v>
      </c>
      <c r="D11" s="53" t="s">
        <v>1376</v>
      </c>
      <c r="E11" s="69" t="s">
        <v>1377</v>
      </c>
      <c r="F11" s="69">
        <f>(H8*K8-L8*I8)/(H8*M8-L8^2)</f>
        <v>2.8573600000000001E-2</v>
      </c>
      <c r="G11" s="55"/>
      <c r="H11" s="55"/>
      <c r="I11" s="55"/>
      <c r="J11" s="55"/>
      <c r="K11" s="53"/>
      <c r="L11" s="53"/>
      <c r="M11" s="53"/>
    </row>
    <row r="12" spans="1:13" ht="32.75" customHeight="1" x14ac:dyDescent="0.2">
      <c r="A12" s="34" t="s">
        <v>1896</v>
      </c>
      <c r="B12" s="33" t="s">
        <v>1469</v>
      </c>
      <c r="D12" s="53"/>
      <c r="E12" s="70" t="s">
        <v>1378</v>
      </c>
      <c r="F12" s="69">
        <f>(H8*K8-L8*I8)/SQRT((H8*M8-L8^2)*(H8*J8-I8^2))</f>
        <v>1.4734537207056827E-2</v>
      </c>
      <c r="G12" s="53"/>
      <c r="H12" s="53"/>
      <c r="I12" s="53"/>
      <c r="J12" s="53"/>
      <c r="K12" s="53"/>
      <c r="L12" s="53"/>
      <c r="M12" s="53"/>
    </row>
    <row r="13" spans="1:13" ht="90.5" customHeight="1" x14ac:dyDescent="0.2">
      <c r="A13" s="34" t="s">
        <v>1326</v>
      </c>
      <c r="B13" s="34" t="s">
        <v>1465</v>
      </c>
      <c r="D13" s="53"/>
      <c r="E13" s="56" t="s">
        <v>1379</v>
      </c>
      <c r="F13" s="53">
        <f>F12^2</f>
        <v>2.1710658670614201E-4</v>
      </c>
      <c r="G13" s="53"/>
      <c r="H13" s="53"/>
      <c r="I13" s="53"/>
      <c r="J13" s="53"/>
      <c r="K13" s="53"/>
      <c r="L13" s="53"/>
      <c r="M13" s="53"/>
    </row>
    <row r="14" spans="1:13" x14ac:dyDescent="0.2">
      <c r="A14" s="34" t="s">
        <v>1852</v>
      </c>
      <c r="B14" s="33" t="str">
        <f>D4&amp;" (N = "&amp;H4&amp;"); "&amp;D5&amp;" (N = "&amp;H5&amp;") "</f>
        <v xml:space="preserve">A+ (N = 17); A- (N = 15) </v>
      </c>
      <c r="E14" s="53"/>
      <c r="F14" s="53"/>
      <c r="G14" s="53"/>
      <c r="H14" s="53"/>
      <c r="I14" s="53"/>
      <c r="J14" s="53"/>
      <c r="K14" s="53"/>
      <c r="L14" s="53"/>
      <c r="M14" s="53"/>
    </row>
    <row r="15" spans="1:13" x14ac:dyDescent="0.2">
      <c r="A15" s="34" t="s">
        <v>1848</v>
      </c>
      <c r="B15" s="62">
        <f>J20</f>
        <v>0.66002656042496677</v>
      </c>
      <c r="D15" s="58" t="s">
        <v>2083</v>
      </c>
      <c r="E15" s="58"/>
      <c r="F15" s="58"/>
      <c r="G15" s="58"/>
    </row>
    <row r="16" spans="1:13" ht="30" x14ac:dyDescent="0.2">
      <c r="A16" s="34" t="s">
        <v>1897</v>
      </c>
      <c r="B16" s="62" t="s">
        <v>2082</v>
      </c>
      <c r="D16" s="58" t="s">
        <v>2084</v>
      </c>
      <c r="E16" s="58"/>
      <c r="F16" s="58"/>
      <c r="G16" s="58"/>
    </row>
    <row r="17" spans="1:14" ht="16" x14ac:dyDescent="0.2">
      <c r="A17" s="204" t="s">
        <v>2189</v>
      </c>
      <c r="B17" s="33">
        <v>0.47199999999999998</v>
      </c>
      <c r="D17" s="58" t="s">
        <v>2201</v>
      </c>
      <c r="E17" s="58"/>
      <c r="F17" s="58"/>
      <c r="G17" s="58"/>
    </row>
    <row r="18" spans="1:14" x14ac:dyDescent="0.2">
      <c r="A18" s="64" t="s">
        <v>1401</v>
      </c>
      <c r="B18" s="33">
        <v>8.4000000000000005E-2</v>
      </c>
      <c r="D18" s="58" t="s">
        <v>2202</v>
      </c>
      <c r="E18" s="58"/>
      <c r="F18" s="58"/>
      <c r="G18" s="58"/>
    </row>
    <row r="19" spans="1:14" x14ac:dyDescent="0.2">
      <c r="A19" s="64" t="s">
        <v>1346</v>
      </c>
      <c r="B19" s="33" t="s">
        <v>1459</v>
      </c>
      <c r="D19" s="58" t="s">
        <v>2418</v>
      </c>
      <c r="E19" s="58"/>
      <c r="F19" s="58"/>
      <c r="G19" s="58"/>
      <c r="I19" t="s">
        <v>2156</v>
      </c>
      <c r="J19" t="s">
        <v>1378</v>
      </c>
    </row>
    <row r="20" spans="1:14" ht="57" customHeight="1" x14ac:dyDescent="0.2">
      <c r="A20" s="64" t="s">
        <v>1388</v>
      </c>
      <c r="B20" s="34" t="s">
        <v>2270</v>
      </c>
      <c r="D20" s="58" t="s">
        <v>2419</v>
      </c>
      <c r="E20" s="58"/>
      <c r="F20" s="58"/>
      <c r="G20" s="58"/>
      <c r="I20">
        <v>-4.97</v>
      </c>
      <c r="J20">
        <f>SQRT(I20^2/(I20^2+H8))</f>
        <v>0.66002656042496677</v>
      </c>
    </row>
    <row r="21" spans="1:14" x14ac:dyDescent="0.2">
      <c r="A21" s="64" t="s">
        <v>1390</v>
      </c>
      <c r="B21" s="33" t="s">
        <v>1925</v>
      </c>
      <c r="D21" s="236" t="s">
        <v>2415</v>
      </c>
      <c r="E21" s="236" t="s">
        <v>2416</v>
      </c>
      <c r="I21" t="s">
        <v>2200</v>
      </c>
    </row>
    <row r="22" spans="1:14" ht="30" x14ac:dyDescent="0.2">
      <c r="A22" s="34" t="s">
        <v>1387</v>
      </c>
      <c r="B22" s="33" t="s">
        <v>2417</v>
      </c>
      <c r="D22" s="236">
        <v>32</v>
      </c>
      <c r="E22" s="236">
        <v>0</v>
      </c>
      <c r="I22" t="s">
        <v>2157</v>
      </c>
    </row>
    <row r="23" spans="1:14" x14ac:dyDescent="0.2">
      <c r="A23" s="34" t="s">
        <v>1426</v>
      </c>
      <c r="B23" s="57"/>
      <c r="I23" s="72" t="s">
        <v>2158</v>
      </c>
      <c r="J23" s="72"/>
      <c r="K23" s="72"/>
      <c r="L23" s="72"/>
      <c r="M23" s="72"/>
      <c r="N23" s="72"/>
    </row>
    <row r="24" spans="1:14" s="140" customFormat="1" x14ac:dyDescent="0.2">
      <c r="A24" s="138" t="s">
        <v>1746</v>
      </c>
      <c r="B24" s="139"/>
      <c r="I24" s="72" t="s">
        <v>2159</v>
      </c>
      <c r="J24" s="72"/>
      <c r="K24" s="72"/>
      <c r="L24" s="72"/>
      <c r="M24" s="72"/>
      <c r="N24" s="72"/>
    </row>
    <row r="25" spans="1:14" s="136" customFormat="1" ht="30" x14ac:dyDescent="0.2">
      <c r="A25" s="137" t="s">
        <v>1753</v>
      </c>
      <c r="B25" s="137" t="s">
        <v>2260</v>
      </c>
    </row>
    <row r="26" spans="1:14" s="136" customFormat="1" x14ac:dyDescent="0.2">
      <c r="A26" s="137" t="s">
        <v>1681</v>
      </c>
      <c r="B26" s="137">
        <f ca="1">INDIRECT("N_SNPs!"&amp;"L"&amp;B$1+2)</f>
        <v>0</v>
      </c>
    </row>
    <row r="27" spans="1:14" s="136" customFormat="1" x14ac:dyDescent="0.2">
      <c r="A27" s="137" t="s">
        <v>1747</v>
      </c>
      <c r="B27" s="137">
        <f ca="1">INDIRECT("N_SNPs!"&amp;"M"&amp;B$1+2)</f>
        <v>1</v>
      </c>
      <c r="I27" s="72"/>
      <c r="J27" s="72"/>
      <c r="K27" s="72"/>
      <c r="L27" s="72"/>
    </row>
    <row r="28" spans="1:14" s="136" customFormat="1" x14ac:dyDescent="0.2">
      <c r="A28" s="137" t="s">
        <v>1683</v>
      </c>
      <c r="B28" s="137" t="str">
        <f ca="1">INDIRECT("N_SNPs!"&amp;"N"&amp;B$1+2)</f>
        <v>not needed</v>
      </c>
      <c r="I28" s="72"/>
      <c r="J28" s="72"/>
      <c r="K28" s="72"/>
      <c r="L28" s="72"/>
    </row>
    <row r="29" spans="1:14" s="136" customFormat="1" x14ac:dyDescent="0.2">
      <c r="A29" s="137" t="s">
        <v>2171</v>
      </c>
      <c r="B29" s="137">
        <f ca="1">INDIRECT("N_SNPs!"&amp;"O"&amp;B$1+2)</f>
        <v>1</v>
      </c>
      <c r="I29" s="72"/>
      <c r="J29" s="72"/>
      <c r="K29" s="72"/>
      <c r="L29" s="72"/>
    </row>
    <row r="30" spans="1:14" s="136" customFormat="1" ht="30" x14ac:dyDescent="0.2">
      <c r="A30" s="137" t="s">
        <v>2170</v>
      </c>
      <c r="B30" s="137">
        <v>0</v>
      </c>
      <c r="I30" s="72"/>
      <c r="J30" s="72"/>
      <c r="K30" s="72"/>
      <c r="L30" s="72"/>
    </row>
    <row r="31" spans="1:14" s="136" customFormat="1" ht="60" x14ac:dyDescent="0.2">
      <c r="A31" s="137" t="s">
        <v>2172</v>
      </c>
      <c r="B31" s="137">
        <f ca="1">INDIRECT("N_SNPs!"&amp;"Q"&amp;B$1+2)</f>
        <v>5</v>
      </c>
      <c r="I31" s="72"/>
      <c r="J31" s="72"/>
      <c r="K31" s="72"/>
      <c r="L31" s="72"/>
    </row>
    <row r="32" spans="1:14" s="136" customFormat="1" x14ac:dyDescent="0.2">
      <c r="A32" s="137" t="s">
        <v>1686</v>
      </c>
      <c r="B32" s="137" t="str">
        <f ca="1">INDIRECT("N_SNPs!"&amp;"R"&amp;B$1+2)</f>
        <v>selected from previous literature</v>
      </c>
      <c r="I32" s="72"/>
      <c r="J32" s="72"/>
      <c r="K32" s="72"/>
      <c r="L32" s="72"/>
    </row>
    <row r="33" spans="1:12" s="172" customFormat="1" x14ac:dyDescent="0.2">
      <c r="A33" s="171" t="s">
        <v>1808</v>
      </c>
      <c r="B33" s="171">
        <v>19</v>
      </c>
      <c r="I33" s="72"/>
      <c r="J33" s="72"/>
      <c r="K33" s="72"/>
      <c r="L33" s="72"/>
    </row>
    <row r="34" spans="1:12" s="172" customFormat="1" x14ac:dyDescent="0.2">
      <c r="A34" s="203" t="s">
        <v>2177</v>
      </c>
      <c r="B34" s="171">
        <v>2</v>
      </c>
      <c r="I34" s="72"/>
      <c r="J34" s="72"/>
      <c r="K34" s="72"/>
      <c r="L34" s="72"/>
    </row>
    <row r="35" spans="1:12" s="172" customFormat="1" ht="60" x14ac:dyDescent="0.2">
      <c r="A35" s="171" t="s">
        <v>1810</v>
      </c>
      <c r="B35" s="171">
        <v>1</v>
      </c>
      <c r="I35" s="72"/>
      <c r="J35" s="72"/>
      <c r="K35" s="72"/>
      <c r="L35" s="72"/>
    </row>
    <row r="36" spans="1:12" s="174" customFormat="1" ht="45" x14ac:dyDescent="0.2">
      <c r="A36" s="173" t="s">
        <v>1835</v>
      </c>
      <c r="B36" s="173" t="s">
        <v>2296</v>
      </c>
      <c r="C36" s="174" t="s">
        <v>2420</v>
      </c>
      <c r="I36" s="72"/>
      <c r="J36" s="72"/>
      <c r="K36" s="72"/>
      <c r="L36" s="72"/>
    </row>
    <row r="37" spans="1:12" s="174" customFormat="1" ht="105" x14ac:dyDescent="0.2">
      <c r="A37" s="173" t="s">
        <v>2272</v>
      </c>
      <c r="B37" s="25" t="s">
        <v>2279</v>
      </c>
    </row>
    <row r="38" spans="1:12" s="174" customFormat="1" ht="30" x14ac:dyDescent="0.2">
      <c r="A38" s="173" t="s">
        <v>2299</v>
      </c>
      <c r="B38" s="173">
        <v>1</v>
      </c>
    </row>
    <row r="39" spans="1:12" s="174" customFormat="1" x14ac:dyDescent="0.2">
      <c r="A39" s="173" t="s">
        <v>2273</v>
      </c>
      <c r="B39" s="173">
        <v>4</v>
      </c>
    </row>
    <row r="40" spans="1:12" s="174" customFormat="1" ht="30" x14ac:dyDescent="0.2">
      <c r="A40" s="173" t="s">
        <v>2274</v>
      </c>
      <c r="B40" s="173">
        <v>0</v>
      </c>
    </row>
    <row r="41" spans="1:12" s="176" customFormat="1" ht="60" x14ac:dyDescent="0.2">
      <c r="A41" s="175" t="s">
        <v>1815</v>
      </c>
      <c r="B41" s="25" t="s">
        <v>1843</v>
      </c>
    </row>
    <row r="42" spans="1:12" s="176" customFormat="1" x14ac:dyDescent="0.2">
      <c r="A42" s="175" t="s">
        <v>1881</v>
      </c>
      <c r="B42" s="25" t="s">
        <v>494</v>
      </c>
    </row>
    <row r="43" spans="1:12" x14ac:dyDescent="0.2">
      <c r="A43" s="34" t="s">
        <v>1398</v>
      </c>
      <c r="B43" s="57"/>
    </row>
    <row r="44" spans="1:12" x14ac:dyDescent="0.2">
      <c r="A44" s="34" t="s">
        <v>1410</v>
      </c>
    </row>
    <row r="45" spans="1:12" x14ac:dyDescent="0.2">
      <c r="A45" s="34" t="s">
        <v>2374</v>
      </c>
      <c r="B45" s="33">
        <v>1</v>
      </c>
    </row>
    <row r="46" spans="1:12" x14ac:dyDescent="0.2">
      <c r="A46" s="34" t="s">
        <v>1416</v>
      </c>
      <c r="B46" s="66" t="s">
        <v>1481</v>
      </c>
    </row>
    <row r="47" spans="1:12" x14ac:dyDescent="0.2">
      <c r="B47" s="66"/>
    </row>
    <row r="48" spans="1:12" x14ac:dyDescent="0.2">
      <c r="A48" s="34" t="s">
        <v>1651</v>
      </c>
      <c r="B48" s="33" t="s">
        <v>2379</v>
      </c>
    </row>
    <row r="49" spans="2:2" ht="75" x14ac:dyDescent="0.2">
      <c r="B49" s="33" t="s">
        <v>2380</v>
      </c>
    </row>
    <row r="50" spans="2:2" x14ac:dyDescent="0.2">
      <c r="B50" s="33" t="s">
        <v>1655</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X32"/>
  <sheetViews>
    <sheetView workbookViewId="0">
      <pane xSplit="1" ySplit="2" topLeftCell="L3" activePane="bottomRight" state="frozen"/>
      <selection activeCell="L12" sqref="L12"/>
      <selection pane="topRight" activeCell="L12" sqref="L12"/>
      <selection pane="bottomLeft" activeCell="L12" sqref="L12"/>
      <selection pane="bottomRight" activeCell="P7" sqref="P7"/>
    </sheetView>
  </sheetViews>
  <sheetFormatPr baseColWidth="10" defaultColWidth="8.83203125" defaultRowHeight="15" x14ac:dyDescent="0.2"/>
  <cols>
    <col min="1" max="1" width="8.83203125" style="127"/>
    <col min="2" max="2" width="46.1640625" style="128" customWidth="1"/>
    <col min="3" max="3" width="10.6640625" style="129" customWidth="1"/>
    <col min="4" max="4" width="44" style="87" customWidth="1"/>
    <col min="5" max="5" width="15.33203125" style="99" customWidth="1"/>
    <col min="6" max="6" width="13.5" customWidth="1"/>
    <col min="8" max="8" width="18.6640625" style="127" customWidth="1"/>
    <col min="9" max="9" width="13.5" style="127" customWidth="1"/>
    <col min="10" max="10" width="13.5" style="130" customWidth="1"/>
    <col min="11" max="11" width="30" style="131" customWidth="1"/>
    <col min="12" max="12" width="16.5" style="131" customWidth="1"/>
    <col min="13" max="13" width="13.5" style="132" customWidth="1"/>
    <col min="14" max="14" width="31.5" style="131" customWidth="1"/>
    <col min="15" max="15" width="13.5" style="127" customWidth="1"/>
    <col min="16" max="16" width="16.6640625" style="127" customWidth="1"/>
    <col min="17" max="18" width="48.1640625" style="127" customWidth="1"/>
    <col min="19" max="19" width="13.5" style="130" customWidth="1"/>
    <col min="20" max="20" width="16.5" style="133" customWidth="1"/>
    <col min="21" max="21" width="13.5" style="133" customWidth="1"/>
    <col min="22" max="22" width="13.5" style="134" customWidth="1"/>
    <col min="23" max="23" width="72.6640625" style="135" customWidth="1"/>
    <col min="24" max="24" width="47" style="135" customWidth="1"/>
  </cols>
  <sheetData>
    <row r="1" spans="1:24" s="150" customFormat="1" ht="60" x14ac:dyDescent="0.2">
      <c r="A1" s="141" t="s">
        <v>1676</v>
      </c>
      <c r="B1" s="142" t="s">
        <v>1388</v>
      </c>
      <c r="C1" s="143"/>
      <c r="D1" s="142" t="s">
        <v>1677</v>
      </c>
      <c r="E1" s="142" t="s">
        <v>1678</v>
      </c>
      <c r="F1" s="144" t="s">
        <v>1679</v>
      </c>
      <c r="G1" s="145"/>
      <c r="H1" s="146"/>
      <c r="I1" s="147" t="s">
        <v>1680</v>
      </c>
      <c r="J1" s="85"/>
      <c r="K1" s="148" t="s">
        <v>1753</v>
      </c>
      <c r="L1" s="148" t="s">
        <v>1681</v>
      </c>
      <c r="M1" s="149" t="s">
        <v>1682</v>
      </c>
      <c r="N1" s="148" t="s">
        <v>1683</v>
      </c>
      <c r="O1" s="148" t="s">
        <v>1684</v>
      </c>
      <c r="P1" s="148" t="s">
        <v>1685</v>
      </c>
      <c r="Q1" s="148" t="s">
        <v>1869</v>
      </c>
      <c r="R1" s="148" t="s">
        <v>1686</v>
      </c>
      <c r="S1" s="86"/>
      <c r="T1" s="142" t="s">
        <v>1848</v>
      </c>
      <c r="U1" s="142" t="s">
        <v>1910</v>
      </c>
      <c r="V1" s="146" t="s">
        <v>1401</v>
      </c>
      <c r="W1" s="142" t="s">
        <v>1687</v>
      </c>
      <c r="X1" s="142" t="s">
        <v>1688</v>
      </c>
    </row>
    <row r="2" spans="1:24" s="157" customFormat="1" ht="18.75" customHeight="1" x14ac:dyDescent="0.2">
      <c r="A2" s="151"/>
      <c r="B2" s="152"/>
      <c r="C2" s="153"/>
      <c r="D2" s="152"/>
      <c r="E2" s="152"/>
      <c r="F2" s="154" t="s">
        <v>1689</v>
      </c>
      <c r="G2" s="154" t="s">
        <v>1690</v>
      </c>
      <c r="H2" s="155" t="s">
        <v>1691</v>
      </c>
      <c r="I2" s="156"/>
      <c r="J2" s="156"/>
      <c r="K2" s="152"/>
      <c r="L2" s="152"/>
      <c r="M2" s="152"/>
      <c r="N2" s="152"/>
      <c r="O2" s="152"/>
      <c r="P2" s="152"/>
      <c r="Q2" s="152"/>
      <c r="R2" s="152"/>
      <c r="S2" s="152"/>
      <c r="T2" s="152"/>
      <c r="U2" s="152"/>
      <c r="V2" s="156"/>
      <c r="W2" s="152"/>
      <c r="X2" s="152"/>
    </row>
    <row r="3" spans="1:24" ht="45" x14ac:dyDescent="0.2">
      <c r="A3" s="87">
        <v>1</v>
      </c>
      <c r="B3" s="88" t="s">
        <v>1692</v>
      </c>
      <c r="C3" s="89"/>
      <c r="D3" s="90" t="s">
        <v>3</v>
      </c>
      <c r="E3" s="91" t="s">
        <v>1693</v>
      </c>
      <c r="F3" s="92"/>
      <c r="G3" s="92"/>
      <c r="H3" s="87" t="s">
        <v>359</v>
      </c>
      <c r="I3" s="87" t="s">
        <v>494</v>
      </c>
      <c r="J3" s="93"/>
      <c r="K3" s="137" t="s">
        <v>1755</v>
      </c>
      <c r="L3" s="159" t="s">
        <v>1748</v>
      </c>
      <c r="M3" s="159" t="s">
        <v>1749</v>
      </c>
      <c r="N3" s="159" t="s">
        <v>1750</v>
      </c>
      <c r="O3" s="87">
        <v>8</v>
      </c>
      <c r="P3" s="87">
        <v>2</v>
      </c>
      <c r="Q3" s="158">
        <v>1</v>
      </c>
      <c r="R3" s="87" t="s">
        <v>1695</v>
      </c>
      <c r="S3" s="93"/>
      <c r="T3" s="96">
        <v>0.14095642690910201</v>
      </c>
      <c r="U3" s="97">
        <v>9.9000000000000005E-2</v>
      </c>
      <c r="V3" s="98">
        <v>0.99</v>
      </c>
      <c r="W3" s="91" t="s">
        <v>1696</v>
      </c>
      <c r="X3" s="99"/>
    </row>
    <row r="4" spans="1:24" ht="30" x14ac:dyDescent="0.2">
      <c r="A4" s="87">
        <v>2</v>
      </c>
      <c r="B4" s="90" t="s">
        <v>1697</v>
      </c>
      <c r="C4" s="100"/>
      <c r="D4" s="90" t="s">
        <v>6</v>
      </c>
      <c r="E4" s="91" t="s">
        <v>1506</v>
      </c>
      <c r="F4" s="82"/>
      <c r="G4" s="82"/>
      <c r="H4" s="87" t="s">
        <v>936</v>
      </c>
      <c r="I4" s="87" t="s">
        <v>1698</v>
      </c>
      <c r="J4" s="93"/>
      <c r="K4" s="158">
        <v>1</v>
      </c>
      <c r="L4" s="160">
        <v>0</v>
      </c>
      <c r="M4" s="160">
        <v>1</v>
      </c>
      <c r="N4" s="161" t="s">
        <v>1750</v>
      </c>
      <c r="O4" s="87">
        <v>3</v>
      </c>
      <c r="P4" s="87">
        <v>3</v>
      </c>
      <c r="Q4" s="87">
        <v>0</v>
      </c>
      <c r="R4" s="87" t="s">
        <v>1699</v>
      </c>
      <c r="S4" s="93"/>
      <c r="T4" s="101">
        <v>0.159</v>
      </c>
      <c r="U4" s="97">
        <v>0.19900000000000001</v>
      </c>
      <c r="V4" s="98">
        <v>0.29599999999999999</v>
      </c>
      <c r="W4" s="99"/>
      <c r="X4" s="99"/>
    </row>
    <row r="5" spans="1:24" ht="30" x14ac:dyDescent="0.2">
      <c r="A5" s="87">
        <v>3</v>
      </c>
      <c r="B5" s="88" t="s">
        <v>1403</v>
      </c>
      <c r="C5" s="89"/>
      <c r="D5" s="90" t="s">
        <v>10</v>
      </c>
      <c r="E5" s="91"/>
      <c r="F5" s="82"/>
      <c r="G5" s="82"/>
      <c r="H5" s="87"/>
      <c r="I5" s="87" t="s">
        <v>494</v>
      </c>
      <c r="J5" s="93"/>
      <c r="K5" s="158">
        <v>1</v>
      </c>
      <c r="L5" s="162">
        <v>0</v>
      </c>
      <c r="M5" s="159" t="s">
        <v>1749</v>
      </c>
      <c r="N5" s="159" t="s">
        <v>1750</v>
      </c>
      <c r="O5" s="87">
        <v>2</v>
      </c>
      <c r="P5" s="87">
        <v>1</v>
      </c>
      <c r="Q5" s="159" t="s">
        <v>1751</v>
      </c>
      <c r="R5" s="87" t="s">
        <v>1700</v>
      </c>
      <c r="S5" s="93"/>
      <c r="T5" s="102">
        <v>0.49399999999999999</v>
      </c>
      <c r="U5" s="102">
        <v>0.27400000000000002</v>
      </c>
      <c r="V5" s="103">
        <v>0.16900000000000001</v>
      </c>
      <c r="W5" s="99"/>
      <c r="X5" s="99"/>
    </row>
    <row r="6" spans="1:24" s="58" customFormat="1" ht="45" x14ac:dyDescent="0.2">
      <c r="A6" s="104">
        <v>4</v>
      </c>
      <c r="B6" s="105" t="s">
        <v>1701</v>
      </c>
      <c r="C6" s="105"/>
      <c r="D6" s="106" t="s">
        <v>14</v>
      </c>
      <c r="E6" s="107" t="s">
        <v>1693</v>
      </c>
      <c r="F6" s="83" t="s">
        <v>359</v>
      </c>
      <c r="G6" s="83"/>
      <c r="H6" s="104"/>
      <c r="I6" s="104" t="s">
        <v>359</v>
      </c>
      <c r="J6" s="104"/>
      <c r="K6" s="104">
        <v>1</v>
      </c>
      <c r="L6" s="104">
        <v>0</v>
      </c>
      <c r="M6" s="163">
        <v>1</v>
      </c>
      <c r="N6" s="161" t="s">
        <v>1750</v>
      </c>
      <c r="O6" s="104">
        <v>1</v>
      </c>
      <c r="P6" s="104" t="s">
        <v>1752</v>
      </c>
      <c r="Q6" s="104">
        <v>5</v>
      </c>
      <c r="R6" s="104"/>
      <c r="S6" s="104"/>
      <c r="T6" s="108">
        <v>0.56399999999999995</v>
      </c>
      <c r="U6" s="108">
        <v>0.53700000000000003</v>
      </c>
      <c r="V6" s="109">
        <v>7.4999999999999997E-2</v>
      </c>
      <c r="W6" s="110"/>
      <c r="X6" s="110"/>
    </row>
    <row r="7" spans="1:24" ht="105" x14ac:dyDescent="0.2">
      <c r="A7" s="87">
        <v>5</v>
      </c>
      <c r="B7" s="88" t="s">
        <v>1911</v>
      </c>
      <c r="C7" s="89"/>
      <c r="D7" s="90" t="s">
        <v>20</v>
      </c>
      <c r="E7" s="91" t="s">
        <v>1702</v>
      </c>
      <c r="F7" s="92"/>
      <c r="G7" s="82" t="s">
        <v>359</v>
      </c>
      <c r="H7" s="87" t="s">
        <v>359</v>
      </c>
      <c r="I7" s="87" t="s">
        <v>494</v>
      </c>
      <c r="J7" s="93"/>
      <c r="K7" s="94" t="s">
        <v>1754</v>
      </c>
      <c r="L7" s="94">
        <v>0</v>
      </c>
      <c r="M7" s="95">
        <v>3</v>
      </c>
      <c r="N7" s="94" t="s">
        <v>1694</v>
      </c>
      <c r="O7" s="87">
        <v>192</v>
      </c>
      <c r="P7" s="87">
        <v>1</v>
      </c>
      <c r="Q7" s="87">
        <v>3</v>
      </c>
      <c r="R7" s="87"/>
      <c r="S7" s="93"/>
      <c r="T7" s="102">
        <v>0.221</v>
      </c>
      <c r="U7" s="102">
        <v>0.19600000000000001</v>
      </c>
      <c r="V7" s="103">
        <v>0.29099999999999998</v>
      </c>
      <c r="W7" s="111" t="s">
        <v>1703</v>
      </c>
      <c r="X7" s="111" t="s">
        <v>1704</v>
      </c>
    </row>
    <row r="8" spans="1:24" s="58" customFormat="1" ht="45" x14ac:dyDescent="0.2">
      <c r="A8" s="104">
        <v>6</v>
      </c>
      <c r="B8" s="106" t="s">
        <v>1705</v>
      </c>
      <c r="C8" s="104"/>
      <c r="D8" s="106" t="s">
        <v>1706</v>
      </c>
      <c r="E8" s="107" t="s">
        <v>1693</v>
      </c>
      <c r="F8" s="83" t="s">
        <v>359</v>
      </c>
      <c r="G8" s="83"/>
      <c r="H8" s="104"/>
      <c r="I8" s="104" t="s">
        <v>359</v>
      </c>
      <c r="J8" s="104"/>
      <c r="K8" s="158">
        <v>2</v>
      </c>
      <c r="L8" s="104">
        <v>0</v>
      </c>
      <c r="M8" s="158">
        <v>1</v>
      </c>
      <c r="N8" s="161" t="s">
        <v>1750</v>
      </c>
      <c r="O8" s="104">
        <v>1</v>
      </c>
      <c r="P8" s="161" t="s">
        <v>1752</v>
      </c>
      <c r="Q8" s="104">
        <v>5</v>
      </c>
      <c r="R8" s="104"/>
      <c r="S8" s="104"/>
      <c r="T8" s="108"/>
      <c r="U8" s="108"/>
      <c r="V8" s="109"/>
      <c r="W8" s="110"/>
      <c r="X8" s="110"/>
    </row>
    <row r="9" spans="1:24" ht="45" x14ac:dyDescent="0.2">
      <c r="A9" s="87">
        <v>7</v>
      </c>
      <c r="B9" s="88" t="s">
        <v>1449</v>
      </c>
      <c r="C9" s="89"/>
      <c r="D9" s="90" t="s">
        <v>1912</v>
      </c>
      <c r="E9" s="91" t="s">
        <v>1702</v>
      </c>
      <c r="F9" s="82"/>
      <c r="G9" s="82" t="s">
        <v>359</v>
      </c>
      <c r="H9" s="87"/>
      <c r="I9" s="87" t="s">
        <v>494</v>
      </c>
      <c r="J9" s="93"/>
      <c r="K9" s="158">
        <v>1</v>
      </c>
      <c r="L9" s="94">
        <v>1</v>
      </c>
      <c r="M9" s="158">
        <v>1</v>
      </c>
      <c r="N9" s="161" t="s">
        <v>1750</v>
      </c>
      <c r="O9" s="87">
        <v>9</v>
      </c>
      <c r="P9" s="87">
        <v>1</v>
      </c>
      <c r="Q9" s="87">
        <v>2</v>
      </c>
      <c r="R9" s="87" t="s">
        <v>1707</v>
      </c>
      <c r="S9" s="93"/>
      <c r="T9" s="102">
        <v>0.19</v>
      </c>
      <c r="U9" s="102">
        <v>0.16300000000000001</v>
      </c>
      <c r="V9" s="103">
        <v>0.39900000000000002</v>
      </c>
      <c r="W9" s="91" t="s">
        <v>1708</v>
      </c>
      <c r="X9" s="111" t="s">
        <v>1709</v>
      </c>
    </row>
    <row r="10" spans="1:24" ht="120" x14ac:dyDescent="0.2">
      <c r="A10" s="87">
        <v>9</v>
      </c>
      <c r="B10" s="88" t="s">
        <v>1458</v>
      </c>
      <c r="C10" s="89"/>
      <c r="D10" s="90" t="s">
        <v>31</v>
      </c>
      <c r="E10" s="91" t="s">
        <v>1506</v>
      </c>
      <c r="F10" s="82"/>
      <c r="G10" s="82"/>
      <c r="H10" s="87" t="s">
        <v>494</v>
      </c>
      <c r="I10" s="87" t="s">
        <v>494</v>
      </c>
      <c r="J10" s="93"/>
      <c r="K10" s="94">
        <v>2</v>
      </c>
      <c r="L10" s="94">
        <v>0</v>
      </c>
      <c r="M10" s="158">
        <v>1</v>
      </c>
      <c r="N10" s="161" t="s">
        <v>1750</v>
      </c>
      <c r="O10" s="87">
        <v>9</v>
      </c>
      <c r="P10" s="87">
        <v>3</v>
      </c>
      <c r="Q10" s="158">
        <v>0</v>
      </c>
      <c r="R10" s="87" t="s">
        <v>1769</v>
      </c>
      <c r="S10" s="93"/>
      <c r="T10" s="102">
        <v>0.22</v>
      </c>
      <c r="U10" s="102">
        <v>4.1000000000000002E-2</v>
      </c>
      <c r="V10" s="103">
        <v>0.999</v>
      </c>
      <c r="W10" s="111" t="s">
        <v>1710</v>
      </c>
      <c r="X10" s="99"/>
    </row>
    <row r="11" spans="1:24" s="58" customFormat="1" ht="30" x14ac:dyDescent="0.2">
      <c r="A11" s="104">
        <v>9</v>
      </c>
      <c r="B11" s="105" t="s">
        <v>1711</v>
      </c>
      <c r="C11" s="105"/>
      <c r="D11" s="106" t="s">
        <v>35</v>
      </c>
      <c r="E11" s="107" t="s">
        <v>1693</v>
      </c>
      <c r="F11" s="83"/>
      <c r="G11" s="83"/>
      <c r="H11" s="104" t="s">
        <v>494</v>
      </c>
      <c r="I11" s="104" t="s">
        <v>494</v>
      </c>
      <c r="J11" s="104"/>
      <c r="K11" s="158">
        <v>2</v>
      </c>
      <c r="L11" s="104">
        <v>0</v>
      </c>
      <c r="M11" s="158">
        <v>1</v>
      </c>
      <c r="N11" s="161" t="s">
        <v>1750</v>
      </c>
      <c r="O11" s="104">
        <v>1</v>
      </c>
      <c r="P11" s="158" t="s">
        <v>1752</v>
      </c>
      <c r="Q11" s="158">
        <v>5</v>
      </c>
      <c r="R11" s="104" t="s">
        <v>1700</v>
      </c>
      <c r="S11" s="93"/>
      <c r="T11" s="108">
        <v>0.104</v>
      </c>
      <c r="U11" s="108">
        <v>0.121</v>
      </c>
      <c r="V11" s="109">
        <v>0.63200000000000001</v>
      </c>
      <c r="W11" s="107" t="s">
        <v>1712</v>
      </c>
      <c r="X11" s="110"/>
    </row>
    <row r="12" spans="1:24" ht="60" x14ac:dyDescent="0.2">
      <c r="A12" s="87">
        <v>10</v>
      </c>
      <c r="B12" s="88" t="s">
        <v>1713</v>
      </c>
      <c r="C12" s="89"/>
      <c r="D12" s="90" t="s">
        <v>43</v>
      </c>
      <c r="E12" s="91" t="s">
        <v>1693</v>
      </c>
      <c r="F12" s="82" t="s">
        <v>359</v>
      </c>
      <c r="G12" s="82"/>
      <c r="H12" s="87" t="s">
        <v>359</v>
      </c>
      <c r="I12" s="87" t="s">
        <v>1714</v>
      </c>
      <c r="J12" s="93"/>
      <c r="K12" s="94">
        <v>2</v>
      </c>
      <c r="L12" s="94">
        <v>0</v>
      </c>
      <c r="M12" s="95">
        <v>1</v>
      </c>
      <c r="N12" s="161" t="s">
        <v>1750</v>
      </c>
      <c r="O12" s="87">
        <v>1</v>
      </c>
      <c r="P12" s="158" t="s">
        <v>1752</v>
      </c>
      <c r="Q12" s="158">
        <v>5</v>
      </c>
      <c r="R12" s="87" t="s">
        <v>1700</v>
      </c>
      <c r="S12" s="93"/>
      <c r="T12" s="102">
        <v>0.45600000000000002</v>
      </c>
      <c r="U12" s="102">
        <v>0.47199999999999998</v>
      </c>
      <c r="V12" s="103">
        <v>9.4E-2</v>
      </c>
      <c r="W12" s="111" t="s">
        <v>1715</v>
      </c>
      <c r="X12" s="111" t="s">
        <v>1716</v>
      </c>
    </row>
    <row r="13" spans="1:24" s="58" customFormat="1" ht="45" x14ac:dyDescent="0.2">
      <c r="A13" s="104">
        <v>11</v>
      </c>
      <c r="B13" s="112" t="s">
        <v>1717</v>
      </c>
      <c r="C13" s="113"/>
      <c r="D13" s="106" t="s">
        <v>47</v>
      </c>
      <c r="E13" s="110" t="s">
        <v>1693</v>
      </c>
      <c r="F13" s="83" t="s">
        <v>359</v>
      </c>
      <c r="G13" s="83" t="s">
        <v>359</v>
      </c>
      <c r="H13" s="104"/>
      <c r="I13" s="104" t="s">
        <v>1714</v>
      </c>
      <c r="J13" s="104"/>
      <c r="K13" s="104">
        <v>2</v>
      </c>
      <c r="L13" s="104">
        <v>0</v>
      </c>
      <c r="M13" s="158">
        <v>1</v>
      </c>
      <c r="N13" s="161" t="s">
        <v>1750</v>
      </c>
      <c r="O13" s="104">
        <v>1</v>
      </c>
      <c r="P13" s="158" t="s">
        <v>1752</v>
      </c>
      <c r="Q13" s="104">
        <v>5</v>
      </c>
      <c r="R13" s="104"/>
      <c r="S13" s="104"/>
      <c r="T13" s="108">
        <v>0.16900000000000001</v>
      </c>
      <c r="U13" s="108">
        <v>0.10299999999999999</v>
      </c>
      <c r="V13" s="109">
        <v>0.77300000000000002</v>
      </c>
      <c r="W13" s="114"/>
      <c r="X13" s="110"/>
    </row>
    <row r="14" spans="1:24" ht="165" x14ac:dyDescent="0.2">
      <c r="A14" s="87">
        <v>12</v>
      </c>
      <c r="B14" s="88" t="s">
        <v>1718</v>
      </c>
      <c r="C14" s="89"/>
      <c r="D14" s="90" t="s">
        <v>51</v>
      </c>
      <c r="E14" s="91" t="s">
        <v>1702</v>
      </c>
      <c r="F14" s="82" t="s">
        <v>359</v>
      </c>
      <c r="G14" s="82" t="s">
        <v>359</v>
      </c>
      <c r="H14" s="87"/>
      <c r="I14" s="87" t="s">
        <v>359</v>
      </c>
      <c r="J14" s="93"/>
      <c r="K14" s="158">
        <v>1</v>
      </c>
      <c r="L14" s="94">
        <v>1</v>
      </c>
      <c r="M14" s="158">
        <v>1</v>
      </c>
      <c r="N14" s="161" t="s">
        <v>1750</v>
      </c>
      <c r="O14" s="87">
        <v>36</v>
      </c>
      <c r="P14" s="87">
        <v>2</v>
      </c>
      <c r="Q14" s="87">
        <v>1</v>
      </c>
      <c r="R14" s="87"/>
      <c r="S14" s="93"/>
      <c r="T14" s="102">
        <v>5.1999999999999998E-2</v>
      </c>
      <c r="U14" s="102">
        <v>4.7E-2</v>
      </c>
      <c r="V14" s="103">
        <v>0.999</v>
      </c>
      <c r="W14" s="91" t="s">
        <v>1719</v>
      </c>
      <c r="X14" s="91" t="s">
        <v>1720</v>
      </c>
    </row>
    <row r="15" spans="1:24" ht="30" x14ac:dyDescent="0.2">
      <c r="A15" s="87">
        <v>13</v>
      </c>
      <c r="B15" s="90" t="s">
        <v>494</v>
      </c>
      <c r="C15" s="100"/>
      <c r="D15" s="90" t="s">
        <v>55</v>
      </c>
      <c r="E15" s="91" t="s">
        <v>1506</v>
      </c>
      <c r="F15" s="82"/>
      <c r="G15" s="82" t="s">
        <v>494</v>
      </c>
      <c r="H15" s="87" t="s">
        <v>494</v>
      </c>
      <c r="I15" s="87" t="s">
        <v>494</v>
      </c>
      <c r="J15" s="93"/>
      <c r="K15" s="158">
        <v>3</v>
      </c>
      <c r="L15" s="94">
        <v>0</v>
      </c>
      <c r="M15" s="158">
        <v>1</v>
      </c>
      <c r="N15" s="161" t="s">
        <v>1750</v>
      </c>
      <c r="O15" s="158">
        <v>1</v>
      </c>
      <c r="P15" s="158" t="s">
        <v>1752</v>
      </c>
      <c r="Q15" s="158">
        <v>5</v>
      </c>
      <c r="R15" s="87" t="s">
        <v>1756</v>
      </c>
      <c r="S15" s="93"/>
      <c r="T15" s="102">
        <v>0.104</v>
      </c>
      <c r="U15" s="102">
        <v>0.14199999999999999</v>
      </c>
      <c r="V15" s="103">
        <v>0.504</v>
      </c>
      <c r="W15" s="91" t="s">
        <v>1721</v>
      </c>
      <c r="X15" s="99"/>
    </row>
    <row r="16" spans="1:24" ht="90" x14ac:dyDescent="0.2">
      <c r="A16" s="87">
        <v>14</v>
      </c>
      <c r="B16" s="88" t="s">
        <v>1393</v>
      </c>
      <c r="C16" s="89"/>
      <c r="D16" s="90" t="s">
        <v>67</v>
      </c>
      <c r="E16" s="91" t="s">
        <v>1702</v>
      </c>
      <c r="F16" s="82" t="s">
        <v>359</v>
      </c>
      <c r="G16" s="82"/>
      <c r="H16" s="87"/>
      <c r="I16" s="87" t="s">
        <v>359</v>
      </c>
      <c r="J16" s="93"/>
      <c r="K16" s="158">
        <v>2</v>
      </c>
      <c r="L16" s="94">
        <v>0</v>
      </c>
      <c r="M16" s="158">
        <v>1</v>
      </c>
      <c r="N16" s="161" t="s">
        <v>1750</v>
      </c>
      <c r="O16" s="87">
        <v>1</v>
      </c>
      <c r="P16" s="158" t="s">
        <v>1752</v>
      </c>
      <c r="Q16" s="87">
        <v>5</v>
      </c>
      <c r="R16" s="87"/>
      <c r="S16" s="93"/>
      <c r="T16" s="102">
        <v>0.495</v>
      </c>
      <c r="U16" s="102">
        <v>0.161</v>
      </c>
      <c r="V16" s="103">
        <v>0.40600000000000003</v>
      </c>
      <c r="W16" s="111" t="s">
        <v>1722</v>
      </c>
      <c r="X16" s="111" t="s">
        <v>1723</v>
      </c>
    </row>
    <row r="17" spans="1:24" ht="47" x14ac:dyDescent="0.2">
      <c r="A17" s="87">
        <v>15</v>
      </c>
      <c r="B17" s="88" t="s">
        <v>1504</v>
      </c>
      <c r="C17" s="89"/>
      <c r="D17" s="90" t="s">
        <v>71</v>
      </c>
      <c r="E17" s="91" t="s">
        <v>1702</v>
      </c>
      <c r="F17" s="82" t="s">
        <v>359</v>
      </c>
      <c r="G17" s="82"/>
      <c r="H17" s="87"/>
      <c r="I17" s="87" t="s">
        <v>1724</v>
      </c>
      <c r="J17" s="93"/>
      <c r="K17" s="158">
        <v>1</v>
      </c>
      <c r="L17" s="94">
        <v>0</v>
      </c>
      <c r="M17" s="158">
        <v>1</v>
      </c>
      <c r="N17" s="161" t="s">
        <v>1750</v>
      </c>
      <c r="O17" s="87">
        <v>1</v>
      </c>
      <c r="P17" s="158" t="s">
        <v>1752</v>
      </c>
      <c r="Q17" s="87">
        <v>5</v>
      </c>
      <c r="R17" s="87"/>
      <c r="S17" s="93"/>
      <c r="T17" s="102">
        <v>5.8999999999999997E-2</v>
      </c>
      <c r="U17" s="102">
        <v>4.2000000000000003E-2</v>
      </c>
      <c r="V17" s="103">
        <v>0.999</v>
      </c>
      <c r="W17" s="115" t="s">
        <v>1725</v>
      </c>
      <c r="X17" s="111" t="s">
        <v>1726</v>
      </c>
    </row>
    <row r="18" spans="1:24" ht="30.25" customHeight="1" x14ac:dyDescent="0.2">
      <c r="A18" s="87">
        <v>16</v>
      </c>
      <c r="B18" s="88" t="s">
        <v>1509</v>
      </c>
      <c r="C18" s="89"/>
      <c r="D18" s="90" t="s">
        <v>75</v>
      </c>
      <c r="E18" s="91" t="s">
        <v>1506</v>
      </c>
      <c r="F18" s="82"/>
      <c r="G18" s="82" t="s">
        <v>936</v>
      </c>
      <c r="H18" s="87" t="s">
        <v>936</v>
      </c>
      <c r="I18" s="87"/>
      <c r="J18" s="93"/>
      <c r="K18" s="158">
        <v>1</v>
      </c>
      <c r="L18" s="94">
        <v>0</v>
      </c>
      <c r="M18" s="158">
        <v>1</v>
      </c>
      <c r="N18" s="161" t="s">
        <v>1750</v>
      </c>
      <c r="O18" s="87">
        <v>1</v>
      </c>
      <c r="P18" s="158" t="s">
        <v>1752</v>
      </c>
      <c r="Q18" s="87">
        <v>5</v>
      </c>
      <c r="R18" s="87"/>
      <c r="S18" s="93"/>
      <c r="T18" s="102">
        <v>5.5E-2</v>
      </c>
      <c r="U18" s="102">
        <v>4.4999999999999998E-2</v>
      </c>
      <c r="V18" s="103">
        <v>0.999</v>
      </c>
      <c r="W18" s="99"/>
      <c r="X18" s="99"/>
    </row>
    <row r="19" spans="1:24" ht="45" x14ac:dyDescent="0.2">
      <c r="A19" s="87">
        <v>17</v>
      </c>
      <c r="B19" s="88" t="s">
        <v>1514</v>
      </c>
      <c r="C19" s="89"/>
      <c r="D19" s="90" t="s">
        <v>79</v>
      </c>
      <c r="E19" s="91" t="s">
        <v>1702</v>
      </c>
      <c r="F19" s="82"/>
      <c r="G19" s="82" t="s">
        <v>359</v>
      </c>
      <c r="H19" s="87"/>
      <c r="I19" s="87" t="s">
        <v>1506</v>
      </c>
      <c r="J19" s="93"/>
      <c r="K19" s="158">
        <v>1</v>
      </c>
      <c r="L19" s="158">
        <v>0</v>
      </c>
      <c r="M19" s="158">
        <v>1</v>
      </c>
      <c r="N19" s="161" t="s">
        <v>1750</v>
      </c>
      <c r="O19" s="87">
        <v>107</v>
      </c>
      <c r="P19" s="87">
        <v>1</v>
      </c>
      <c r="Q19" s="87">
        <v>3</v>
      </c>
      <c r="R19" s="87"/>
      <c r="S19" s="93"/>
      <c r="T19" s="102">
        <v>0.191</v>
      </c>
      <c r="U19" s="102">
        <v>0.14299999999999999</v>
      </c>
      <c r="V19" s="103">
        <v>0.497</v>
      </c>
      <c r="W19" s="99" t="s">
        <v>1727</v>
      </c>
      <c r="X19" s="111" t="s">
        <v>1728</v>
      </c>
    </row>
    <row r="20" spans="1:24" ht="105" x14ac:dyDescent="0.2">
      <c r="A20" s="87">
        <v>19</v>
      </c>
      <c r="B20" s="90" t="s">
        <v>1524</v>
      </c>
      <c r="C20" s="116"/>
      <c r="D20" s="90" t="s">
        <v>83</v>
      </c>
      <c r="E20" s="91" t="s">
        <v>1702</v>
      </c>
      <c r="F20" s="82" t="s">
        <v>359</v>
      </c>
      <c r="G20" s="82" t="s">
        <v>359</v>
      </c>
      <c r="H20" s="87"/>
      <c r="I20" s="87" t="s">
        <v>1729</v>
      </c>
      <c r="J20" s="93"/>
      <c r="K20" s="158">
        <v>1</v>
      </c>
      <c r="L20" s="94">
        <v>1</v>
      </c>
      <c r="M20" s="158">
        <v>1</v>
      </c>
      <c r="N20" s="161" t="s">
        <v>1750</v>
      </c>
      <c r="O20" s="87">
        <v>23</v>
      </c>
      <c r="P20" s="87">
        <v>1</v>
      </c>
      <c r="Q20" s="87">
        <v>3</v>
      </c>
      <c r="R20" s="87"/>
      <c r="S20" s="93"/>
      <c r="T20" s="102">
        <v>0.114</v>
      </c>
      <c r="U20" s="102">
        <v>7.3999999999999996E-2</v>
      </c>
      <c r="V20" s="103">
        <v>0.96599999999999997</v>
      </c>
      <c r="W20" s="111" t="s">
        <v>1730</v>
      </c>
      <c r="X20" s="111" t="s">
        <v>1731</v>
      </c>
    </row>
    <row r="21" spans="1:24" ht="30" x14ac:dyDescent="0.2">
      <c r="A21" s="87">
        <v>19</v>
      </c>
      <c r="B21" s="88" t="s">
        <v>1534</v>
      </c>
      <c r="C21" s="89"/>
      <c r="D21" s="90" t="s">
        <v>91</v>
      </c>
      <c r="E21" s="91" t="s">
        <v>1506</v>
      </c>
      <c r="F21" s="82"/>
      <c r="G21" s="82"/>
      <c r="H21" s="87" t="s">
        <v>494</v>
      </c>
      <c r="I21" s="87" t="s">
        <v>1506</v>
      </c>
      <c r="J21" s="93"/>
      <c r="K21" s="158">
        <v>1</v>
      </c>
      <c r="L21" s="94">
        <v>1</v>
      </c>
      <c r="M21" s="158">
        <v>1</v>
      </c>
      <c r="N21" s="161" t="s">
        <v>1750</v>
      </c>
      <c r="O21" s="87">
        <v>93</v>
      </c>
      <c r="P21" s="158">
        <v>1</v>
      </c>
      <c r="Q21" s="158">
        <v>2</v>
      </c>
      <c r="R21" s="87"/>
      <c r="S21" s="93"/>
      <c r="T21" s="102">
        <v>0.19</v>
      </c>
      <c r="U21" s="102">
        <v>0.13600000000000001</v>
      </c>
      <c r="V21" s="103">
        <v>0.53900000000000003</v>
      </c>
      <c r="W21" s="99"/>
      <c r="X21" s="99"/>
    </row>
    <row r="22" spans="1:24" s="58" customFormat="1" ht="60" x14ac:dyDescent="0.2">
      <c r="A22" s="104">
        <v>20</v>
      </c>
      <c r="B22" s="105" t="s">
        <v>494</v>
      </c>
      <c r="C22" s="105"/>
      <c r="D22" s="106" t="s">
        <v>95</v>
      </c>
      <c r="E22" s="107" t="s">
        <v>1506</v>
      </c>
      <c r="F22" s="83" t="s">
        <v>494</v>
      </c>
      <c r="G22" s="83"/>
      <c r="H22" s="106" t="s">
        <v>1732</v>
      </c>
      <c r="I22" s="104" t="s">
        <v>1729</v>
      </c>
      <c r="J22" s="104"/>
      <c r="K22" s="158">
        <v>3</v>
      </c>
      <c r="L22" s="104">
        <v>0</v>
      </c>
      <c r="M22" s="158">
        <v>1</v>
      </c>
      <c r="N22" s="161" t="s">
        <v>1750</v>
      </c>
      <c r="O22" s="104">
        <v>1</v>
      </c>
      <c r="P22" s="158" t="s">
        <v>1752</v>
      </c>
      <c r="Q22" s="158">
        <v>5</v>
      </c>
      <c r="R22" s="104"/>
      <c r="S22" s="104"/>
      <c r="T22" s="108">
        <v>0.37</v>
      </c>
      <c r="U22" s="108">
        <v>0.437</v>
      </c>
      <c r="V22" s="109">
        <v>9.1999999999999998E-2</v>
      </c>
      <c r="W22" s="110"/>
      <c r="X22" s="110"/>
    </row>
    <row r="23" spans="1:24" ht="64.25" customHeight="1" x14ac:dyDescent="0.2">
      <c r="A23" s="87">
        <v>21</v>
      </c>
      <c r="B23" s="88" t="s">
        <v>1795</v>
      </c>
      <c r="C23" s="89"/>
      <c r="D23" s="90" t="s">
        <v>99</v>
      </c>
      <c r="E23" s="91" t="s">
        <v>1702</v>
      </c>
      <c r="F23" s="82" t="s">
        <v>359</v>
      </c>
      <c r="G23" s="82"/>
      <c r="H23" s="87"/>
      <c r="I23" s="87" t="s">
        <v>1733</v>
      </c>
      <c r="J23" s="93"/>
      <c r="K23" s="158">
        <v>2</v>
      </c>
      <c r="L23" s="94">
        <v>0</v>
      </c>
      <c r="M23" s="158">
        <v>1</v>
      </c>
      <c r="N23" s="161" t="s">
        <v>1750</v>
      </c>
      <c r="O23" s="87">
        <v>1</v>
      </c>
      <c r="P23" s="158" t="s">
        <v>1752</v>
      </c>
      <c r="Q23" s="87">
        <v>5</v>
      </c>
      <c r="R23" s="87"/>
      <c r="S23" s="93"/>
      <c r="T23" s="102">
        <v>9.2999999999999999E-2</v>
      </c>
      <c r="U23" s="102">
        <v>0.114</v>
      </c>
      <c r="V23" s="103">
        <v>0.69899999999999995</v>
      </c>
      <c r="W23" s="91" t="s">
        <v>1734</v>
      </c>
      <c r="X23" s="99"/>
    </row>
    <row r="24" spans="1:24" ht="75.25" customHeight="1" x14ac:dyDescent="0.2">
      <c r="A24" s="87">
        <v>22</v>
      </c>
      <c r="B24" s="88" t="s">
        <v>1563</v>
      </c>
      <c r="C24" s="89"/>
      <c r="D24" s="90" t="s">
        <v>112</v>
      </c>
      <c r="E24" s="91" t="s">
        <v>1693</v>
      </c>
      <c r="F24" s="34" t="s">
        <v>359</v>
      </c>
      <c r="G24" s="82"/>
      <c r="H24" s="90" t="s">
        <v>359</v>
      </c>
      <c r="I24" s="87" t="s">
        <v>1733</v>
      </c>
      <c r="J24" s="93"/>
      <c r="K24" s="158" t="s">
        <v>1757</v>
      </c>
      <c r="L24" s="158" t="s">
        <v>1758</v>
      </c>
      <c r="M24" s="158" t="s">
        <v>1759</v>
      </c>
      <c r="N24" s="161" t="s">
        <v>1750</v>
      </c>
      <c r="O24" s="87">
        <v>10</v>
      </c>
      <c r="P24" s="158" t="s">
        <v>1760</v>
      </c>
      <c r="Q24" s="164" t="s">
        <v>1761</v>
      </c>
      <c r="R24" s="87"/>
      <c r="S24" s="93"/>
      <c r="T24" s="102">
        <v>0.19</v>
      </c>
      <c r="U24" s="102">
        <v>0.16900000000000001</v>
      </c>
      <c r="V24" s="103">
        <v>0.377</v>
      </c>
      <c r="W24" s="91" t="s">
        <v>1735</v>
      </c>
      <c r="X24" s="99"/>
    </row>
    <row r="25" spans="1:24" s="58" customFormat="1" x14ac:dyDescent="0.2">
      <c r="A25" s="104">
        <v>23</v>
      </c>
      <c r="B25" s="105" t="s">
        <v>1736</v>
      </c>
      <c r="C25" s="105"/>
      <c r="D25" s="106"/>
      <c r="E25" s="107" t="s">
        <v>1693</v>
      </c>
      <c r="F25" s="83" t="s">
        <v>359</v>
      </c>
      <c r="G25" s="83"/>
      <c r="H25" s="104" t="s">
        <v>1506</v>
      </c>
      <c r="I25" s="104" t="s">
        <v>1714</v>
      </c>
      <c r="J25" s="104"/>
      <c r="K25" s="158">
        <v>2</v>
      </c>
      <c r="L25" s="104">
        <v>0</v>
      </c>
      <c r="M25" s="158">
        <v>1</v>
      </c>
      <c r="N25" s="161" t="s">
        <v>1750</v>
      </c>
      <c r="O25" s="87">
        <v>1</v>
      </c>
      <c r="P25" s="158" t="s">
        <v>1752</v>
      </c>
      <c r="Q25" s="104">
        <v>5</v>
      </c>
      <c r="R25" s="104"/>
      <c r="S25" s="93"/>
      <c r="T25" s="108">
        <v>0.39900000000000002</v>
      </c>
      <c r="U25" s="108">
        <v>0.192</v>
      </c>
      <c r="V25" s="109">
        <v>0.33100000000000002</v>
      </c>
      <c r="W25" s="110" t="s">
        <v>1737</v>
      </c>
      <c r="X25" s="110"/>
    </row>
    <row r="26" spans="1:24" s="58" customFormat="1" ht="30" x14ac:dyDescent="0.2">
      <c r="A26" s="104">
        <v>24</v>
      </c>
      <c r="B26" s="106" t="s">
        <v>1738</v>
      </c>
      <c r="C26" s="104"/>
      <c r="D26" s="106"/>
      <c r="E26" s="107" t="s">
        <v>1693</v>
      </c>
      <c r="F26" s="83" t="s">
        <v>359</v>
      </c>
      <c r="G26" s="83"/>
      <c r="H26" s="104" t="s">
        <v>1506</v>
      </c>
      <c r="I26" s="104" t="s">
        <v>1714</v>
      </c>
      <c r="J26" s="104"/>
      <c r="K26" s="158" t="s">
        <v>1764</v>
      </c>
      <c r="L26" s="158">
        <v>1</v>
      </c>
      <c r="M26" s="158" t="s">
        <v>1900</v>
      </c>
      <c r="N26" s="158" t="s">
        <v>1762</v>
      </c>
      <c r="O26" s="104">
        <v>2</v>
      </c>
      <c r="P26" s="104">
        <v>2</v>
      </c>
      <c r="Q26" s="158" t="s">
        <v>1763</v>
      </c>
      <c r="R26" s="104"/>
      <c r="S26" s="93"/>
      <c r="T26" s="108">
        <v>6.9000000000000006E-2</v>
      </c>
      <c r="U26" s="108">
        <v>0.20899999999999999</v>
      </c>
      <c r="V26" s="109">
        <v>0.26200000000000001</v>
      </c>
      <c r="W26" s="110"/>
      <c r="X26" s="110"/>
    </row>
    <row r="27" spans="1:24" ht="30" x14ac:dyDescent="0.2">
      <c r="A27" s="87">
        <v>25</v>
      </c>
      <c r="B27" s="88" t="s">
        <v>1588</v>
      </c>
      <c r="C27" s="89"/>
      <c r="D27" s="90" t="s">
        <v>132</v>
      </c>
      <c r="E27" s="91" t="s">
        <v>1702</v>
      </c>
      <c r="F27" s="82" t="s">
        <v>359</v>
      </c>
      <c r="G27" s="82"/>
      <c r="H27" s="87"/>
      <c r="I27" s="87" t="s">
        <v>1729</v>
      </c>
      <c r="J27" s="93"/>
      <c r="K27" s="158">
        <v>2</v>
      </c>
      <c r="L27" s="94">
        <v>0</v>
      </c>
      <c r="M27" s="158">
        <v>1</v>
      </c>
      <c r="N27" s="161" t="s">
        <v>1750</v>
      </c>
      <c r="O27" s="87">
        <v>1</v>
      </c>
      <c r="P27" s="158" t="s">
        <v>1752</v>
      </c>
      <c r="Q27" s="87">
        <v>5</v>
      </c>
      <c r="R27" s="87"/>
      <c r="S27" s="93"/>
      <c r="T27" s="102">
        <v>0.27700000000000002</v>
      </c>
      <c r="U27" s="102">
        <v>0.13700000000000001</v>
      </c>
      <c r="V27" s="103">
        <v>0.52600000000000002</v>
      </c>
      <c r="W27" s="117" t="s">
        <v>1739</v>
      </c>
      <c r="X27" s="91" t="s">
        <v>1740</v>
      </c>
    </row>
    <row r="28" spans="1:24" s="58" customFormat="1" ht="30" x14ac:dyDescent="0.2">
      <c r="A28" s="118">
        <v>26</v>
      </c>
      <c r="B28" s="105" t="s">
        <v>494</v>
      </c>
      <c r="C28" s="105"/>
      <c r="D28" s="106" t="s">
        <v>143</v>
      </c>
      <c r="E28" s="107" t="s">
        <v>494</v>
      </c>
      <c r="F28" s="83"/>
      <c r="G28" s="83"/>
      <c r="H28" s="104" t="s">
        <v>494</v>
      </c>
      <c r="I28" s="104" t="s">
        <v>494</v>
      </c>
      <c r="J28" s="104"/>
      <c r="K28" s="158">
        <v>1</v>
      </c>
      <c r="L28" s="104">
        <v>0</v>
      </c>
      <c r="M28" s="95">
        <v>1</v>
      </c>
      <c r="N28" s="161" t="s">
        <v>1750</v>
      </c>
      <c r="O28" s="104">
        <v>3</v>
      </c>
      <c r="P28" s="158">
        <v>2</v>
      </c>
      <c r="Q28" s="158">
        <v>0</v>
      </c>
      <c r="R28" s="158" t="s">
        <v>1765</v>
      </c>
      <c r="S28" s="104"/>
      <c r="T28" s="108">
        <v>0.113</v>
      </c>
      <c r="U28" s="108">
        <v>0.107</v>
      </c>
      <c r="V28" s="109">
        <v>0.74399999999999999</v>
      </c>
      <c r="W28" s="110"/>
      <c r="X28" s="110"/>
    </row>
    <row r="29" spans="1:24" s="126" customFormat="1" ht="30" x14ac:dyDescent="0.2">
      <c r="A29" s="118">
        <v>27</v>
      </c>
      <c r="B29" s="119" t="s">
        <v>1741</v>
      </c>
      <c r="C29" s="119"/>
      <c r="D29" s="120" t="s">
        <v>151</v>
      </c>
      <c r="E29" s="121" t="s">
        <v>1693</v>
      </c>
      <c r="F29" s="122" t="s">
        <v>359</v>
      </c>
      <c r="G29" s="122" t="s">
        <v>494</v>
      </c>
      <c r="H29" s="95"/>
      <c r="I29" s="95" t="s">
        <v>1729</v>
      </c>
      <c r="J29" s="95"/>
      <c r="K29" s="158">
        <v>1</v>
      </c>
      <c r="L29" s="95">
        <v>0</v>
      </c>
      <c r="M29" s="158">
        <v>1</v>
      </c>
      <c r="N29" s="161" t="s">
        <v>1750</v>
      </c>
      <c r="O29" s="87">
        <v>1</v>
      </c>
      <c r="P29" s="158" t="s">
        <v>1752</v>
      </c>
      <c r="Q29" s="158">
        <v>5</v>
      </c>
      <c r="R29" s="95"/>
      <c r="S29" s="95"/>
      <c r="T29" s="123">
        <v>0.35099999999999998</v>
      </c>
      <c r="U29" s="123">
        <v>0.26600000000000001</v>
      </c>
      <c r="V29" s="124">
        <v>0.17699999999999999</v>
      </c>
      <c r="W29" s="125"/>
      <c r="X29" s="125"/>
    </row>
    <row r="30" spans="1:24" ht="30" x14ac:dyDescent="0.2">
      <c r="A30" s="87">
        <v>29</v>
      </c>
      <c r="B30" s="88" t="s">
        <v>1610</v>
      </c>
      <c r="C30" s="89"/>
      <c r="D30" s="90" t="s">
        <v>155</v>
      </c>
      <c r="E30" s="91" t="s">
        <v>1702</v>
      </c>
      <c r="F30" s="82" t="s">
        <v>359</v>
      </c>
      <c r="G30" s="82"/>
      <c r="H30" s="87" t="s">
        <v>359</v>
      </c>
      <c r="I30" s="87" t="s">
        <v>1714</v>
      </c>
      <c r="J30" s="93"/>
      <c r="K30" s="158">
        <v>1</v>
      </c>
      <c r="L30" s="94" t="s">
        <v>1766</v>
      </c>
      <c r="M30" s="95">
        <v>1</v>
      </c>
      <c r="N30" s="161" t="s">
        <v>1750</v>
      </c>
      <c r="O30" s="87">
        <v>1</v>
      </c>
      <c r="P30" s="158" t="s">
        <v>1752</v>
      </c>
      <c r="Q30" s="87">
        <v>5</v>
      </c>
      <c r="R30" s="158" t="s">
        <v>1767</v>
      </c>
      <c r="S30" s="93"/>
      <c r="T30" s="102">
        <v>0.247</v>
      </c>
      <c r="U30" s="102">
        <v>0.20200000000000001</v>
      </c>
      <c r="V30" s="103">
        <v>0.28999999999999998</v>
      </c>
      <c r="W30" s="115" t="s">
        <v>1742</v>
      </c>
      <c r="X30" s="99"/>
    </row>
    <row r="31" spans="1:24" ht="45" x14ac:dyDescent="0.2">
      <c r="A31" s="87">
        <v>29</v>
      </c>
      <c r="B31" s="88" t="s">
        <v>1743</v>
      </c>
      <c r="C31" s="89"/>
      <c r="D31" s="90" t="s">
        <v>172</v>
      </c>
      <c r="E31" s="91" t="s">
        <v>494</v>
      </c>
      <c r="F31" s="82"/>
      <c r="G31" s="82" t="s">
        <v>494</v>
      </c>
      <c r="H31" s="87" t="s">
        <v>494</v>
      </c>
      <c r="I31" s="87" t="s">
        <v>494</v>
      </c>
      <c r="J31" s="93"/>
      <c r="K31" s="158">
        <v>1</v>
      </c>
      <c r="L31" s="158">
        <v>0</v>
      </c>
      <c r="M31" s="158">
        <v>1</v>
      </c>
      <c r="N31" s="161" t="s">
        <v>1750</v>
      </c>
      <c r="O31" s="158">
        <v>1</v>
      </c>
      <c r="P31" s="158" t="s">
        <v>1752</v>
      </c>
      <c r="Q31" s="158">
        <v>5</v>
      </c>
      <c r="S31" s="93"/>
      <c r="T31" s="102">
        <v>0.39</v>
      </c>
      <c r="U31" s="102">
        <v>0.30499999999999999</v>
      </c>
      <c r="V31" s="103">
        <v>0.14399999999999999</v>
      </c>
      <c r="W31" s="99"/>
      <c r="X31" s="99"/>
    </row>
    <row r="32" spans="1:24" ht="90" x14ac:dyDescent="0.2">
      <c r="A32" s="87">
        <v>30</v>
      </c>
      <c r="B32" s="88" t="s">
        <v>1627</v>
      </c>
      <c r="C32" s="89"/>
      <c r="D32" s="90" t="s">
        <v>176</v>
      </c>
      <c r="E32" s="91" t="s">
        <v>1693</v>
      </c>
      <c r="F32" s="82"/>
      <c r="G32" s="82"/>
      <c r="H32" s="90" t="s">
        <v>1744</v>
      </c>
      <c r="I32" s="87" t="s">
        <v>494</v>
      </c>
      <c r="J32" s="93"/>
      <c r="K32" s="158">
        <v>1</v>
      </c>
      <c r="L32" s="94">
        <v>0</v>
      </c>
      <c r="M32" s="158">
        <v>1</v>
      </c>
      <c r="N32" s="161" t="s">
        <v>1750</v>
      </c>
      <c r="O32" s="87">
        <v>1</v>
      </c>
      <c r="P32" s="158" t="s">
        <v>1752</v>
      </c>
      <c r="Q32" s="87">
        <v>5</v>
      </c>
      <c r="R32" s="87"/>
      <c r="S32" s="93"/>
      <c r="T32" s="102">
        <v>0.06</v>
      </c>
      <c r="U32" s="102">
        <v>4.5999999999999999E-2</v>
      </c>
      <c r="V32" s="103">
        <v>0.999</v>
      </c>
      <c r="W32" s="111" t="s">
        <v>1745</v>
      </c>
      <c r="X32" s="99"/>
    </row>
  </sheetData>
  <conditionalFormatting sqref="V3:V32">
    <cfRule type="cellIs" dxfId="0" priority="1" operator="lessThan">
      <formula>0.6</formula>
    </cfRule>
  </conditionalFormatting>
  <pageMargins left="0.7" right="0.7" top="0.75" bottom="0.75" header="0.3" footer="0.3"/>
  <pageSetup paperSize="9" scale="44" fitToHeight="0" orientation="landscape" horizontalDpi="300" verticalDpi="300" r:id="rId1"/>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50"/>
  </sheetPr>
  <dimension ref="A1:M49"/>
  <sheetViews>
    <sheetView zoomScale="90" zoomScaleNormal="90" zoomScalePageLayoutView="90" workbookViewId="0">
      <pane xSplit="1" ySplit="1" topLeftCell="B27"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4" max="4" width="17.6640625" customWidth="1"/>
    <col min="5" max="5" width="9.83203125" customWidth="1"/>
    <col min="6" max="6" width="7.5" customWidth="1"/>
    <col min="7" max="7" width="8.5" customWidth="1"/>
    <col min="8" max="8" width="9.5" bestFit="1" customWidth="1"/>
  </cols>
  <sheetData>
    <row r="1" spans="1:13" s="58" customFormat="1" x14ac:dyDescent="0.2">
      <c r="A1" s="63" t="s">
        <v>1360</v>
      </c>
      <c r="B1" s="57">
        <v>9</v>
      </c>
      <c r="D1" s="52" t="s">
        <v>1851</v>
      </c>
      <c r="E1" s="52"/>
      <c r="F1" s="52"/>
      <c r="G1" s="52"/>
      <c r="H1" s="52"/>
      <c r="I1" s="52"/>
      <c r="J1" s="52"/>
      <c r="K1" s="52"/>
      <c r="L1" s="52"/>
      <c r="M1" s="52"/>
    </row>
    <row r="2" spans="1:13" ht="65.25" customHeight="1" x14ac:dyDescent="0.2">
      <c r="A2" s="34" t="s">
        <v>1321</v>
      </c>
      <c r="B2" s="33" t="str">
        <f ca="1">INDIRECT("main!"&amp;"C"&amp;B$1+2)</f>
        <v>Gardener, S. L.; Rainey-Smith, S. R.; Barnes, M. B.; Sohrabi, H. R.; Weinborn, M.; Lim, Y. Y.; Harrington, K.; Taddei, K.; Gu, Y.; Rembach, A.; Szoeke, C.; Ellis, K. A.; Masters, C. L.; Macaulay, S. L.; Rowe, C. C.; Ames, D.; Keogh, J. B.; Scarmeas, N.; Martins, R. N.</v>
      </c>
      <c r="D2" s="78" t="s">
        <v>1537</v>
      </c>
      <c r="E2" s="53"/>
      <c r="F2" s="53"/>
      <c r="G2" s="53"/>
      <c r="H2" s="53"/>
      <c r="I2" s="53" t="s">
        <v>1382</v>
      </c>
      <c r="J2" s="53"/>
      <c r="K2" s="53"/>
      <c r="L2" s="53"/>
      <c r="M2" s="53"/>
    </row>
    <row r="3" spans="1:13" ht="35.5" customHeight="1" x14ac:dyDescent="0.2">
      <c r="A3" s="34" t="s">
        <v>1322</v>
      </c>
      <c r="B3" s="33" t="str">
        <f ca="1">INDIRECT("main!"&amp;"D"&amp;B$1+2)</f>
        <v>Dietary patterns and cognitive decline in an Australian study of ageing</v>
      </c>
      <c r="C3" t="s">
        <v>428</v>
      </c>
      <c r="D3" s="53" t="s">
        <v>1395</v>
      </c>
      <c r="E3" s="53" t="s">
        <v>1366</v>
      </c>
      <c r="F3" s="53" t="s">
        <v>1367</v>
      </c>
      <c r="G3" s="53" t="s">
        <v>1368</v>
      </c>
      <c r="H3" s="54" t="s">
        <v>0</v>
      </c>
      <c r="I3" t="s">
        <v>1369</v>
      </c>
      <c r="J3" t="s">
        <v>1370</v>
      </c>
      <c r="K3" s="53" t="s">
        <v>1371</v>
      </c>
      <c r="L3" s="54" t="s">
        <v>1372</v>
      </c>
      <c r="M3" s="54" t="s">
        <v>1373</v>
      </c>
    </row>
    <row r="4" spans="1:13" x14ac:dyDescent="0.2">
      <c r="A4" s="34" t="s">
        <v>1324</v>
      </c>
      <c r="B4" s="33" t="str">
        <f ca="1">INDIRECT("main!"&amp;"J"&amp;B$1+2)</f>
        <v>10.1038/mp.2014.79</v>
      </c>
      <c r="D4" t="s">
        <v>2216</v>
      </c>
      <c r="E4" s="55">
        <v>0</v>
      </c>
      <c r="F4" s="55">
        <v>285.89999999999998</v>
      </c>
      <c r="G4" s="55">
        <v>116.1</v>
      </c>
      <c r="H4" s="55">
        <v>149</v>
      </c>
      <c r="I4">
        <f>H4*F4</f>
        <v>42599.1</v>
      </c>
      <c r="J4">
        <f>(H4*(H4-1)*G4^2+I4^2)/H4</f>
        <v>14174005.77</v>
      </c>
      <c r="K4" s="53">
        <f>E4*I4</f>
        <v>0</v>
      </c>
      <c r="L4" s="53">
        <f>E4*H4</f>
        <v>0</v>
      </c>
      <c r="M4" s="53">
        <f>E4^2*H4</f>
        <v>0</v>
      </c>
    </row>
    <row r="5" spans="1:13" ht="47.25" customHeight="1" x14ac:dyDescent="0.2">
      <c r="A5" s="34" t="s">
        <v>1327</v>
      </c>
      <c r="B5" s="33" t="s">
        <v>1647</v>
      </c>
      <c r="D5" t="s">
        <v>2217</v>
      </c>
      <c r="E5" s="55">
        <v>1</v>
      </c>
      <c r="F5" s="55">
        <v>316</v>
      </c>
      <c r="G5" s="55">
        <v>134.30000000000001</v>
      </c>
      <c r="H5" s="55">
        <v>379</v>
      </c>
      <c r="I5">
        <f t="shared" ref="I5" si="0">H5*F5</f>
        <v>119764</v>
      </c>
      <c r="J5">
        <f t="shared" ref="J5" si="1">(H5*(H5-1)*G5^2+I5^2)/H5</f>
        <v>44663217.220000006</v>
      </c>
      <c r="K5" s="53">
        <f t="shared" ref="K5" si="2">E5*I5</f>
        <v>119764</v>
      </c>
      <c r="L5" s="53">
        <f t="shared" ref="L5" si="3">E5*H5</f>
        <v>379</v>
      </c>
      <c r="M5" s="53">
        <f t="shared" ref="M5" si="4">E5^2*H5</f>
        <v>379</v>
      </c>
    </row>
    <row r="6" spans="1:13" x14ac:dyDescent="0.2">
      <c r="A6" s="34" t="s">
        <v>1333</v>
      </c>
      <c r="B6" s="33" t="str">
        <f ca="1">INDIRECT("main!"&amp;"L"&amp;B$1+2)</f>
        <v>N = 527</v>
      </c>
      <c r="D6" s="54"/>
      <c r="E6" s="55"/>
      <c r="F6" s="55"/>
      <c r="G6" s="55"/>
      <c r="H6" s="55"/>
      <c r="I6" s="55"/>
      <c r="J6" s="55"/>
      <c r="K6" s="55"/>
      <c r="L6" s="55"/>
      <c r="M6" s="55"/>
    </row>
    <row r="7" spans="1:13" x14ac:dyDescent="0.2">
      <c r="A7" s="34" t="s">
        <v>1903</v>
      </c>
      <c r="B7" s="33">
        <v>1</v>
      </c>
      <c r="D7" s="54"/>
      <c r="E7" s="55"/>
      <c r="F7" s="55"/>
      <c r="G7" s="55"/>
      <c r="H7" s="55"/>
      <c r="I7" s="55"/>
      <c r="J7" s="55"/>
      <c r="K7" s="55"/>
      <c r="L7" s="55"/>
      <c r="M7" s="55"/>
    </row>
    <row r="8" spans="1:13" x14ac:dyDescent="0.2">
      <c r="A8" s="34" t="s">
        <v>343</v>
      </c>
      <c r="B8" s="33" t="str">
        <f ca="1">INDIRECT("main!"&amp;"q"&amp;B$1+2)</f>
        <v>APOE</v>
      </c>
      <c r="D8" s="54"/>
      <c r="E8" s="55" t="s">
        <v>1374</v>
      </c>
      <c r="F8" s="55"/>
      <c r="G8" s="55"/>
      <c r="H8" s="55">
        <f>SUM(H4:H6)</f>
        <v>528</v>
      </c>
      <c r="I8" s="55">
        <f>SUM(I4:I6)</f>
        <v>162363.1</v>
      </c>
      <c r="J8" s="55">
        <f t="shared" ref="J8:M8" si="5">SUM(J4:J6)</f>
        <v>58837222.99000001</v>
      </c>
      <c r="K8" s="55">
        <f t="shared" si="5"/>
        <v>119764</v>
      </c>
      <c r="L8" s="55">
        <f t="shared" si="5"/>
        <v>379</v>
      </c>
      <c r="M8" s="55">
        <f t="shared" si="5"/>
        <v>379</v>
      </c>
    </row>
    <row r="9" spans="1:13" ht="20.5" customHeight="1" x14ac:dyDescent="0.2">
      <c r="A9" s="34" t="s">
        <v>1329</v>
      </c>
      <c r="B9" s="33" t="str">
        <f ca="1">INDIRECT("main!"&amp;"r"&amp;B$1+2)</f>
        <v>ε4</v>
      </c>
      <c r="D9" s="53"/>
      <c r="E9" s="55"/>
      <c r="F9" s="55"/>
      <c r="G9" s="55"/>
      <c r="H9" s="55"/>
      <c r="I9" s="55"/>
      <c r="J9" s="55"/>
      <c r="K9" s="53"/>
      <c r="L9" s="53"/>
      <c r="M9" s="53"/>
    </row>
    <row r="10" spans="1:13" ht="81.75" customHeight="1" x14ac:dyDescent="0.2">
      <c r="A10" s="34" t="s">
        <v>1323</v>
      </c>
      <c r="B10" s="33" t="str">
        <f ca="1">INDIRECT("main!"&amp;"O"&amp;B$1+2)</f>
        <v>Food frequency questionnaire and neuropsychological assessment; at baseline, 18, 36 month follow up; 6 cognitive domains and overall score (verbal memory, visual memory, executive function, language, attention, visuospatial functioning, global cognitive score), three dietary patterns (Australian-style Mediterranean diet, Western diet, prudent diet)</v>
      </c>
      <c r="D10" s="53" t="s">
        <v>1406</v>
      </c>
      <c r="E10" s="55"/>
      <c r="F10" s="55"/>
      <c r="G10" s="55"/>
      <c r="H10" s="55"/>
      <c r="I10" s="55"/>
      <c r="J10" s="55"/>
      <c r="K10" s="53"/>
      <c r="L10" s="53"/>
      <c r="M10" s="53"/>
    </row>
    <row r="11" spans="1:13" ht="93.75" customHeight="1" x14ac:dyDescent="0.2">
      <c r="A11" s="34" t="s">
        <v>1396</v>
      </c>
      <c r="B11" s="33" t="str">
        <f ca="1">INDIRECT("main!"&amp;"W"&amp;B$1+2)</f>
        <v>Series of repeated measures linear mixed models; examined relationship between baseline diet score and time (baseline, 19 and 36 month follow-up) with respect to cognitive change. APOE e4 status was one of many factors examined, including: baseline diet score, time, body mass index,  country of birth, yr education, past smoking status, energy intake, history of angina, stroke, hypertension, heart attack and diabetes. Age as covariate.</v>
      </c>
      <c r="D11" s="53" t="s">
        <v>1376</v>
      </c>
      <c r="E11" s="69" t="s">
        <v>1377</v>
      </c>
      <c r="F11" s="69">
        <f>(H8*K8-L8*I8)/(H8*M8-L8^2)</f>
        <v>30.100000000000026</v>
      </c>
      <c r="G11" s="55"/>
      <c r="H11" s="55"/>
      <c r="I11" s="55"/>
      <c r="J11" s="55"/>
      <c r="K11" s="53"/>
      <c r="L11" s="53"/>
      <c r="M11" s="53"/>
    </row>
    <row r="12" spans="1:13" ht="32.75" customHeight="1" x14ac:dyDescent="0.2">
      <c r="A12" s="34" t="s">
        <v>1896</v>
      </c>
      <c r="B12" s="62" t="s">
        <v>2079</v>
      </c>
      <c r="D12" s="53"/>
      <c r="E12" s="70" t="s">
        <v>1378</v>
      </c>
      <c r="F12" s="69">
        <f>(H8*K8-L8*I8)/SQRT((H8*M8-L8^2)*(H8*J8-I8^2))</f>
        <v>0.10428762298163216</v>
      </c>
      <c r="G12" s="53"/>
      <c r="H12" s="53"/>
      <c r="I12" s="53"/>
      <c r="J12" s="53"/>
      <c r="K12" s="53"/>
      <c r="L12" s="53"/>
      <c r="M12" s="53"/>
    </row>
    <row r="13" spans="1:13" ht="90.5" customHeight="1" x14ac:dyDescent="0.2">
      <c r="A13" s="34" t="s">
        <v>1326</v>
      </c>
      <c r="B13" s="62" t="s">
        <v>1463</v>
      </c>
      <c r="D13" s="53"/>
      <c r="E13" s="56" t="s">
        <v>1379</v>
      </c>
      <c r="F13" s="53">
        <f>F12^2</f>
        <v>1.0875908307159052E-2</v>
      </c>
      <c r="G13" s="53"/>
      <c r="H13" s="53"/>
      <c r="I13" s="53"/>
      <c r="J13" s="53"/>
      <c r="K13" s="53"/>
      <c r="L13" s="53"/>
      <c r="M13" s="53"/>
    </row>
    <row r="14" spans="1:13" x14ac:dyDescent="0.2">
      <c r="A14" s="34" t="s">
        <v>1852</v>
      </c>
      <c r="B14" s="33" t="str">
        <f>D4&amp;" (N = "&amp;H4&amp;"); "&amp;D5&amp;" (N = "&amp;H5&amp;") "</f>
        <v xml:space="preserve">ε4 + (N = 149); ε4 - (N = 379) </v>
      </c>
      <c r="E14" s="53"/>
      <c r="F14" s="53"/>
      <c r="G14" s="53"/>
      <c r="H14" s="53"/>
      <c r="I14" s="53"/>
      <c r="J14" s="53"/>
      <c r="K14" s="53"/>
      <c r="L14" s="53"/>
      <c r="M14" s="53"/>
    </row>
    <row r="15" spans="1:13" x14ac:dyDescent="0.2">
      <c r="A15" s="34" t="s">
        <v>1848</v>
      </c>
      <c r="B15" s="62">
        <f>ABS(F12)</f>
        <v>0.10428762298163216</v>
      </c>
      <c r="D15" s="58" t="s">
        <v>1438</v>
      </c>
      <c r="E15" s="58"/>
      <c r="F15" s="58"/>
    </row>
    <row r="16" spans="1:13" x14ac:dyDescent="0.2">
      <c r="A16" s="34" t="s">
        <v>1897</v>
      </c>
      <c r="B16" s="62" t="s">
        <v>2080</v>
      </c>
      <c r="D16" s="58" t="s">
        <v>2081</v>
      </c>
      <c r="E16" s="58"/>
      <c r="F16" s="58"/>
    </row>
    <row r="17" spans="1:6" ht="16" x14ac:dyDescent="0.2">
      <c r="A17" s="204" t="s">
        <v>2189</v>
      </c>
      <c r="B17" s="33">
        <v>0.121</v>
      </c>
      <c r="D17" t="s">
        <v>1439</v>
      </c>
      <c r="E17" t="s">
        <v>1440</v>
      </c>
      <c r="F17" t="s">
        <v>1378</v>
      </c>
    </row>
    <row r="18" spans="1:6" x14ac:dyDescent="0.2">
      <c r="A18" s="64" t="s">
        <v>1401</v>
      </c>
      <c r="B18" s="33">
        <v>0.63200000000000001</v>
      </c>
      <c r="D18">
        <v>1.7000000000000001E-2</v>
      </c>
      <c r="E18">
        <f>TINV(D18,H8-2)</f>
        <v>2.3943269704424219</v>
      </c>
      <c r="F18">
        <f>SQRT(E18^2/(E18^2+H8))</f>
        <v>0.10363859352072435</v>
      </c>
    </row>
    <row r="19" spans="1:6" x14ac:dyDescent="0.2">
      <c r="A19" s="64" t="s">
        <v>1346</v>
      </c>
      <c r="B19" s="33" t="s">
        <v>1459</v>
      </c>
    </row>
    <row r="20" spans="1:6" x14ac:dyDescent="0.2">
      <c r="A20" s="64" t="s">
        <v>1388</v>
      </c>
      <c r="B20" s="12" t="s">
        <v>2265</v>
      </c>
    </row>
    <row r="21" spans="1:6" x14ac:dyDescent="0.2">
      <c r="A21" s="64" t="s">
        <v>1390</v>
      </c>
      <c r="D21" s="236" t="s">
        <v>2415</v>
      </c>
      <c r="E21" s="236" t="s">
        <v>2416</v>
      </c>
    </row>
    <row r="22" spans="1:6" ht="30" x14ac:dyDescent="0.2">
      <c r="A22" s="34" t="s">
        <v>1387</v>
      </c>
      <c r="B22" s="33" t="s">
        <v>1841</v>
      </c>
      <c r="D22" s="236">
        <v>527</v>
      </c>
      <c r="E22" s="236">
        <v>0</v>
      </c>
    </row>
    <row r="23" spans="1:6" x14ac:dyDescent="0.2">
      <c r="A23" s="34" t="s">
        <v>1426</v>
      </c>
      <c r="B23" s="57"/>
    </row>
    <row r="24" spans="1:6" s="140" customFormat="1" x14ac:dyDescent="0.2">
      <c r="A24" s="138" t="s">
        <v>1746</v>
      </c>
      <c r="B24" s="139"/>
    </row>
    <row r="25" spans="1:6" s="136" customFormat="1" ht="30" x14ac:dyDescent="0.2">
      <c r="A25" s="137" t="s">
        <v>1753</v>
      </c>
      <c r="B25" s="137" t="s">
        <v>2259</v>
      </c>
    </row>
    <row r="26" spans="1:6" s="136" customFormat="1" x14ac:dyDescent="0.2">
      <c r="A26" s="137" t="s">
        <v>1681</v>
      </c>
      <c r="B26" s="137">
        <f ca="1">INDIRECT("N_SNPs!"&amp;"L"&amp;B$1+2)</f>
        <v>0</v>
      </c>
    </row>
    <row r="27" spans="1:6" s="136" customFormat="1" x14ac:dyDescent="0.2">
      <c r="A27" s="137" t="s">
        <v>1747</v>
      </c>
      <c r="B27" s="137">
        <f ca="1">INDIRECT("N_SNPs!"&amp;"M"&amp;B$1+2)</f>
        <v>1</v>
      </c>
    </row>
    <row r="28" spans="1:6" s="136" customFormat="1" x14ac:dyDescent="0.2">
      <c r="A28" s="137" t="s">
        <v>1683</v>
      </c>
      <c r="B28" s="137" t="str">
        <f ca="1">INDIRECT("N_SNPs!"&amp;"N"&amp;B$1+2)</f>
        <v>not needed</v>
      </c>
    </row>
    <row r="29" spans="1:6" s="136" customFormat="1" x14ac:dyDescent="0.2">
      <c r="A29" s="137" t="s">
        <v>2171</v>
      </c>
      <c r="B29" s="137">
        <f ca="1">INDIRECT("N_SNPs!"&amp;"O"&amp;B$1+2)</f>
        <v>1</v>
      </c>
    </row>
    <row r="30" spans="1:6" s="136" customFormat="1" ht="30" x14ac:dyDescent="0.2">
      <c r="A30" s="137" t="s">
        <v>2170</v>
      </c>
      <c r="B30" s="137">
        <v>0</v>
      </c>
    </row>
    <row r="31" spans="1:6" s="136" customFormat="1" ht="60" x14ac:dyDescent="0.2">
      <c r="A31" s="137" t="s">
        <v>2172</v>
      </c>
      <c r="B31" s="137">
        <f ca="1">INDIRECT("N_SNPs!"&amp;"Q"&amp;B$1+2)</f>
        <v>5</v>
      </c>
    </row>
    <row r="32" spans="1:6" s="136" customFormat="1" x14ac:dyDescent="0.2">
      <c r="A32" s="137" t="s">
        <v>1686</v>
      </c>
      <c r="B32" s="137" t="str">
        <f ca="1">INDIRECT("N_SNPs!"&amp;"R"&amp;B$1+2)</f>
        <v>selected from previous literature</v>
      </c>
    </row>
    <row r="33" spans="1:3" s="172" customFormat="1" x14ac:dyDescent="0.2">
      <c r="A33" s="171" t="s">
        <v>1808</v>
      </c>
      <c r="B33" s="171">
        <v>14</v>
      </c>
    </row>
    <row r="34" spans="1:3" s="172" customFormat="1" x14ac:dyDescent="0.2">
      <c r="A34" s="203" t="s">
        <v>2177</v>
      </c>
      <c r="B34" s="171">
        <v>1</v>
      </c>
    </row>
    <row r="35" spans="1:3" s="172" customFormat="1" ht="60" x14ac:dyDescent="0.2">
      <c r="A35" s="171" t="s">
        <v>1810</v>
      </c>
      <c r="B35" s="171">
        <v>1</v>
      </c>
    </row>
    <row r="36" spans="1:3" s="174" customFormat="1" x14ac:dyDescent="0.2">
      <c r="A36" s="173" t="s">
        <v>1835</v>
      </c>
      <c r="B36" s="173" t="s">
        <v>1752</v>
      </c>
      <c r="C36" s="174" t="s">
        <v>2421</v>
      </c>
    </row>
    <row r="37" spans="1:3" s="174" customFormat="1" x14ac:dyDescent="0.2">
      <c r="A37" s="173" t="s">
        <v>2272</v>
      </c>
      <c r="B37" s="173" t="s">
        <v>1752</v>
      </c>
    </row>
    <row r="38" spans="1:3" s="174" customFormat="1" ht="30" x14ac:dyDescent="0.2">
      <c r="A38" s="173" t="s">
        <v>2299</v>
      </c>
      <c r="B38" s="173" t="s">
        <v>1752</v>
      </c>
    </row>
    <row r="39" spans="1:3" s="174" customFormat="1" x14ac:dyDescent="0.2">
      <c r="A39" s="173" t="s">
        <v>2273</v>
      </c>
      <c r="B39" s="173">
        <v>0</v>
      </c>
    </row>
    <row r="40" spans="1:3" s="174" customFormat="1" ht="30" x14ac:dyDescent="0.2">
      <c r="A40" s="173" t="s">
        <v>2274</v>
      </c>
      <c r="B40" s="173" t="s">
        <v>1752</v>
      </c>
    </row>
    <row r="41" spans="1:3" s="176" customFormat="1" ht="30" x14ac:dyDescent="0.2">
      <c r="A41" s="175" t="s">
        <v>1815</v>
      </c>
      <c r="B41" s="190" t="s">
        <v>1840</v>
      </c>
    </row>
    <row r="42" spans="1:3" s="176" customFormat="1" x14ac:dyDescent="0.2">
      <c r="A42" s="175" t="s">
        <v>1881</v>
      </c>
      <c r="B42" s="190" t="s">
        <v>1887</v>
      </c>
    </row>
    <row r="43" spans="1:3" x14ac:dyDescent="0.2">
      <c r="A43" s="34" t="s">
        <v>1398</v>
      </c>
    </row>
    <row r="44" spans="1:3" x14ac:dyDescent="0.2">
      <c r="A44" s="34" t="s">
        <v>1410</v>
      </c>
    </row>
    <row r="45" spans="1:3" x14ac:dyDescent="0.2">
      <c r="A45" s="34" t="s">
        <v>2374</v>
      </c>
      <c r="B45" s="33" t="s">
        <v>1752</v>
      </c>
    </row>
    <row r="46" spans="1:3" x14ac:dyDescent="0.2">
      <c r="A46" s="34" t="s">
        <v>1416</v>
      </c>
      <c r="B46" s="66" t="s">
        <v>1481</v>
      </c>
    </row>
    <row r="48" spans="1:3" ht="30" x14ac:dyDescent="0.2">
      <c r="A48" s="34" t="s">
        <v>1643</v>
      </c>
      <c r="B48" s="33" t="s">
        <v>1646</v>
      </c>
    </row>
    <row r="49" spans="1:2" ht="135" x14ac:dyDescent="0.2">
      <c r="A49" s="34" t="s">
        <v>1645</v>
      </c>
      <c r="B49" s="33" t="s">
        <v>1644</v>
      </c>
    </row>
  </sheetData>
  <pageMargins left="0.7" right="0.7" top="0.75" bottom="0.75" header="0.3" footer="0.3"/>
  <pageSetup paperSize="9" orientation="portrait" r:id="rId1"/>
  <drawing r:id="rId2"/>
  <legacy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249977111117893"/>
  </sheetPr>
  <dimension ref="A1:M46"/>
  <sheetViews>
    <sheetView zoomScale="90" zoomScaleNormal="90" zoomScalePageLayoutView="90" workbookViewId="0">
      <pane xSplit="1" ySplit="1" topLeftCell="B28"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4" max="4" width="17.6640625" customWidth="1"/>
    <col min="5" max="5" width="9.83203125" customWidth="1"/>
    <col min="6" max="6" width="7.5" customWidth="1"/>
    <col min="7" max="7" width="8.5" customWidth="1"/>
    <col min="8" max="8" width="9.5" bestFit="1" customWidth="1"/>
  </cols>
  <sheetData>
    <row r="1" spans="1:13" s="58" customFormat="1" x14ac:dyDescent="0.2">
      <c r="A1" s="63" t="s">
        <v>1360</v>
      </c>
      <c r="B1" s="57">
        <v>8</v>
      </c>
      <c r="D1" s="52" t="s">
        <v>1851</v>
      </c>
      <c r="E1" s="52"/>
      <c r="F1" s="52"/>
      <c r="G1" s="52"/>
      <c r="H1" s="52"/>
      <c r="I1" s="52"/>
      <c r="J1" s="52"/>
      <c r="K1" s="52"/>
      <c r="L1" s="52"/>
      <c r="M1" s="52"/>
    </row>
    <row r="2" spans="1:13" ht="28.5" customHeight="1" x14ac:dyDescent="0.2">
      <c r="A2" s="34" t="s">
        <v>1321</v>
      </c>
      <c r="B2" s="33" t="str">
        <f ca="1">INDIRECT("main!"&amp;"C"&amp;B$1+2)</f>
        <v>Vivot, A.; Glymour, M. M.; Tzourio, C.; Amouyel, P.; Chene, G.; Dufouil, C.</v>
      </c>
      <c r="D2" s="79" t="s">
        <v>1537</v>
      </c>
      <c r="E2" s="53"/>
      <c r="F2" s="53"/>
      <c r="G2" s="53"/>
      <c r="H2" s="53"/>
      <c r="I2" s="53" t="s">
        <v>1382</v>
      </c>
      <c r="J2" s="53"/>
      <c r="K2" s="53"/>
      <c r="L2" s="53"/>
      <c r="M2" s="53"/>
    </row>
    <row r="3" spans="1:13" ht="35.5" customHeight="1" x14ac:dyDescent="0.2">
      <c r="A3" s="34" t="s">
        <v>1322</v>
      </c>
      <c r="B3" s="33" t="str">
        <f ca="1">INDIRECT("main!"&amp;"D"&amp;B$1+2)</f>
        <v>Association of Alzheimer's related genotypes with cognitive decline in multiple domains: results from the Three-City Dijon study</v>
      </c>
      <c r="C3" t="s">
        <v>428</v>
      </c>
      <c r="D3" s="53" t="s">
        <v>1395</v>
      </c>
      <c r="E3" s="53" t="s">
        <v>1366</v>
      </c>
      <c r="F3" s="53" t="s">
        <v>1367</v>
      </c>
      <c r="G3" s="53" t="s">
        <v>1368</v>
      </c>
      <c r="H3" s="54" t="s">
        <v>0</v>
      </c>
      <c r="I3" t="s">
        <v>1369</v>
      </c>
      <c r="J3" t="s">
        <v>1370</v>
      </c>
      <c r="K3" s="53" t="s">
        <v>1371</v>
      </c>
      <c r="L3" s="54" t="s">
        <v>1372</v>
      </c>
      <c r="M3" s="54" t="s">
        <v>1373</v>
      </c>
    </row>
    <row r="4" spans="1:13" x14ac:dyDescent="0.2">
      <c r="A4" s="34" t="s">
        <v>1324</v>
      </c>
      <c r="B4" s="33" t="str">
        <f ca="1">INDIRECT("main!"&amp;"J"&amp;B$1+2)</f>
        <v>10.1038/mp.2015.62</v>
      </c>
      <c r="D4" t="s">
        <v>2216</v>
      </c>
      <c r="E4" s="55">
        <v>0</v>
      </c>
      <c r="F4" s="55"/>
      <c r="G4" s="55"/>
      <c r="H4" s="55">
        <v>3625</v>
      </c>
      <c r="I4">
        <f>H4*F4</f>
        <v>0</v>
      </c>
      <c r="J4">
        <f>(H4*(H4-1)*G4^2+I4^2)/H4</f>
        <v>0</v>
      </c>
      <c r="K4" s="53">
        <f>E4*I4</f>
        <v>0</v>
      </c>
      <c r="L4" s="53">
        <f>E4*H4</f>
        <v>0</v>
      </c>
      <c r="M4" s="53">
        <f>E4^2*H4</f>
        <v>0</v>
      </c>
    </row>
    <row r="5" spans="1:13" ht="33.5" customHeight="1" x14ac:dyDescent="0.2">
      <c r="A5" s="34" t="s">
        <v>1327</v>
      </c>
      <c r="B5" s="33" t="str">
        <f ca="1">INDIRECT("main!"&amp;"M"&amp;B$1+2)</f>
        <v>Age 65+</v>
      </c>
      <c r="D5" t="s">
        <v>2217</v>
      </c>
      <c r="E5" s="55">
        <v>1</v>
      </c>
      <c r="F5" s="55"/>
      <c r="G5" s="55"/>
      <c r="H5" s="55">
        <v>977</v>
      </c>
      <c r="I5">
        <f t="shared" ref="I5" si="0">H5*F5</f>
        <v>0</v>
      </c>
      <c r="J5">
        <f t="shared" ref="J5" si="1">(H5*(H5-1)*G5^2+I5^2)/H5</f>
        <v>0</v>
      </c>
      <c r="K5" s="53">
        <f t="shared" ref="K5" si="2">E5*I5</f>
        <v>0</v>
      </c>
      <c r="L5" s="53">
        <f t="shared" ref="L5" si="3">E5*H5</f>
        <v>977</v>
      </c>
      <c r="M5" s="53">
        <f t="shared" ref="M5" si="4">E5^2*H5</f>
        <v>977</v>
      </c>
    </row>
    <row r="6" spans="1:13" x14ac:dyDescent="0.2">
      <c r="A6" s="34" t="s">
        <v>1333</v>
      </c>
      <c r="B6" s="33" t="str">
        <f ca="1">INDIRECT("main!"&amp;"L"&amp;B$1+2)</f>
        <v>N = 4931</v>
      </c>
      <c r="D6" s="54"/>
      <c r="E6" s="55"/>
      <c r="F6" s="55"/>
      <c r="G6" s="55"/>
      <c r="H6" s="55"/>
      <c r="K6" s="53"/>
      <c r="L6" s="53"/>
      <c r="M6" s="53"/>
    </row>
    <row r="7" spans="1:13" x14ac:dyDescent="0.2">
      <c r="A7" s="34" t="s">
        <v>1903</v>
      </c>
      <c r="B7" s="33">
        <v>1</v>
      </c>
      <c r="D7" s="54"/>
      <c r="E7" s="55"/>
      <c r="F7" s="55"/>
      <c r="G7" s="55"/>
      <c r="H7" s="55"/>
      <c r="K7" s="53"/>
      <c r="L7" s="53"/>
      <c r="M7" s="53"/>
    </row>
    <row r="8" spans="1:13" ht="30" x14ac:dyDescent="0.2">
      <c r="A8" s="34" t="s">
        <v>343</v>
      </c>
      <c r="B8" s="33" t="str">
        <f ca="1">INDIRECT("main!"&amp;"q"&amp;B$1+2)</f>
        <v>10 related to AD: APOE, CR1, CLU, BIN1, PICALM, ABCA7, MS4A6A, CD33, MS4A4E, CD2AP</v>
      </c>
      <c r="D8" s="54" t="s">
        <v>1404</v>
      </c>
      <c r="E8" s="55" t="s">
        <v>1374</v>
      </c>
      <c r="F8" s="55"/>
      <c r="G8" s="55"/>
      <c r="H8" s="55">
        <f>SUM(H4:H6)</f>
        <v>4602</v>
      </c>
      <c r="I8" s="55">
        <f>SUM(I4:I6)</f>
        <v>0</v>
      </c>
      <c r="J8" s="55">
        <f t="shared" ref="J8:M8" si="5">SUM(J4:J6)</f>
        <v>0</v>
      </c>
      <c r="K8" s="55">
        <f t="shared" si="5"/>
        <v>0</v>
      </c>
      <c r="L8" s="55">
        <f t="shared" si="5"/>
        <v>977</v>
      </c>
      <c r="M8" s="55">
        <f t="shared" si="5"/>
        <v>977</v>
      </c>
    </row>
    <row r="9" spans="1:13" ht="51" customHeight="1" x14ac:dyDescent="0.2">
      <c r="A9" s="34" t="s">
        <v>1329</v>
      </c>
      <c r="B9" s="33" t="str">
        <f ca="1">INDIRECT("main!"&amp;"r"&amp;B$1+2)</f>
        <v xml:space="preserve">APOE,  CR1 (rs3818361), CLU (rs11136000), BIN1 (rs744373), PICALM (rs541458), ABCA7 (rs3764650), MS4A4E(rs670139), CD33 (rs3865444),  MS4A6A (rs610932), CD2AP (rs9296559) </v>
      </c>
      <c r="D9" s="53"/>
      <c r="E9" s="55"/>
      <c r="F9" s="55"/>
      <c r="G9" s="55"/>
      <c r="H9" s="55"/>
      <c r="I9" s="55"/>
      <c r="J9" s="55"/>
      <c r="K9" s="53"/>
      <c r="L9" s="53"/>
      <c r="M9" s="53"/>
    </row>
    <row r="10" spans="1:13" ht="73.25" customHeight="1" x14ac:dyDescent="0.2">
      <c r="A10" s="34" t="s">
        <v>1323</v>
      </c>
      <c r="B10" s="33" t="str">
        <f ca="1">INDIRECT("main!"&amp;"O"&amp;B$1+2)</f>
        <v>Level and change in 5 neuropsychological tests; global cognition (Mini Mental State Examination), verbal fluency (Isaac's Set Test), visual memory (Benton Visual Retention Test), information processing (Trail Making Test B), literacy (National Adult Reading Test); up to 5 measures over 10 years</v>
      </c>
      <c r="D10" s="53"/>
      <c r="E10" s="55"/>
      <c r="F10" s="55"/>
      <c r="G10" s="55"/>
      <c r="H10" s="55"/>
      <c r="I10" s="55"/>
      <c r="J10" s="55"/>
      <c r="K10" s="53"/>
      <c r="L10" s="53"/>
      <c r="M10" s="53"/>
    </row>
    <row r="11" spans="1:13" ht="87" customHeight="1" x14ac:dyDescent="0.2">
      <c r="A11" s="34" t="s">
        <v>1396</v>
      </c>
      <c r="B11" s="33" t="str">
        <f ca="1">INDIRECT("main!"&amp;"W"&amp;B$1+2)</f>
        <v>Nonlinear mixed models in 2 parts: a) standard linear mixed model with latent cognitive process as dependent variable; b) model linking latent cognitive process and neuropsychological test ; measures are estimated simultaneously by maximum likelihood; estimated effects computed are standardized betas</v>
      </c>
      <c r="D11" s="53"/>
      <c r="E11" s="55"/>
      <c r="F11" s="55"/>
      <c r="G11" s="55"/>
      <c r="H11" s="55"/>
      <c r="I11" s="55"/>
      <c r="J11" s="55"/>
      <c r="K11" s="53"/>
      <c r="L11" s="53"/>
      <c r="M11" s="53"/>
    </row>
    <row r="12" spans="1:13" ht="32.75" customHeight="1" x14ac:dyDescent="0.2">
      <c r="A12" s="34" t="s">
        <v>1896</v>
      </c>
      <c r="B12" s="62" t="s">
        <v>2377</v>
      </c>
      <c r="D12" s="53"/>
      <c r="E12" s="53"/>
      <c r="F12" s="55"/>
      <c r="G12" s="53"/>
      <c r="H12" s="53"/>
      <c r="I12" s="53"/>
      <c r="J12" s="53"/>
      <c r="K12" s="53"/>
      <c r="L12" s="53"/>
      <c r="M12" s="53"/>
    </row>
    <row r="13" spans="1:13" ht="106.75" customHeight="1" x14ac:dyDescent="0.2">
      <c r="A13" s="34" t="s">
        <v>1326</v>
      </c>
      <c r="B13" s="33" t="s">
        <v>1452</v>
      </c>
      <c r="D13" s="53"/>
      <c r="E13" s="56"/>
      <c r="F13" s="53"/>
      <c r="G13" s="53"/>
      <c r="H13" s="53"/>
      <c r="I13" s="53"/>
      <c r="J13" s="53"/>
      <c r="K13" s="53"/>
      <c r="L13" s="53"/>
      <c r="M13" s="53"/>
    </row>
    <row r="14" spans="1:13" x14ac:dyDescent="0.2">
      <c r="A14" s="34" t="s">
        <v>1852</v>
      </c>
      <c r="B14" s="33" t="str">
        <f>D4&amp;" (N = "&amp;H4&amp;"); "&amp;D5&amp;" (N = "&amp;H5&amp;") "</f>
        <v xml:space="preserve">ε4 + (N = 3625); ε4 - (N = 977) </v>
      </c>
      <c r="E14" s="53"/>
      <c r="F14" s="53"/>
      <c r="G14" s="53"/>
      <c r="H14" s="53"/>
      <c r="I14" s="53"/>
      <c r="J14" s="53"/>
      <c r="K14" s="53"/>
      <c r="L14" s="53"/>
      <c r="M14" s="53"/>
    </row>
    <row r="15" spans="1:13" x14ac:dyDescent="0.2">
      <c r="A15" s="34" t="s">
        <v>1848</v>
      </c>
      <c r="B15" s="62">
        <v>0.22</v>
      </c>
      <c r="D15" s="58"/>
      <c r="E15" s="58"/>
      <c r="F15" s="58"/>
    </row>
    <row r="16" spans="1:13" x14ac:dyDescent="0.2">
      <c r="A16" s="34" t="s">
        <v>1897</v>
      </c>
      <c r="B16" s="62" t="s">
        <v>2078</v>
      </c>
      <c r="D16" s="58"/>
      <c r="E16" s="58"/>
      <c r="F16" s="58"/>
    </row>
    <row r="17" spans="1:5" ht="16" x14ac:dyDescent="0.2">
      <c r="A17" s="204" t="s">
        <v>2189</v>
      </c>
      <c r="B17" s="33">
        <v>4.1000000000000002E-2</v>
      </c>
    </row>
    <row r="18" spans="1:5" x14ac:dyDescent="0.2">
      <c r="A18" s="64" t="s">
        <v>1401</v>
      </c>
      <c r="B18" s="33">
        <v>0.999</v>
      </c>
    </row>
    <row r="19" spans="1:5" x14ac:dyDescent="0.2">
      <c r="A19" s="64" t="s">
        <v>1346</v>
      </c>
      <c r="B19" s="33" t="s">
        <v>1459</v>
      </c>
    </row>
    <row r="20" spans="1:5" x14ac:dyDescent="0.2">
      <c r="A20" s="64" t="s">
        <v>1388</v>
      </c>
      <c r="B20" s="33" t="s">
        <v>2309</v>
      </c>
    </row>
    <row r="21" spans="1:5" x14ac:dyDescent="0.2">
      <c r="A21" s="64" t="s">
        <v>1390</v>
      </c>
      <c r="D21" s="236" t="s">
        <v>2415</v>
      </c>
      <c r="E21" s="236" t="s">
        <v>2416</v>
      </c>
    </row>
    <row r="22" spans="1:5" ht="45" x14ac:dyDescent="0.2">
      <c r="A22" s="34" t="s">
        <v>1387</v>
      </c>
      <c r="B22" s="33" t="s">
        <v>1457</v>
      </c>
      <c r="D22" s="236">
        <v>4931</v>
      </c>
      <c r="E22" s="236">
        <v>0</v>
      </c>
    </row>
    <row r="23" spans="1:5" x14ac:dyDescent="0.2">
      <c r="B23" s="57"/>
    </row>
    <row r="24" spans="1:5" s="140" customFormat="1" x14ac:dyDescent="0.2">
      <c r="A24" s="138" t="s">
        <v>1746</v>
      </c>
      <c r="B24" s="139"/>
    </row>
    <row r="25" spans="1:5" s="136" customFormat="1" ht="30" x14ac:dyDescent="0.2">
      <c r="A25" s="137" t="s">
        <v>1753</v>
      </c>
      <c r="B25" s="137" t="s">
        <v>2259</v>
      </c>
    </row>
    <row r="26" spans="1:5" s="136" customFormat="1" x14ac:dyDescent="0.2">
      <c r="A26" s="137" t="s">
        <v>1681</v>
      </c>
      <c r="B26" s="137">
        <f ca="1">INDIRECT("N_SNPs!"&amp;"L"&amp;B$1+2)</f>
        <v>0</v>
      </c>
    </row>
    <row r="27" spans="1:5" s="136" customFormat="1" x14ac:dyDescent="0.2">
      <c r="A27" s="137" t="s">
        <v>1747</v>
      </c>
      <c r="B27" s="137">
        <f ca="1">INDIRECT("N_SNPs!"&amp;"M"&amp;B$1+2)</f>
        <v>1</v>
      </c>
    </row>
    <row r="28" spans="1:5" s="136" customFormat="1" x14ac:dyDescent="0.2">
      <c r="A28" s="137" t="s">
        <v>1683</v>
      </c>
      <c r="B28" s="137" t="str">
        <f ca="1">INDIRECT("N_SNPs!"&amp;"N"&amp;B$1+2)</f>
        <v>not needed</v>
      </c>
    </row>
    <row r="29" spans="1:5" s="136" customFormat="1" x14ac:dyDescent="0.2">
      <c r="A29" s="137" t="s">
        <v>2171</v>
      </c>
      <c r="B29" s="137">
        <f ca="1">INDIRECT("N_SNPs!"&amp;"O"&amp;B$1+2)</f>
        <v>9</v>
      </c>
    </row>
    <row r="30" spans="1:5" s="136" customFormat="1" ht="30" x14ac:dyDescent="0.2">
      <c r="A30" s="137" t="s">
        <v>2170</v>
      </c>
      <c r="B30" s="137">
        <v>2</v>
      </c>
    </row>
    <row r="31" spans="1:5" s="136" customFormat="1" ht="60" x14ac:dyDescent="0.2">
      <c r="A31" s="137" t="s">
        <v>2172</v>
      </c>
      <c r="B31" s="137">
        <f ca="1">INDIRECT("N_SNPs!"&amp;"Q"&amp;B$1+2)</f>
        <v>0</v>
      </c>
    </row>
    <row r="32" spans="1:5" s="136" customFormat="1" ht="30" x14ac:dyDescent="0.2">
      <c r="A32" s="137" t="s">
        <v>1686</v>
      </c>
      <c r="B32" s="137" t="str">
        <f ca="1">INDIRECT("N_SNPs!"&amp;"R"&amp;B$1+2)</f>
        <v>SNPs chosen from previous literature; argues no correctcion needed bcs strong prior prediction</v>
      </c>
    </row>
    <row r="33" spans="1:3" s="172" customFormat="1" x14ac:dyDescent="0.2">
      <c r="A33" s="171" t="s">
        <v>1808</v>
      </c>
      <c r="B33" s="171">
        <v>10</v>
      </c>
    </row>
    <row r="34" spans="1:3" s="172" customFormat="1" x14ac:dyDescent="0.2">
      <c r="A34" s="203" t="s">
        <v>2177</v>
      </c>
      <c r="B34" s="171">
        <v>1</v>
      </c>
    </row>
    <row r="35" spans="1:3" s="172" customFormat="1" ht="60" x14ac:dyDescent="0.2">
      <c r="A35" s="171" t="s">
        <v>1810</v>
      </c>
      <c r="B35" s="171">
        <v>0</v>
      </c>
    </row>
    <row r="36" spans="1:3" s="174" customFormat="1" x14ac:dyDescent="0.2">
      <c r="A36" s="173" t="s">
        <v>1835</v>
      </c>
      <c r="B36" s="173" t="s">
        <v>1752</v>
      </c>
      <c r="C36" s="174" t="s">
        <v>2421</v>
      </c>
    </row>
    <row r="37" spans="1:3" s="174" customFormat="1" x14ac:dyDescent="0.2">
      <c r="A37" s="173" t="s">
        <v>2272</v>
      </c>
      <c r="B37" s="173" t="s">
        <v>1752</v>
      </c>
    </row>
    <row r="38" spans="1:3" s="174" customFormat="1" ht="30" x14ac:dyDescent="0.2">
      <c r="A38" s="173" t="s">
        <v>2299</v>
      </c>
      <c r="B38" s="173" t="s">
        <v>1752</v>
      </c>
    </row>
    <row r="39" spans="1:3" s="174" customFormat="1" x14ac:dyDescent="0.2">
      <c r="A39" s="173" t="s">
        <v>2273</v>
      </c>
      <c r="B39" s="173">
        <v>0</v>
      </c>
    </row>
    <row r="40" spans="1:3" s="174" customFormat="1" ht="30" x14ac:dyDescent="0.2">
      <c r="A40" s="173" t="s">
        <v>2274</v>
      </c>
      <c r="B40" s="173" t="s">
        <v>1752</v>
      </c>
    </row>
    <row r="41" spans="1:3" s="176" customFormat="1" ht="44" customHeight="1" x14ac:dyDescent="0.2">
      <c r="A41" s="175" t="s">
        <v>1815</v>
      </c>
      <c r="B41" s="182" t="s">
        <v>1885</v>
      </c>
    </row>
    <row r="42" spans="1:3" s="176" customFormat="1" ht="44" customHeight="1" x14ac:dyDescent="0.2">
      <c r="A42" s="175" t="s">
        <v>1881</v>
      </c>
      <c r="B42" s="189" t="s">
        <v>1886</v>
      </c>
    </row>
    <row r="43" spans="1:3" x14ac:dyDescent="0.2">
      <c r="A43" s="34" t="s">
        <v>1398</v>
      </c>
    </row>
    <row r="44" spans="1:3" x14ac:dyDescent="0.2">
      <c r="A44" s="34" t="s">
        <v>1410</v>
      </c>
    </row>
    <row r="45" spans="1:3" x14ac:dyDescent="0.2">
      <c r="A45" s="34" t="s">
        <v>2374</v>
      </c>
      <c r="B45" s="33" t="s">
        <v>1752</v>
      </c>
    </row>
    <row r="46" spans="1:3" x14ac:dyDescent="0.2">
      <c r="A46" s="34" t="s">
        <v>1416</v>
      </c>
      <c r="B46" s="66" t="s">
        <v>1780</v>
      </c>
    </row>
  </sheetData>
  <hyperlinks>
    <hyperlink ref="B22" r:id="rId1" location="bib2" display="http://www.nature.com/mp/journal/v20/n10/full/mp201562a.html - bib2"/>
  </hyperlinks>
  <pageMargins left="0.7" right="0.7" top="0.75" bottom="0.75" header="0.3" footer="0.3"/>
  <pageSetup paperSize="9" orientation="portrait" r:id="rId2"/>
  <drawing r:id="rId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M46"/>
  <sheetViews>
    <sheetView zoomScale="90" zoomScaleNormal="90" zoomScalePageLayoutView="90" workbookViewId="0">
      <pane xSplit="1" ySplit="1" topLeftCell="B29"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4" max="4" width="17.6640625" customWidth="1"/>
    <col min="5" max="5" width="9.83203125" customWidth="1"/>
    <col min="6" max="6" width="7.5" customWidth="1"/>
    <col min="7" max="7" width="8.5" customWidth="1"/>
    <col min="8" max="8" width="9.5" bestFit="1" customWidth="1"/>
  </cols>
  <sheetData>
    <row r="1" spans="1:13" s="58" customFormat="1" x14ac:dyDescent="0.2">
      <c r="A1" s="63" t="s">
        <v>1360</v>
      </c>
      <c r="B1" s="57">
        <v>7</v>
      </c>
      <c r="D1" s="52" t="s">
        <v>1851</v>
      </c>
      <c r="E1" s="52"/>
      <c r="F1" s="52"/>
      <c r="G1" s="52"/>
      <c r="H1" s="52"/>
      <c r="I1" s="52"/>
      <c r="J1" s="52"/>
      <c r="K1" s="52"/>
      <c r="L1" s="52"/>
      <c r="M1" s="52"/>
    </row>
    <row r="2" spans="1:13" ht="99" customHeight="1" x14ac:dyDescent="0.2">
      <c r="A2" s="34" t="s">
        <v>1321</v>
      </c>
      <c r="B2" s="33" t="str">
        <f ca="1">INDIRECT("main!"&amp;"C"&amp;B$1+2)</f>
        <v>Meloto, Carolina B.; Segall, Samantha K.; Smith, Shad; Parisien, Marc; Shabalina, Svetlana A.; Rizzatti-Barbosa, Celia M.; Gauthier, Josee; Tsao, Douglas; Convertino, Marino; Piltonen, Marjo H.; Slade, Gary Dmitri; Fillingim, Roger B.; Greenspan, Joel D.; Ohrbach, Richard; Knott, Charles; Maixner, William; Zaykin, Dmitri; Dokholyan, Nikolay V.; Reenilae, Ilkka; Mannistoe, Pekka T.; Diatchenko, Luda</v>
      </c>
      <c r="E2" s="53"/>
      <c r="F2" s="53"/>
      <c r="G2" s="53"/>
      <c r="H2" s="53"/>
      <c r="I2" s="53" t="s">
        <v>1382</v>
      </c>
      <c r="J2" s="53"/>
      <c r="K2" s="53"/>
      <c r="L2" s="53"/>
      <c r="M2" s="53"/>
    </row>
    <row r="3" spans="1:13" x14ac:dyDescent="0.2">
      <c r="A3" s="34" t="s">
        <v>1322</v>
      </c>
      <c r="B3" s="33" t="str">
        <f ca="1">INDIRECT("main!"&amp;"D"&amp;B$1+2)</f>
        <v>COMT gene locus: new functional variants</v>
      </c>
      <c r="C3" t="s">
        <v>629</v>
      </c>
      <c r="D3" s="53" t="s">
        <v>1395</v>
      </c>
      <c r="E3" s="53" t="s">
        <v>1366</v>
      </c>
      <c r="F3" s="53" t="s">
        <v>1367</v>
      </c>
      <c r="G3" s="53" t="s">
        <v>1368</v>
      </c>
      <c r="H3" s="54" t="s">
        <v>0</v>
      </c>
      <c r="I3" t="s">
        <v>1369</v>
      </c>
      <c r="J3" t="s">
        <v>1370</v>
      </c>
      <c r="K3" s="53" t="s">
        <v>1371</v>
      </c>
      <c r="L3" s="54" t="s">
        <v>1372</v>
      </c>
      <c r="M3" s="54" t="s">
        <v>1373</v>
      </c>
    </row>
    <row r="4" spans="1:13" x14ac:dyDescent="0.2">
      <c r="A4" s="34" t="s">
        <v>1324</v>
      </c>
      <c r="B4" s="33" t="str">
        <f ca="1">INDIRECT("main!"&amp;"J"&amp;B$1+2)</f>
        <v>10.1097/j.pain.0000000000000273</v>
      </c>
      <c r="C4" t="s">
        <v>2072</v>
      </c>
      <c r="D4" s="54" t="s">
        <v>1305</v>
      </c>
      <c r="E4" s="55">
        <v>0</v>
      </c>
      <c r="F4" s="55">
        <v>-1.5189999999999999</v>
      </c>
      <c r="G4" s="55"/>
      <c r="H4" s="55">
        <f>INT(0.315^2*290)</f>
        <v>28</v>
      </c>
      <c r="I4">
        <f>H4*F4</f>
        <v>-42.531999999999996</v>
      </c>
      <c r="J4">
        <f>(H4*(H4-1)*G4^2+I4^2)/H4</f>
        <v>64.606107999999992</v>
      </c>
      <c r="K4" s="53">
        <f>E4*I4</f>
        <v>0</v>
      </c>
      <c r="L4" s="53">
        <f>E4*H4</f>
        <v>0</v>
      </c>
      <c r="M4" s="53">
        <f>E4^2*H4</f>
        <v>0</v>
      </c>
    </row>
    <row r="5" spans="1:13" ht="33.5" customHeight="1" x14ac:dyDescent="0.2">
      <c r="A5" s="34" t="s">
        <v>1327</v>
      </c>
      <c r="B5" s="33" t="str">
        <f ca="1">INDIRECT("main!"&amp;"M"&amp;B$1+2)</f>
        <v>Caucasian females 18-55; D and R both case-control series of patients with chronic facial pain</v>
      </c>
      <c r="D5" s="54" t="s">
        <v>1437</v>
      </c>
      <c r="E5" s="55">
        <v>1</v>
      </c>
      <c r="F5" s="55"/>
      <c r="G5" s="55"/>
      <c r="H5" s="55">
        <f>290-H4-H6</f>
        <v>126</v>
      </c>
      <c r="I5">
        <f t="shared" ref="I5:I7" si="0">H5*F5</f>
        <v>0</v>
      </c>
      <c r="J5">
        <f t="shared" ref="J5:J7" si="1">(H5*(H5-1)*G5^2+I5^2)/H5</f>
        <v>0</v>
      </c>
      <c r="K5" s="53">
        <f t="shared" ref="K5:K7" si="2">E5*I5</f>
        <v>0</v>
      </c>
      <c r="L5" s="53">
        <f t="shared" ref="L5:L7" si="3">E5*H5</f>
        <v>126</v>
      </c>
      <c r="M5" s="53">
        <f t="shared" ref="M5:M7" si="4">E5^2*H5</f>
        <v>126</v>
      </c>
    </row>
    <row r="6" spans="1:13" x14ac:dyDescent="0.2">
      <c r="A6" s="34" t="s">
        <v>1333</v>
      </c>
      <c r="B6" s="33" t="str">
        <f ca="1">INDIRECT("main!"&amp;"L"&amp;B$1+2)</f>
        <v>Discovery: controls=198 patients=200; Replication: controls=859; patients=106</v>
      </c>
      <c r="D6" s="54" t="s">
        <v>1308</v>
      </c>
      <c r="E6" s="55">
        <v>2</v>
      </c>
      <c r="F6" s="55"/>
      <c r="G6" s="55"/>
      <c r="H6" s="55">
        <f>INT((1-0.315)^2*290)</f>
        <v>136</v>
      </c>
      <c r="I6">
        <f t="shared" si="0"/>
        <v>0</v>
      </c>
      <c r="J6">
        <f t="shared" si="1"/>
        <v>0</v>
      </c>
      <c r="K6" s="53">
        <f t="shared" si="2"/>
        <v>0</v>
      </c>
      <c r="L6" s="53">
        <f t="shared" si="3"/>
        <v>272</v>
      </c>
      <c r="M6" s="53">
        <f t="shared" si="4"/>
        <v>544</v>
      </c>
    </row>
    <row r="7" spans="1:13" x14ac:dyDescent="0.2">
      <c r="A7" s="34" t="s">
        <v>1903</v>
      </c>
      <c r="B7" s="33">
        <v>1</v>
      </c>
      <c r="D7" s="52" t="s">
        <v>1908</v>
      </c>
      <c r="E7" s="188">
        <v>1</v>
      </c>
      <c r="F7" s="188">
        <v>0.27900000000000003</v>
      </c>
      <c r="G7" s="188"/>
      <c r="H7" s="188">
        <f>H5+H6</f>
        <v>262</v>
      </c>
      <c r="I7" s="58">
        <f t="shared" si="0"/>
        <v>73.098000000000013</v>
      </c>
      <c r="J7" s="58">
        <f t="shared" si="1"/>
        <v>20.394342000000005</v>
      </c>
      <c r="K7" s="52">
        <f t="shared" si="2"/>
        <v>73.098000000000013</v>
      </c>
      <c r="L7" s="52">
        <f t="shared" si="3"/>
        <v>262</v>
      </c>
      <c r="M7" s="52">
        <f t="shared" si="4"/>
        <v>262</v>
      </c>
    </row>
    <row r="8" spans="1:13" x14ac:dyDescent="0.2">
      <c r="A8" s="34" t="s">
        <v>343</v>
      </c>
      <c r="B8" s="33" t="s">
        <v>629</v>
      </c>
      <c r="D8" s="54" t="s">
        <v>1404</v>
      </c>
      <c r="E8" s="55" t="s">
        <v>1374</v>
      </c>
      <c r="F8" s="55"/>
      <c r="G8" s="55"/>
      <c r="H8" s="55">
        <f>SUM(H4:H6)</f>
        <v>290</v>
      </c>
      <c r="I8" s="55">
        <f>SUM(I4:I6)</f>
        <v>-42.531999999999996</v>
      </c>
      <c r="J8" s="55">
        <f t="shared" ref="J8:M8" si="5">SUM(J4:J6)</f>
        <v>64.606107999999992</v>
      </c>
      <c r="K8" s="55">
        <f t="shared" si="5"/>
        <v>0</v>
      </c>
      <c r="L8" s="55">
        <f t="shared" si="5"/>
        <v>398</v>
      </c>
      <c r="M8" s="55">
        <f t="shared" si="5"/>
        <v>670</v>
      </c>
    </row>
    <row r="9" spans="1:13" ht="33" customHeight="1" x14ac:dyDescent="0.2">
      <c r="A9" s="34" t="s">
        <v>1329</v>
      </c>
      <c r="B9" s="33" t="str">
        <f ca="1">INDIRECT("main!"&amp;"r"&amp;B$1+2)</f>
        <v>9 SNPs within COMT gene locus (rs2020917, rs737865, rs1544325, rs6269, rs4633, rs165774, rs174697, rs9332381, rs 165599)</v>
      </c>
      <c r="D9" s="52" t="s">
        <v>1909</v>
      </c>
      <c r="E9" s="188"/>
      <c r="F9" s="188"/>
      <c r="G9" s="188"/>
      <c r="H9" s="188">
        <f>H4+H7</f>
        <v>290</v>
      </c>
      <c r="I9" s="188">
        <f t="shared" ref="I9:M9" si="6">I4+I7</f>
        <v>30.566000000000017</v>
      </c>
      <c r="J9" s="188">
        <f t="shared" si="6"/>
        <v>85.000450000000001</v>
      </c>
      <c r="K9" s="188">
        <f t="shared" si="6"/>
        <v>73.098000000000013</v>
      </c>
      <c r="L9" s="188">
        <f t="shared" si="6"/>
        <v>262</v>
      </c>
      <c r="M9" s="188">
        <f t="shared" si="6"/>
        <v>262</v>
      </c>
    </row>
    <row r="10" spans="1:13" ht="73.25" customHeight="1" x14ac:dyDescent="0.2">
      <c r="A10" s="34" t="s">
        <v>1323</v>
      </c>
      <c r="B10" s="33" t="str">
        <f ca="1">INDIRECT("main!"&amp;"O"&amp;B$1+2)</f>
        <v>5 variables from Quantitative sensory testing (QST): pressure pain, heat pain, heat pain first pulse and heat pain sum (measures of heat pain sensitivity to a suprathreshold heat stimulus), and the temporal summation of heat pain (heat pain rate of rise). 5 additional pain measures in replication sample</v>
      </c>
      <c r="D10" s="53" t="s">
        <v>1406</v>
      </c>
      <c r="E10" s="55"/>
      <c r="F10" s="55"/>
      <c r="G10" s="55"/>
      <c r="H10" s="55" t="s">
        <v>1907</v>
      </c>
      <c r="I10" s="55" t="s">
        <v>2073</v>
      </c>
      <c r="J10" s="55"/>
      <c r="K10" s="53"/>
      <c r="L10" s="53"/>
      <c r="M10" s="53"/>
    </row>
    <row r="11" spans="1:13" ht="15.5" customHeight="1" x14ac:dyDescent="0.2">
      <c r="A11" s="34" t="s">
        <v>1396</v>
      </c>
      <c r="B11" s="33" t="str">
        <f ca="1">INDIRECT("main!"&amp;"W"&amp;B$1+2)</f>
        <v>Linear regression</v>
      </c>
      <c r="D11" s="53" t="s">
        <v>1376</v>
      </c>
      <c r="E11" s="55" t="s">
        <v>1377</v>
      </c>
      <c r="F11" s="55">
        <v>-1.712</v>
      </c>
      <c r="G11" s="55"/>
      <c r="H11" s="55">
        <f>($H9*$K9-$L9*$I9)/($H9*$M9-$L9^2)</f>
        <v>1.798</v>
      </c>
      <c r="I11" s="55"/>
      <c r="J11" s="55"/>
      <c r="K11" s="53"/>
      <c r="L11" s="53"/>
      <c r="M11" s="53"/>
    </row>
    <row r="12" spans="1:13" ht="32.75" customHeight="1" x14ac:dyDescent="0.2">
      <c r="A12" s="34" t="s">
        <v>1896</v>
      </c>
      <c r="B12" s="65" t="str">
        <f ca="1">INDIRECT("main!"&amp;"Y"&amp;B$1+2)</f>
        <v>Pressure pain associated with rs165774, p = .002</v>
      </c>
      <c r="D12" s="53"/>
      <c r="E12" s="53" t="s">
        <v>1378</v>
      </c>
      <c r="F12" s="55"/>
      <c r="G12" s="53"/>
      <c r="H12" s="55" t="s">
        <v>2074</v>
      </c>
      <c r="I12" s="53"/>
      <c r="J12" s="53"/>
      <c r="K12" s="53"/>
      <c r="L12" s="53"/>
      <c r="M12" s="53"/>
    </row>
    <row r="13" spans="1:13" ht="78" customHeight="1" x14ac:dyDescent="0.2">
      <c r="A13" s="34" t="s">
        <v>1326</v>
      </c>
      <c r="B13" s="33" t="s">
        <v>1446</v>
      </c>
      <c r="D13" s="53"/>
      <c r="E13" s="56" t="s">
        <v>1379</v>
      </c>
      <c r="F13" s="53"/>
      <c r="G13" s="53"/>
      <c r="H13" s="53"/>
      <c r="I13" s="53"/>
      <c r="J13" s="53"/>
      <c r="K13" s="53"/>
      <c r="L13" s="53"/>
      <c r="M13" s="53"/>
    </row>
    <row r="14" spans="1:13" x14ac:dyDescent="0.2">
      <c r="A14" s="34" t="s">
        <v>1852</v>
      </c>
      <c r="B14" s="33" t="str">
        <f>D4&amp;" (N = "&amp;H4&amp;"); "&amp;D5&amp;" (N = "&amp;H5&amp;"); "&amp;D6&amp;" (N = "&amp;H6&amp;")"</f>
        <v>AA (N = 28); AG (N = 126); GG (N = 136)</v>
      </c>
      <c r="E14" s="53"/>
      <c r="F14" s="53"/>
      <c r="G14" s="53"/>
      <c r="H14" s="53"/>
      <c r="I14" s="53"/>
      <c r="J14" s="53"/>
      <c r="K14" s="53"/>
      <c r="L14" s="53"/>
      <c r="M14" s="53"/>
    </row>
    <row r="15" spans="1:13" x14ac:dyDescent="0.2">
      <c r="A15" s="34" t="s">
        <v>1848</v>
      </c>
      <c r="B15" s="62">
        <f>ABS(F18)</f>
        <v>0.18093942975542232</v>
      </c>
      <c r="D15" s="58" t="s">
        <v>1438</v>
      </c>
      <c r="E15" s="58"/>
      <c r="F15" s="58"/>
    </row>
    <row r="16" spans="1:13" x14ac:dyDescent="0.2">
      <c r="A16" s="34" t="s">
        <v>1897</v>
      </c>
      <c r="B16" s="62" t="s">
        <v>2075</v>
      </c>
      <c r="D16" s="58"/>
      <c r="E16" s="58"/>
      <c r="F16" s="58"/>
    </row>
    <row r="17" spans="1:6" ht="16" x14ac:dyDescent="0.2">
      <c r="A17" s="204" t="s">
        <v>2189</v>
      </c>
      <c r="B17" s="33">
        <v>0.16300000000000001</v>
      </c>
      <c r="D17" t="s">
        <v>1439</v>
      </c>
      <c r="E17" t="s">
        <v>1440</v>
      </c>
      <c r="F17" t="s">
        <v>1378</v>
      </c>
    </row>
    <row r="18" spans="1:6" x14ac:dyDescent="0.2">
      <c r="A18" s="64" t="s">
        <v>1401</v>
      </c>
      <c r="B18" s="33">
        <v>0.39900000000000002</v>
      </c>
      <c r="D18">
        <v>2E-3</v>
      </c>
      <c r="E18">
        <v>3.133</v>
      </c>
      <c r="F18">
        <f>SQRT(E18^2/(E18^2+H8))</f>
        <v>0.18093942975542232</v>
      </c>
    </row>
    <row r="19" spans="1:6" x14ac:dyDescent="0.2">
      <c r="A19" s="64" t="s">
        <v>1346</v>
      </c>
      <c r="B19" s="33" t="s">
        <v>359</v>
      </c>
    </row>
    <row r="20" spans="1:6" ht="30" x14ac:dyDescent="0.2">
      <c r="A20" s="64" t="s">
        <v>1388</v>
      </c>
      <c r="B20" s="33" t="s">
        <v>2269</v>
      </c>
    </row>
    <row r="21" spans="1:6" x14ac:dyDescent="0.2">
      <c r="A21" s="64" t="s">
        <v>1390</v>
      </c>
      <c r="B21" s="33" t="s">
        <v>2077</v>
      </c>
      <c r="D21" s="236" t="s">
        <v>2415</v>
      </c>
      <c r="E21" s="236" t="s">
        <v>2416</v>
      </c>
    </row>
    <row r="22" spans="1:6" ht="135" x14ac:dyDescent="0.2">
      <c r="A22" s="34" t="s">
        <v>1387</v>
      </c>
      <c r="B22" s="67" t="s">
        <v>2076</v>
      </c>
      <c r="D22" s="236">
        <v>399</v>
      </c>
      <c r="E22" s="236">
        <v>1065</v>
      </c>
    </row>
    <row r="23" spans="1:6" x14ac:dyDescent="0.2">
      <c r="B23" s="67"/>
    </row>
    <row r="24" spans="1:6" s="140" customFormat="1" x14ac:dyDescent="0.2">
      <c r="A24" s="138" t="s">
        <v>1746</v>
      </c>
      <c r="B24" s="139"/>
    </row>
    <row r="25" spans="1:6" s="136" customFormat="1" ht="30" x14ac:dyDescent="0.2">
      <c r="A25" s="137" t="s">
        <v>1753</v>
      </c>
      <c r="B25" s="137" t="s">
        <v>885</v>
      </c>
    </row>
    <row r="26" spans="1:6" s="136" customFormat="1" x14ac:dyDescent="0.2">
      <c r="A26" s="137" t="s">
        <v>1681</v>
      </c>
      <c r="B26" s="137">
        <f ca="1">INDIRECT("N_SNPs!"&amp;"L"&amp;B$1+2)</f>
        <v>1</v>
      </c>
    </row>
    <row r="27" spans="1:6" s="136" customFormat="1" x14ac:dyDescent="0.2">
      <c r="A27" s="137" t="s">
        <v>1747</v>
      </c>
      <c r="B27" s="137">
        <f ca="1">INDIRECT("N_SNPs!"&amp;"M"&amp;B$1+2)</f>
        <v>1</v>
      </c>
    </row>
    <row r="28" spans="1:6" s="136" customFormat="1" x14ac:dyDescent="0.2">
      <c r="A28" s="137" t="s">
        <v>1683</v>
      </c>
      <c r="B28" s="137" t="str">
        <f ca="1">INDIRECT("N_SNPs!"&amp;"N"&amp;B$1+2)</f>
        <v>not needed</v>
      </c>
    </row>
    <row r="29" spans="1:6" s="136" customFormat="1" x14ac:dyDescent="0.2">
      <c r="A29" s="137" t="s">
        <v>2171</v>
      </c>
      <c r="B29" s="137">
        <f ca="1">INDIRECT("N_SNPs!"&amp;"O"&amp;B$1+2)</f>
        <v>9</v>
      </c>
    </row>
    <row r="30" spans="1:6" s="136" customFormat="1" ht="30" x14ac:dyDescent="0.2">
      <c r="A30" s="137" t="s">
        <v>2170</v>
      </c>
      <c r="B30" s="137">
        <f ca="1">INDIRECT("N_SNPs!"&amp;"P"&amp;B$1+2)</f>
        <v>1</v>
      </c>
    </row>
    <row r="31" spans="1:6" s="136" customFormat="1" ht="60" x14ac:dyDescent="0.2">
      <c r="A31" s="137" t="s">
        <v>2172</v>
      </c>
      <c r="B31" s="137">
        <f ca="1">INDIRECT("N_SNPs!"&amp;"Q"&amp;B$1+2)</f>
        <v>2</v>
      </c>
    </row>
    <row r="32" spans="1:6" s="136" customFormat="1" x14ac:dyDescent="0.2">
      <c r="A32" s="137" t="s">
        <v>1686</v>
      </c>
      <c r="B32" s="137" t="str">
        <f ca="1">INDIRECT("N_SNPs!"&amp;"R"&amp;B$1+2)</f>
        <v>spectral decomposition with sidak correction</v>
      </c>
    </row>
    <row r="33" spans="1:3" s="172" customFormat="1" x14ac:dyDescent="0.2">
      <c r="A33" s="171" t="s">
        <v>1808</v>
      </c>
      <c r="B33" s="171">
        <v>5</v>
      </c>
    </row>
    <row r="34" spans="1:3" s="172" customFormat="1" x14ac:dyDescent="0.2">
      <c r="A34" s="203" t="s">
        <v>2177</v>
      </c>
      <c r="B34" s="171">
        <v>1</v>
      </c>
    </row>
    <row r="35" spans="1:3" s="172" customFormat="1" ht="60" x14ac:dyDescent="0.2">
      <c r="A35" s="171" t="s">
        <v>1810</v>
      </c>
      <c r="B35" s="171">
        <v>0</v>
      </c>
    </row>
    <row r="36" spans="1:3" s="174" customFormat="1" x14ac:dyDescent="0.2">
      <c r="A36" s="173" t="s">
        <v>1835</v>
      </c>
      <c r="B36" s="173" t="s">
        <v>1752</v>
      </c>
      <c r="C36" s="174" t="s">
        <v>2421</v>
      </c>
    </row>
    <row r="37" spans="1:3" s="174" customFormat="1" x14ac:dyDescent="0.2">
      <c r="A37" s="173" t="s">
        <v>2272</v>
      </c>
      <c r="B37" s="173" t="s">
        <v>1752</v>
      </c>
    </row>
    <row r="38" spans="1:3" s="174" customFormat="1" ht="30" x14ac:dyDescent="0.2">
      <c r="A38" s="173" t="s">
        <v>2299</v>
      </c>
      <c r="B38" s="173" t="s">
        <v>1752</v>
      </c>
    </row>
    <row r="39" spans="1:3" s="174" customFormat="1" x14ac:dyDescent="0.2">
      <c r="A39" s="173" t="s">
        <v>2273</v>
      </c>
      <c r="B39" s="173">
        <v>0</v>
      </c>
    </row>
    <row r="40" spans="1:3" s="174" customFormat="1" ht="30" x14ac:dyDescent="0.2">
      <c r="A40" s="173" t="s">
        <v>2274</v>
      </c>
      <c r="B40" s="173" t="s">
        <v>1752</v>
      </c>
    </row>
    <row r="41" spans="1:3" s="176" customFormat="1" ht="45" x14ac:dyDescent="0.2">
      <c r="A41" s="175" t="s">
        <v>1815</v>
      </c>
      <c r="B41" s="185" t="s">
        <v>2185</v>
      </c>
    </row>
    <row r="42" spans="1:3" s="176" customFormat="1" x14ac:dyDescent="0.2">
      <c r="A42" s="175" t="s">
        <v>1881</v>
      </c>
      <c r="B42" s="175" t="s">
        <v>494</v>
      </c>
    </row>
    <row r="43" spans="1:3" x14ac:dyDescent="0.2">
      <c r="A43" s="34" t="s">
        <v>1398</v>
      </c>
    </row>
    <row r="44" spans="1:3" x14ac:dyDescent="0.2">
      <c r="A44" s="34" t="s">
        <v>1410</v>
      </c>
    </row>
    <row r="45" spans="1:3" x14ac:dyDescent="0.2">
      <c r="A45" s="34" t="s">
        <v>2374</v>
      </c>
      <c r="B45" s="33" t="s">
        <v>1752</v>
      </c>
    </row>
    <row r="46" spans="1:3" x14ac:dyDescent="0.2">
      <c r="A46" s="34" t="s">
        <v>1416</v>
      </c>
      <c r="B46" s="66" t="s">
        <v>1779</v>
      </c>
    </row>
  </sheetData>
  <pageMargins left="0.7" right="0.7" top="0.75" bottom="0.75" header="0.3" footer="0.3"/>
  <pageSetup paperSize="9" orientation="portrait"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O54"/>
  <sheetViews>
    <sheetView zoomScale="80" zoomScaleNormal="80" zoomScalePageLayoutView="80" workbookViewId="0">
      <pane xSplit="1" ySplit="1" topLeftCell="B24"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4" max="4" width="17.6640625" customWidth="1"/>
    <col min="5" max="5" width="12" bestFit="1" customWidth="1"/>
    <col min="7" max="7" width="11.5" bestFit="1" customWidth="1"/>
  </cols>
  <sheetData>
    <row r="1" spans="1:15" s="58" customFormat="1" x14ac:dyDescent="0.2">
      <c r="A1" s="63" t="s">
        <v>1360</v>
      </c>
      <c r="B1" s="57">
        <v>6</v>
      </c>
      <c r="D1" s="52" t="s">
        <v>1851</v>
      </c>
      <c r="E1" s="52"/>
      <c r="F1" s="52"/>
      <c r="G1" s="52"/>
      <c r="H1" s="52"/>
      <c r="I1" s="52"/>
      <c r="J1" s="52"/>
      <c r="K1" s="52"/>
      <c r="L1" s="52"/>
      <c r="M1" s="52"/>
    </row>
    <row r="2" spans="1:15" ht="105" x14ac:dyDescent="0.2">
      <c r="A2" s="34" t="s">
        <v>1321</v>
      </c>
      <c r="B2" s="33" t="str">
        <f ca="1">INDIRECT("main!"&amp;"C"&amp;B$1+2)</f>
        <v>Klumpers, Floris; Kroes, Marijn C.; Heitland, Ivo; Everaerd, Daphne; Akkermans, Sophie E. A.; Oosting, Ronald S.; van Wingen, Guido; Franke, Barbara; Kenemans, J. Leon; Fernandez, Guillen; Baas, Johanna M. P.</v>
      </c>
      <c r="D2" s="230" t="s">
        <v>2318</v>
      </c>
      <c r="E2" s="53"/>
      <c r="F2" s="53"/>
      <c r="G2" s="53"/>
      <c r="H2" s="53"/>
      <c r="I2" s="53" t="s">
        <v>1382</v>
      </c>
      <c r="J2" s="53"/>
      <c r="K2" s="53"/>
      <c r="L2" s="53"/>
      <c r="M2" s="53"/>
    </row>
    <row r="3" spans="1:15" ht="30" x14ac:dyDescent="0.2">
      <c r="A3" s="34" t="s">
        <v>1322</v>
      </c>
      <c r="B3" s="33" t="str">
        <f ca="1">INDIRECT("main!"&amp;"D"&amp;B$1+2)</f>
        <v>Dorsomedial Prefrontal Cortex Mediates the Impact of Serotonin Transporter Linked Polymorphic Region Genotype on Anticipatory Threat Reactions</v>
      </c>
      <c r="C3" s="53" t="s">
        <v>2069</v>
      </c>
      <c r="D3" s="53" t="s">
        <v>1395</v>
      </c>
      <c r="E3" s="53" t="s">
        <v>2317</v>
      </c>
      <c r="F3" s="53" t="s">
        <v>1367</v>
      </c>
      <c r="G3" s="53" t="s">
        <v>1368</v>
      </c>
      <c r="H3" s="54" t="s">
        <v>0</v>
      </c>
      <c r="I3" t="s">
        <v>1369</v>
      </c>
      <c r="J3" t="s">
        <v>1370</v>
      </c>
      <c r="K3" s="53" t="s">
        <v>1371</v>
      </c>
      <c r="L3" s="54" t="s">
        <v>1372</v>
      </c>
      <c r="M3" s="54" t="s">
        <v>1373</v>
      </c>
    </row>
    <row r="4" spans="1:15" x14ac:dyDescent="0.2">
      <c r="A4" s="34" t="s">
        <v>1324</v>
      </c>
      <c r="B4" s="33" t="str">
        <f ca="1">INDIRECT("main!"&amp;"J"&amp;B$1+2)</f>
        <v>10.1016/j.biopsych.2014.07.034</v>
      </c>
      <c r="D4" s="54" t="s">
        <v>2323</v>
      </c>
      <c r="E4" s="55">
        <v>1</v>
      </c>
      <c r="F4">
        <v>0.16870967741935483</v>
      </c>
      <c r="G4">
        <v>0.32178031336417506</v>
      </c>
      <c r="H4" s="55">
        <v>62</v>
      </c>
      <c r="I4">
        <f>H4*F4</f>
        <v>10.459999999999999</v>
      </c>
      <c r="J4">
        <f>(H4*(H4-1)*G4^2+I4^2)/H4</f>
        <v>8.0808</v>
      </c>
      <c r="K4" s="53">
        <f>E4*I4</f>
        <v>10.459999999999999</v>
      </c>
      <c r="L4" s="53">
        <f>E4*H4</f>
        <v>62</v>
      </c>
      <c r="M4" s="53">
        <f>E4^2*H4</f>
        <v>62</v>
      </c>
    </row>
    <row r="5" spans="1:15" ht="33.5" customHeight="1" x14ac:dyDescent="0.2">
      <c r="A5" s="34" t="s">
        <v>1327</v>
      </c>
      <c r="B5" s="33" t="str">
        <f ca="1">INDIRECT("main!"&amp;"M"&amp;B$1+2)</f>
        <v>Healthy, medication free, recruited from medical school/university adverts. Sample D  (all male); sample R  (21 male); 18-30 years. Sample R oversampled homozygotes</v>
      </c>
      <c r="D5" s="54" t="s">
        <v>2066</v>
      </c>
      <c r="E5" s="55">
        <v>0</v>
      </c>
      <c r="F5">
        <v>-1.62162162162162E-2</v>
      </c>
      <c r="G5">
        <v>0.30431481644426633</v>
      </c>
      <c r="H5" s="55">
        <v>37</v>
      </c>
      <c r="I5">
        <f t="shared" ref="I5" si="0">H5*F5</f>
        <v>-0.59999999999999942</v>
      </c>
      <c r="J5">
        <f t="shared" ref="J5" si="1">(H5*(H5-1)*G5^2+I5^2)/H5</f>
        <v>3.3436000000000003</v>
      </c>
      <c r="K5" s="53">
        <f t="shared" ref="K5" si="2">E5*I5</f>
        <v>0</v>
      </c>
      <c r="L5" s="53">
        <f t="shared" ref="L5" si="3">E5*H5</f>
        <v>0</v>
      </c>
      <c r="M5" s="53">
        <f t="shared" ref="M5" si="4">E5^2*H5</f>
        <v>0</v>
      </c>
    </row>
    <row r="6" spans="1:15" x14ac:dyDescent="0.2">
      <c r="A6" s="34" t="s">
        <v>1333</v>
      </c>
      <c r="B6" s="33" t="str">
        <f ca="1">INDIRECT("main!"&amp;"L"&amp;B$1+2)</f>
        <v>Discovery (D) =99; Replication (R) =69</v>
      </c>
      <c r="D6" s="54"/>
      <c r="E6" s="55"/>
      <c r="H6" s="55"/>
      <c r="K6" s="53"/>
      <c r="L6" s="53"/>
      <c r="M6" s="53"/>
    </row>
    <row r="7" spans="1:15" x14ac:dyDescent="0.2">
      <c r="A7" s="34" t="s">
        <v>1903</v>
      </c>
      <c r="B7" s="33">
        <v>1</v>
      </c>
      <c r="D7" s="54"/>
      <c r="E7" s="55"/>
      <c r="F7" s="55"/>
      <c r="H7" s="55"/>
      <c r="K7" s="53"/>
      <c r="L7" s="53"/>
      <c r="M7" s="53"/>
    </row>
    <row r="8" spans="1:15" x14ac:dyDescent="0.2">
      <c r="A8" s="34" t="s">
        <v>343</v>
      </c>
      <c r="B8" s="33" t="str">
        <f ca="1">INDIRECT("main!"&amp;"q"&amp;B$1+2)</f>
        <v>5-HTTLPR</v>
      </c>
      <c r="D8" s="54" t="s">
        <v>1404</v>
      </c>
      <c r="E8" s="55" t="s">
        <v>1374</v>
      </c>
      <c r="F8" s="55"/>
      <c r="G8" s="55"/>
      <c r="H8" s="55">
        <f>SUM(H4:H6)</f>
        <v>99</v>
      </c>
      <c r="I8" s="55">
        <f>SUM(I4:I6)</f>
        <v>9.86</v>
      </c>
      <c r="J8" s="55">
        <f t="shared" ref="J8:M8" si="5">SUM(J4:J6)</f>
        <v>11.4244</v>
      </c>
      <c r="K8" s="55">
        <f t="shared" si="5"/>
        <v>10.459999999999999</v>
      </c>
      <c r="L8" s="55">
        <f t="shared" si="5"/>
        <v>62</v>
      </c>
      <c r="M8" s="55">
        <f t="shared" si="5"/>
        <v>62</v>
      </c>
    </row>
    <row r="9" spans="1:15" ht="13.75" customHeight="1" x14ac:dyDescent="0.2">
      <c r="A9" s="34" t="s">
        <v>1329</v>
      </c>
      <c r="B9" s="33" t="str">
        <f ca="1">INDIRECT("main!"&amp;"R"&amp;B$1+2)</f>
        <v>5-HTTLPR</v>
      </c>
      <c r="D9" s="53"/>
      <c r="E9" s="55"/>
      <c r="F9" s="55"/>
      <c r="G9" s="55"/>
      <c r="H9" s="55"/>
      <c r="I9" s="55"/>
      <c r="J9" s="55"/>
      <c r="K9" s="53"/>
      <c r="L9" s="53"/>
      <c r="M9" s="53"/>
    </row>
    <row r="10" spans="1:15" ht="73.25" customHeight="1" x14ac:dyDescent="0.2">
      <c r="A10" s="34" t="s">
        <v>1323</v>
      </c>
      <c r="B10" s="33" t="str">
        <f ca="1">INDIRECT("main!"&amp;"O"&amp;B$1+2)</f>
        <v>fMRI + aversive anticipation (2 experiments ; each one phenotype- skin conductance and startle data)</v>
      </c>
      <c r="D10" s="53" t="s">
        <v>1406</v>
      </c>
      <c r="E10" s="55"/>
      <c r="F10" s="55"/>
      <c r="G10" s="55"/>
      <c r="H10" s="55"/>
      <c r="I10" s="55"/>
      <c r="J10" s="55"/>
      <c r="K10" s="53"/>
      <c r="L10" s="53"/>
      <c r="M10" s="53"/>
      <c r="O10" s="82" t="s">
        <v>2324</v>
      </c>
    </row>
    <row r="11" spans="1:15" ht="55.25" customHeight="1" x14ac:dyDescent="0.2">
      <c r="A11" s="34" t="s">
        <v>1396</v>
      </c>
      <c r="B11" s="33" t="str">
        <f ca="1">INDIRECT("main!"&amp;"W"&amp;B$1+2)</f>
        <v>ANOVA, post hoc, hierarchical linear regression</v>
      </c>
      <c r="D11" s="53" t="s">
        <v>1376</v>
      </c>
      <c r="E11" s="55" t="s">
        <v>1377</v>
      </c>
      <c r="F11" s="55">
        <f>($H8*$K8-$L8*$I8)/($H8*$M8-$L8^2)</f>
        <v>0.18492589363557108</v>
      </c>
      <c r="G11" s="55"/>
      <c r="H11" s="55"/>
      <c r="I11" s="55"/>
      <c r="J11" s="181"/>
      <c r="K11" s="53"/>
      <c r="L11" s="53"/>
      <c r="M11" s="53"/>
    </row>
    <row r="12" spans="1:15" ht="50.25" customHeight="1" x14ac:dyDescent="0.2">
      <c r="A12" s="34" t="s">
        <v>1896</v>
      </c>
      <c r="B12" s="67" t="s">
        <v>2325</v>
      </c>
      <c r="D12" s="53"/>
      <c r="E12" s="53" t="s">
        <v>1378</v>
      </c>
      <c r="F12" s="55">
        <f>($H8*$K8-$L8*$I8)/SQRT(($H8*$M8-$L8^2)*($H8*$J8-$I8^2))</f>
        <v>0.2754717126628497</v>
      </c>
      <c r="G12" s="53"/>
      <c r="H12" s="53"/>
      <c r="I12" s="53"/>
      <c r="J12" s="181"/>
      <c r="K12" s="53"/>
      <c r="L12" s="53"/>
      <c r="M12" s="53"/>
    </row>
    <row r="13" spans="1:15" ht="78" customHeight="1" x14ac:dyDescent="0.2">
      <c r="A13" s="34" t="s">
        <v>1326</v>
      </c>
      <c r="B13" s="33" t="str">
        <f ca="1">INDIRECT("main!"&amp;"AZ"&amp;B$1+2)</f>
        <v xml:space="preserve">Innate 5-HTTLPR linked variation in dmPFC activity predicts psychophysiological responsivity to pending threats. </v>
      </c>
      <c r="D13" s="53"/>
      <c r="E13" s="56" t="s">
        <v>1379</v>
      </c>
      <c r="F13" s="53">
        <f>F12^2</f>
        <v>7.5884664477403621E-2</v>
      </c>
      <c r="G13" s="53"/>
      <c r="H13" s="53"/>
      <c r="I13" s="53"/>
      <c r="J13" s="181"/>
      <c r="K13" s="53"/>
      <c r="L13" s="53"/>
      <c r="M13" s="53"/>
    </row>
    <row r="14" spans="1:15" ht="16" x14ac:dyDescent="0.2">
      <c r="A14" s="34" t="s">
        <v>1852</v>
      </c>
      <c r="B14" s="33" t="str">
        <f>D4&amp;" (N = "&amp;H4&amp;"); "&amp;D5&amp;" (N = "&amp;H5&amp;"); "&amp;D6</f>
        <v xml:space="preserve">SS+SL (N = 62); LL (N = 37); </v>
      </c>
      <c r="E14" s="53"/>
      <c r="F14" s="53"/>
      <c r="G14" s="53"/>
      <c r="H14" s="53"/>
      <c r="I14" s="53"/>
      <c r="J14" s="181"/>
      <c r="K14" s="53"/>
      <c r="L14" s="53"/>
      <c r="M14" s="53"/>
    </row>
    <row r="15" spans="1:15" ht="16" x14ac:dyDescent="0.2">
      <c r="A15" s="34" t="s">
        <v>1848</v>
      </c>
      <c r="B15" s="62">
        <f>F12</f>
        <v>0.2754717126628497</v>
      </c>
      <c r="J15" s="181"/>
      <c r="K15" s="53"/>
    </row>
    <row r="16" spans="1:15" ht="16" x14ac:dyDescent="0.2">
      <c r="A16" s="34" t="s">
        <v>1897</v>
      </c>
      <c r="B16" s="62" t="s">
        <v>2070</v>
      </c>
      <c r="J16" s="181"/>
      <c r="K16" s="53"/>
    </row>
    <row r="17" spans="1:11" ht="16" x14ac:dyDescent="0.2">
      <c r="A17" s="204" t="s">
        <v>2189</v>
      </c>
      <c r="B17" s="33">
        <v>0.27700000000000002</v>
      </c>
      <c r="J17" s="181"/>
    </row>
    <row r="18" spans="1:11" ht="16" x14ac:dyDescent="0.2">
      <c r="A18" s="64" t="s">
        <v>1401</v>
      </c>
      <c r="B18" s="33">
        <v>0.16700000000000001</v>
      </c>
      <c r="J18" s="181"/>
    </row>
    <row r="19" spans="1:11" ht="16" x14ac:dyDescent="0.2">
      <c r="A19" s="64" t="s">
        <v>1346</v>
      </c>
      <c r="B19" s="33" t="s">
        <v>359</v>
      </c>
      <c r="J19" s="181"/>
      <c r="K19" s="53"/>
    </row>
    <row r="20" spans="1:11" ht="16" x14ac:dyDescent="0.2">
      <c r="A20" s="64" t="s">
        <v>1388</v>
      </c>
      <c r="B20" s="33" t="s">
        <v>2376</v>
      </c>
      <c r="J20" s="181"/>
    </row>
    <row r="21" spans="1:11" x14ac:dyDescent="0.2">
      <c r="A21" s="64" t="s">
        <v>1390</v>
      </c>
      <c r="D21" s="236" t="s">
        <v>2415</v>
      </c>
      <c r="E21" s="236" t="s">
        <v>2416</v>
      </c>
    </row>
    <row r="22" spans="1:11" ht="30" x14ac:dyDescent="0.2">
      <c r="A22" s="34" t="s">
        <v>1387</v>
      </c>
      <c r="B22" s="67" t="s">
        <v>2327</v>
      </c>
      <c r="D22" s="236">
        <v>99</v>
      </c>
      <c r="E22" s="236">
        <v>69</v>
      </c>
    </row>
    <row r="23" spans="1:11" x14ac:dyDescent="0.2">
      <c r="B23" s="57"/>
    </row>
    <row r="24" spans="1:11" s="140" customFormat="1" x14ac:dyDescent="0.2">
      <c r="A24" s="138" t="s">
        <v>1746</v>
      </c>
      <c r="B24" s="139"/>
    </row>
    <row r="25" spans="1:11" s="136" customFormat="1" ht="30" x14ac:dyDescent="0.2">
      <c r="A25" s="137" t="s">
        <v>1753</v>
      </c>
      <c r="B25" s="137" t="s">
        <v>2259</v>
      </c>
    </row>
    <row r="26" spans="1:11" s="136" customFormat="1" x14ac:dyDescent="0.2">
      <c r="A26" s="137" t="s">
        <v>1681</v>
      </c>
      <c r="B26" s="137">
        <f ca="1">INDIRECT("N_SNPs!"&amp;"L"&amp;B$1+2)</f>
        <v>0</v>
      </c>
    </row>
    <row r="27" spans="1:11" s="136" customFormat="1" x14ac:dyDescent="0.2">
      <c r="A27" s="137" t="s">
        <v>1747</v>
      </c>
      <c r="B27" s="137">
        <f ca="1">INDIRECT("N_SNPs!"&amp;"M"&amp;B$1+2)</f>
        <v>1</v>
      </c>
    </row>
    <row r="28" spans="1:11" s="136" customFormat="1" x14ac:dyDescent="0.2">
      <c r="A28" s="137" t="s">
        <v>1683</v>
      </c>
      <c r="B28" s="137" t="str">
        <f ca="1">INDIRECT("N_SNPs!"&amp;"N"&amp;B$1+2)</f>
        <v>not needed</v>
      </c>
    </row>
    <row r="29" spans="1:11" s="136" customFormat="1" x14ac:dyDescent="0.2">
      <c r="A29" s="137" t="s">
        <v>2171</v>
      </c>
      <c r="B29" s="137">
        <f ca="1">INDIRECT("N_SNPs!"&amp;"O"&amp;B$1+2)</f>
        <v>1</v>
      </c>
    </row>
    <row r="30" spans="1:11" s="136" customFormat="1" ht="30" x14ac:dyDescent="0.2">
      <c r="A30" s="137" t="s">
        <v>2170</v>
      </c>
      <c r="B30" s="137">
        <v>0</v>
      </c>
    </row>
    <row r="31" spans="1:11" s="136" customFormat="1" ht="60" x14ac:dyDescent="0.2">
      <c r="A31" s="137" t="s">
        <v>2172</v>
      </c>
      <c r="B31" s="137">
        <f ca="1">INDIRECT("N_SNPs!"&amp;"Q"&amp;B$1+2)</f>
        <v>5</v>
      </c>
    </row>
    <row r="32" spans="1:11" s="136" customFormat="1" x14ac:dyDescent="0.2">
      <c r="A32" s="137" t="s">
        <v>1686</v>
      </c>
      <c r="B32" s="137">
        <f ca="1">INDIRECT("N_SNPs!"&amp;"R"&amp;B$1+2)</f>
        <v>0</v>
      </c>
    </row>
    <row r="33" spans="1:3" s="172" customFormat="1" x14ac:dyDescent="0.2">
      <c r="A33" s="171" t="s">
        <v>1808</v>
      </c>
      <c r="B33" s="171">
        <v>1</v>
      </c>
    </row>
    <row r="34" spans="1:3" s="172" customFormat="1" x14ac:dyDescent="0.2">
      <c r="A34" s="203" t="s">
        <v>2177</v>
      </c>
      <c r="B34" s="171">
        <v>0</v>
      </c>
    </row>
    <row r="35" spans="1:3" s="172" customFormat="1" ht="60" x14ac:dyDescent="0.2">
      <c r="A35" s="171" t="s">
        <v>1810</v>
      </c>
      <c r="B35" s="171">
        <v>5</v>
      </c>
    </row>
    <row r="36" spans="1:3" s="174" customFormat="1" ht="60" x14ac:dyDescent="0.2">
      <c r="A36" s="173" t="s">
        <v>1835</v>
      </c>
      <c r="B36" s="173" t="s">
        <v>2278</v>
      </c>
      <c r="C36" s="174" t="s">
        <v>2420</v>
      </c>
    </row>
    <row r="37" spans="1:3" s="174" customFormat="1" ht="135" x14ac:dyDescent="0.2">
      <c r="A37" s="173" t="s">
        <v>2272</v>
      </c>
      <c r="B37" s="66" t="s">
        <v>2375</v>
      </c>
    </row>
    <row r="38" spans="1:3" s="174" customFormat="1" ht="30" x14ac:dyDescent="0.2">
      <c r="A38" s="173" t="s">
        <v>2299</v>
      </c>
      <c r="B38" s="173">
        <v>2</v>
      </c>
    </row>
    <row r="39" spans="1:3" s="174" customFormat="1" x14ac:dyDescent="0.2">
      <c r="A39" s="173" t="s">
        <v>2273</v>
      </c>
      <c r="B39" s="173">
        <v>2</v>
      </c>
    </row>
    <row r="40" spans="1:3" s="174" customFormat="1" ht="30" x14ac:dyDescent="0.2">
      <c r="A40" s="173" t="s">
        <v>2274</v>
      </c>
      <c r="B40" s="173">
        <v>0</v>
      </c>
    </row>
    <row r="41" spans="1:3" s="176" customFormat="1" x14ac:dyDescent="0.2">
      <c r="A41" s="175" t="s">
        <v>1815</v>
      </c>
      <c r="B41" s="175" t="s">
        <v>2326</v>
      </c>
    </row>
    <row r="42" spans="1:3" s="176" customFormat="1" x14ac:dyDescent="0.2">
      <c r="A42" s="175" t="s">
        <v>1881</v>
      </c>
      <c r="B42" s="175" t="s">
        <v>494</v>
      </c>
    </row>
    <row r="43" spans="1:3" x14ac:dyDescent="0.2">
      <c r="A43" s="34" t="s">
        <v>1398</v>
      </c>
      <c r="B43" s="33" t="s">
        <v>1866</v>
      </c>
    </row>
    <row r="44" spans="1:3" x14ac:dyDescent="0.2">
      <c r="A44" s="34" t="s">
        <v>1410</v>
      </c>
    </row>
    <row r="45" spans="1:3" x14ac:dyDescent="0.2">
      <c r="A45" s="34" t="s">
        <v>2374</v>
      </c>
      <c r="B45" s="33">
        <v>1</v>
      </c>
    </row>
    <row r="46" spans="1:3" x14ac:dyDescent="0.2">
      <c r="A46" s="34" t="s">
        <v>1416</v>
      </c>
      <c r="B46" s="66" t="s">
        <v>1926</v>
      </c>
    </row>
    <row r="47" spans="1:3" x14ac:dyDescent="0.2">
      <c r="B47" s="33" t="s">
        <v>2071</v>
      </c>
    </row>
    <row r="48" spans="1:3" x14ac:dyDescent="0.2">
      <c r="A48" s="34" t="s">
        <v>1629</v>
      </c>
      <c r="B48" s="57" t="s">
        <v>2378</v>
      </c>
    </row>
    <row r="49" spans="2:2" ht="90" x14ac:dyDescent="0.2">
      <c r="B49" s="66" t="s">
        <v>1640</v>
      </c>
    </row>
    <row r="51" spans="2:2" ht="75" x14ac:dyDescent="0.2">
      <c r="B51" s="33" t="s">
        <v>1837</v>
      </c>
    </row>
    <row r="53" spans="2:2" ht="42" x14ac:dyDescent="0.2">
      <c r="B53" s="33" t="s">
        <v>1838</v>
      </c>
    </row>
    <row r="54" spans="2:2" ht="300" x14ac:dyDescent="0.2">
      <c r="B54" s="33" t="s">
        <v>2310</v>
      </c>
    </row>
  </sheetData>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50"/>
  </sheetPr>
  <dimension ref="A1:M49"/>
  <sheetViews>
    <sheetView zoomScale="90" zoomScaleNormal="90" zoomScalePageLayoutView="90" workbookViewId="0">
      <pane xSplit="1" ySplit="1" topLeftCell="B33"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4" max="4" width="17.6640625" customWidth="1"/>
    <col min="5" max="5" width="12" bestFit="1" customWidth="1"/>
    <col min="7" max="7" width="11.5" bestFit="1" customWidth="1"/>
    <col min="8" max="8" width="11.1640625" bestFit="1" customWidth="1"/>
  </cols>
  <sheetData>
    <row r="1" spans="1:13" s="58" customFormat="1" x14ac:dyDescent="0.2">
      <c r="A1" s="63" t="s">
        <v>1360</v>
      </c>
      <c r="B1" s="57">
        <v>5</v>
      </c>
      <c r="D1" s="52" t="s">
        <v>1859</v>
      </c>
      <c r="E1" s="52"/>
      <c r="F1" s="52"/>
      <c r="G1" s="52"/>
      <c r="H1" s="52"/>
      <c r="I1" s="52"/>
      <c r="J1" s="52"/>
      <c r="K1" s="52"/>
      <c r="L1" s="52"/>
      <c r="M1" s="52"/>
    </row>
    <row r="2" spans="1:13" ht="30" x14ac:dyDescent="0.2">
      <c r="A2" s="34" t="s">
        <v>1321</v>
      </c>
      <c r="B2" s="33" t="s">
        <v>19</v>
      </c>
      <c r="E2" s="53"/>
      <c r="F2" s="53"/>
      <c r="G2" s="53"/>
      <c r="H2" s="53"/>
      <c r="I2" s="53"/>
      <c r="J2" s="53"/>
      <c r="K2" s="53"/>
      <c r="L2" s="53"/>
      <c r="M2" s="53"/>
    </row>
    <row r="3" spans="1:13" ht="30" x14ac:dyDescent="0.2">
      <c r="A3" s="34" t="s">
        <v>1322</v>
      </c>
      <c r="B3" s="33" t="s">
        <v>20</v>
      </c>
      <c r="C3" t="s">
        <v>2060</v>
      </c>
      <c r="D3" s="53" t="s">
        <v>1395</v>
      </c>
      <c r="E3" s="53" t="s">
        <v>1366</v>
      </c>
      <c r="F3" s="53" t="s">
        <v>1367</v>
      </c>
      <c r="G3" s="53" t="s">
        <v>1368</v>
      </c>
      <c r="H3" s="54" t="s">
        <v>0</v>
      </c>
      <c r="K3" s="53"/>
      <c r="L3" s="54"/>
      <c r="M3" s="54"/>
    </row>
    <row r="4" spans="1:13" x14ac:dyDescent="0.2">
      <c r="A4" s="34" t="s">
        <v>1324</v>
      </c>
      <c r="B4" s="33" t="s">
        <v>1927</v>
      </c>
      <c r="D4" s="54" t="s">
        <v>1305</v>
      </c>
      <c r="E4" s="55">
        <v>0</v>
      </c>
      <c r="F4" s="55"/>
      <c r="G4" s="55"/>
      <c r="H4" s="55">
        <f>INT(0.1281*0.1281*3088)</f>
        <v>50</v>
      </c>
      <c r="K4" s="53"/>
      <c r="L4" s="53"/>
      <c r="M4" s="53"/>
    </row>
    <row r="5" spans="1:13" ht="33.5" customHeight="1" x14ac:dyDescent="0.2">
      <c r="A5" s="34" t="s">
        <v>1327</v>
      </c>
      <c r="B5" s="33" t="s">
        <v>2061</v>
      </c>
      <c r="D5" s="54" t="s">
        <v>1437</v>
      </c>
      <c r="E5" s="55">
        <v>1</v>
      </c>
      <c r="F5" s="55"/>
      <c r="G5" s="55"/>
      <c r="H5" s="55">
        <f>H8-H6-H4</f>
        <v>691</v>
      </c>
      <c r="K5" s="53"/>
      <c r="L5" s="53"/>
      <c r="M5" s="53"/>
    </row>
    <row r="6" spans="1:13" x14ac:dyDescent="0.2">
      <c r="A6" s="34" t="s">
        <v>1333</v>
      </c>
      <c r="B6" s="33" t="s">
        <v>1419</v>
      </c>
      <c r="D6" s="54" t="s">
        <v>1308</v>
      </c>
      <c r="E6" s="55">
        <v>2</v>
      </c>
      <c r="F6" s="55"/>
      <c r="G6" s="55"/>
      <c r="H6" s="55">
        <f>INT(0.8719*0.8719*3088)</f>
        <v>2347</v>
      </c>
      <c r="K6" s="53"/>
      <c r="L6" s="53"/>
      <c r="M6" s="53"/>
    </row>
    <row r="7" spans="1:13" x14ac:dyDescent="0.2">
      <c r="A7" s="34" t="s">
        <v>1903</v>
      </c>
      <c r="B7" s="33">
        <v>2</v>
      </c>
      <c r="D7" s="54"/>
      <c r="E7" s="55"/>
      <c r="F7" s="55"/>
      <c r="G7" s="55"/>
      <c r="H7" s="55"/>
      <c r="K7" s="53"/>
      <c r="L7" s="53"/>
      <c r="M7" s="53"/>
    </row>
    <row r="8" spans="1:13" ht="30" x14ac:dyDescent="0.2">
      <c r="A8" s="34" t="s">
        <v>343</v>
      </c>
      <c r="B8" s="33" t="s">
        <v>1421</v>
      </c>
      <c r="D8" s="54" t="s">
        <v>1404</v>
      </c>
      <c r="E8" s="55" t="s">
        <v>1374</v>
      </c>
      <c r="F8" s="55"/>
      <c r="G8" s="55"/>
      <c r="H8" s="55">
        <v>3088</v>
      </c>
      <c r="I8" s="55"/>
      <c r="J8" s="55"/>
      <c r="K8" s="55"/>
      <c r="L8" s="55"/>
      <c r="M8" s="55"/>
    </row>
    <row r="9" spans="1:13" ht="13.75" customHeight="1" x14ac:dyDescent="0.2">
      <c r="A9" s="34" t="s">
        <v>1329</v>
      </c>
      <c r="B9" s="33" t="s">
        <v>1928</v>
      </c>
      <c r="D9" s="53"/>
      <c r="E9" s="55"/>
      <c r="F9" s="55"/>
      <c r="G9" s="55"/>
      <c r="H9" s="55"/>
      <c r="I9" s="55"/>
      <c r="J9" s="55"/>
      <c r="K9" s="53"/>
      <c r="L9" s="53"/>
      <c r="M9" s="53"/>
    </row>
    <row r="10" spans="1:13" ht="48.25" customHeight="1" x14ac:dyDescent="0.2">
      <c r="A10" s="34" t="s">
        <v>1323</v>
      </c>
      <c r="B10" s="33" t="s">
        <v>1420</v>
      </c>
      <c r="D10" s="53"/>
      <c r="E10" s="55"/>
      <c r="F10" s="55"/>
      <c r="G10" s="55"/>
      <c r="H10" s="55"/>
      <c r="I10" s="55"/>
      <c r="J10" s="55"/>
      <c r="K10" s="53"/>
      <c r="L10" s="53"/>
      <c r="M10" s="53"/>
    </row>
    <row r="11" spans="1:13" ht="81" customHeight="1" x14ac:dyDescent="0.2">
      <c r="A11" s="34" t="s">
        <v>1396</v>
      </c>
      <c r="B11" s="33" t="str">
        <f ca="1">INDIRECT("main!"&amp;"W"&amp;B$1+2)</f>
        <v>3-step procedure: univariate regression test of each variant (test for additive, recessive and dominant models), then weighted sum statistic for variants grouped by genomic region, then unified test combining effects of common and rare variants. Sample divided by ethic group (AA or EA).</v>
      </c>
      <c r="D11" s="53"/>
      <c r="E11" s="55"/>
      <c r="F11" s="55"/>
      <c r="G11" s="55"/>
      <c r="H11" s="55"/>
      <c r="I11" s="55"/>
      <c r="J11" s="55"/>
      <c r="K11" s="53"/>
      <c r="L11" s="53"/>
      <c r="M11" s="53"/>
    </row>
    <row r="12" spans="1:13" ht="63.75" customHeight="1" x14ac:dyDescent="0.2">
      <c r="A12" s="34" t="s">
        <v>1896</v>
      </c>
      <c r="B12" s="67" t="s">
        <v>1424</v>
      </c>
      <c r="D12" s="53"/>
      <c r="E12" s="53"/>
      <c r="F12" s="55"/>
      <c r="G12" s="53"/>
      <c r="H12" s="53"/>
      <c r="I12" s="53"/>
      <c r="J12" s="53"/>
      <c r="K12" s="53"/>
      <c r="L12" s="53"/>
      <c r="M12" s="53"/>
    </row>
    <row r="13" spans="1:13" ht="78" customHeight="1" x14ac:dyDescent="0.2">
      <c r="A13" s="34" t="s">
        <v>1326</v>
      </c>
      <c r="B13" s="67" t="s">
        <v>1641</v>
      </c>
      <c r="D13" s="53"/>
      <c r="E13" s="56"/>
      <c r="F13" s="53"/>
      <c r="G13" s="53"/>
      <c r="H13" s="53"/>
      <c r="I13" s="53"/>
      <c r="J13" s="53"/>
      <c r="K13" s="53"/>
      <c r="L13" s="53"/>
      <c r="M13" s="53"/>
    </row>
    <row r="14" spans="1:13" x14ac:dyDescent="0.2">
      <c r="A14" s="34" t="s">
        <v>1852</v>
      </c>
      <c r="B14" s="33" t="str">
        <f>D4&amp;" (N = "&amp;H4&amp;"); "&amp;D5&amp;" (N = "&amp;H5&amp;"); "&amp;D6&amp;" (N = "&amp;H6&amp;")"</f>
        <v>AA (N = 50); AG (N = 691); GG (N = 2347)</v>
      </c>
      <c r="D14" t="s">
        <v>2065</v>
      </c>
      <c r="E14" s="53"/>
      <c r="F14" s="53"/>
      <c r="G14" s="58" t="s">
        <v>1507</v>
      </c>
      <c r="K14" s="53"/>
      <c r="L14" s="53"/>
      <c r="M14" s="53"/>
    </row>
    <row r="15" spans="1:13" x14ac:dyDescent="0.2">
      <c r="A15" s="34" t="s">
        <v>1848</v>
      </c>
      <c r="B15" s="62">
        <f>J16</f>
        <v>6.220800885867471E-2</v>
      </c>
      <c r="D15" s="58" t="s">
        <v>1438</v>
      </c>
      <c r="E15" s="58"/>
      <c r="F15" s="58"/>
      <c r="G15" t="s">
        <v>1508</v>
      </c>
      <c r="H15" t="s">
        <v>2062</v>
      </c>
      <c r="I15" t="s">
        <v>2063</v>
      </c>
      <c r="J15" t="s">
        <v>1378</v>
      </c>
    </row>
    <row r="16" spans="1:13" x14ac:dyDescent="0.2">
      <c r="A16" s="34" t="s">
        <v>1897</v>
      </c>
      <c r="B16" s="62" t="s">
        <v>2064</v>
      </c>
      <c r="D16" s="58"/>
      <c r="E16" s="58"/>
      <c r="F16" s="58"/>
      <c r="G16">
        <v>2.4500000000000002</v>
      </c>
      <c r="H16">
        <f>LN(G16)*SQRT(3)/(22/7)</f>
        <v>0.49384045027740203</v>
      </c>
      <c r="I16">
        <f>H8^2/(H4*(H5+H6))</f>
        <v>62.7764581961817</v>
      </c>
      <c r="J16">
        <f>H16/(SQRT(H16^2+I16))</f>
        <v>6.220800885867471E-2</v>
      </c>
    </row>
    <row r="17" spans="1:6" ht="16" x14ac:dyDescent="0.2">
      <c r="A17" s="204" t="s">
        <v>2189</v>
      </c>
      <c r="B17" s="33">
        <v>0.05</v>
      </c>
      <c r="D17" t="s">
        <v>1439</v>
      </c>
      <c r="E17" t="s">
        <v>1440</v>
      </c>
      <c r="F17" t="s">
        <v>1378</v>
      </c>
    </row>
    <row r="18" spans="1:6" x14ac:dyDescent="0.2">
      <c r="A18" s="64" t="s">
        <v>1401</v>
      </c>
      <c r="B18" s="33">
        <v>0.999</v>
      </c>
      <c r="D18">
        <v>1.6000000000000001E-3</v>
      </c>
      <c r="E18">
        <f>TINV(D18,H8-2)</f>
        <v>3.1587110361571313</v>
      </c>
      <c r="F18">
        <f>SQRT(E18^2/(E18^2+H8))</f>
        <v>5.6750641003488041E-2</v>
      </c>
    </row>
    <row r="19" spans="1:6" x14ac:dyDescent="0.2">
      <c r="A19" s="64" t="s">
        <v>1346</v>
      </c>
      <c r="B19" s="33" t="s">
        <v>359</v>
      </c>
    </row>
    <row r="20" spans="1:6" ht="47" x14ac:dyDescent="0.2">
      <c r="A20" s="64" t="s">
        <v>1388</v>
      </c>
      <c r="B20" s="33" t="s">
        <v>2302</v>
      </c>
    </row>
    <row r="21" spans="1:6" x14ac:dyDescent="0.2">
      <c r="A21" s="64" t="s">
        <v>1390</v>
      </c>
      <c r="D21" s="236" t="s">
        <v>2415</v>
      </c>
      <c r="E21" s="236" t="s">
        <v>2416</v>
      </c>
    </row>
    <row r="22" spans="1:6" ht="45" x14ac:dyDescent="0.2">
      <c r="A22" s="34" t="s">
        <v>1387</v>
      </c>
      <c r="B22" s="67" t="s">
        <v>1444</v>
      </c>
      <c r="D22" s="236">
        <v>400</v>
      </c>
      <c r="E22" s="236">
        <v>0</v>
      </c>
    </row>
    <row r="23" spans="1:6" ht="75" x14ac:dyDescent="0.2">
      <c r="A23" s="34" t="s">
        <v>1426</v>
      </c>
      <c r="B23" s="57" t="s">
        <v>1657</v>
      </c>
    </row>
    <row r="24" spans="1:6" s="140" customFormat="1" x14ac:dyDescent="0.2">
      <c r="A24" s="138" t="s">
        <v>1746</v>
      </c>
      <c r="B24" s="139"/>
    </row>
    <row r="25" spans="1:6" s="136" customFormat="1" ht="30" x14ac:dyDescent="0.2">
      <c r="A25" s="137" t="s">
        <v>1753</v>
      </c>
      <c r="B25" s="137" t="s">
        <v>2258</v>
      </c>
    </row>
    <row r="26" spans="1:6" s="136" customFormat="1" x14ac:dyDescent="0.2">
      <c r="A26" s="137" t="s">
        <v>1681</v>
      </c>
      <c r="B26" s="137">
        <f ca="1">INDIRECT("N_SNPs!"&amp;"L"&amp;B$1+2)</f>
        <v>0</v>
      </c>
    </row>
    <row r="27" spans="1:6" s="136" customFormat="1" x14ac:dyDescent="0.2">
      <c r="A27" s="137" t="s">
        <v>1747</v>
      </c>
      <c r="B27" s="137">
        <f ca="1">INDIRECT("N_SNPs!"&amp;"M"&amp;B$1+2)</f>
        <v>3</v>
      </c>
    </row>
    <row r="28" spans="1:6" s="136" customFormat="1" x14ac:dyDescent="0.2">
      <c r="A28" s="137" t="s">
        <v>1683</v>
      </c>
      <c r="B28" s="137" t="str">
        <f ca="1">INDIRECT("N_SNPs!"&amp;"N"&amp;B$1+2)</f>
        <v>Bonferroni</v>
      </c>
    </row>
    <row r="29" spans="1:6" s="136" customFormat="1" x14ac:dyDescent="0.2">
      <c r="A29" s="137" t="s">
        <v>2171</v>
      </c>
      <c r="B29" s="137">
        <v>50</v>
      </c>
    </row>
    <row r="30" spans="1:6" s="136" customFormat="1" ht="30" x14ac:dyDescent="0.2">
      <c r="A30" s="137" t="s">
        <v>2170</v>
      </c>
      <c r="B30" s="137">
        <f ca="1">INDIRECT("N_SNPs!"&amp;"P"&amp;B$1+2)</f>
        <v>1</v>
      </c>
    </row>
    <row r="31" spans="1:6" s="136" customFormat="1" ht="60" x14ac:dyDescent="0.2">
      <c r="A31" s="137" t="s">
        <v>2172</v>
      </c>
      <c r="B31" s="137">
        <v>1</v>
      </c>
    </row>
    <row r="32" spans="1:6" s="136" customFormat="1" x14ac:dyDescent="0.2">
      <c r="A32" s="137" t="s">
        <v>1686</v>
      </c>
      <c r="B32" s="137">
        <f ca="1">INDIRECT("N_SNPs!"&amp;"R"&amp;B$1+2)</f>
        <v>0</v>
      </c>
    </row>
    <row r="33" spans="1:3" s="172" customFormat="1" x14ac:dyDescent="0.2">
      <c r="A33" s="171" t="s">
        <v>1808</v>
      </c>
      <c r="B33" s="171">
        <v>1</v>
      </c>
    </row>
    <row r="34" spans="1:3" s="172" customFormat="1" x14ac:dyDescent="0.2">
      <c r="A34" s="203" t="s">
        <v>2177</v>
      </c>
      <c r="B34" s="171">
        <v>0</v>
      </c>
    </row>
    <row r="35" spans="1:3" s="172" customFormat="1" ht="60" x14ac:dyDescent="0.2">
      <c r="A35" s="171" t="s">
        <v>1810</v>
      </c>
      <c r="B35" s="171">
        <v>5</v>
      </c>
    </row>
    <row r="36" spans="1:3" s="174" customFormat="1" x14ac:dyDescent="0.2">
      <c r="A36" s="173" t="s">
        <v>1835</v>
      </c>
      <c r="B36" s="173" t="s">
        <v>1752</v>
      </c>
      <c r="C36" s="174" t="s">
        <v>2421</v>
      </c>
    </row>
    <row r="37" spans="1:3" s="174" customFormat="1" x14ac:dyDescent="0.2">
      <c r="A37" s="173" t="s">
        <v>2272</v>
      </c>
      <c r="B37" s="173" t="s">
        <v>1752</v>
      </c>
    </row>
    <row r="38" spans="1:3" s="174" customFormat="1" ht="30" x14ac:dyDescent="0.2">
      <c r="A38" s="173" t="s">
        <v>2299</v>
      </c>
      <c r="B38" s="173" t="s">
        <v>1752</v>
      </c>
    </row>
    <row r="39" spans="1:3" s="174" customFormat="1" x14ac:dyDescent="0.2">
      <c r="A39" s="173" t="s">
        <v>2273</v>
      </c>
      <c r="B39" s="173">
        <v>0</v>
      </c>
    </row>
    <row r="40" spans="1:3" s="174" customFormat="1" ht="30" x14ac:dyDescent="0.2">
      <c r="A40" s="173" t="s">
        <v>2274</v>
      </c>
      <c r="B40" s="173" t="s">
        <v>1752</v>
      </c>
    </row>
    <row r="41" spans="1:3" s="176" customFormat="1" ht="30" x14ac:dyDescent="0.2">
      <c r="A41" s="175" t="s">
        <v>1815</v>
      </c>
      <c r="B41" s="66" t="s">
        <v>2183</v>
      </c>
    </row>
    <row r="42" spans="1:3" s="176" customFormat="1" x14ac:dyDescent="0.2">
      <c r="A42" s="175" t="s">
        <v>1881</v>
      </c>
      <c r="B42" s="175" t="s">
        <v>494</v>
      </c>
    </row>
    <row r="43" spans="1:3" x14ac:dyDescent="0.2">
      <c r="A43" s="34" t="s">
        <v>1398</v>
      </c>
      <c r="B43" s="33" t="s">
        <v>1866</v>
      </c>
    </row>
    <row r="44" spans="1:3" x14ac:dyDescent="0.2">
      <c r="A44" s="34" t="s">
        <v>1410</v>
      </c>
    </row>
    <row r="45" spans="1:3" x14ac:dyDescent="0.2">
      <c r="A45" s="34" t="s">
        <v>2374</v>
      </c>
      <c r="B45" s="33" t="s">
        <v>1752</v>
      </c>
    </row>
    <row r="46" spans="1:3" x14ac:dyDescent="0.2">
      <c r="A46" s="34" t="s">
        <v>1441</v>
      </c>
      <c r="B46" s="66" t="s">
        <v>1642</v>
      </c>
    </row>
    <row r="47" spans="1:3" x14ac:dyDescent="0.2">
      <c r="B47" s="66"/>
    </row>
    <row r="48" spans="1:3" x14ac:dyDescent="0.2">
      <c r="A48" s="34" t="s">
        <v>1442</v>
      </c>
      <c r="B48" s="33" t="s">
        <v>1658</v>
      </c>
    </row>
    <row r="49" spans="1:2" x14ac:dyDescent="0.2">
      <c r="A49" s="34" t="s">
        <v>1443</v>
      </c>
      <c r="B49" s="67" t="s">
        <v>1659</v>
      </c>
    </row>
  </sheetData>
  <pageMargins left="0.7" right="0.7" top="0.75" bottom="0.75" header="0.3" footer="0.3"/>
  <pageSetup paperSize="9" orientation="portrait" r:id="rId1"/>
  <drawing r:id="rId2"/>
  <legacy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N53"/>
  <sheetViews>
    <sheetView zoomScale="90" zoomScaleNormal="90" zoomScalePageLayoutView="90" workbookViewId="0">
      <pane xSplit="1" ySplit="1" topLeftCell="B22"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4" max="4" width="17.6640625" customWidth="1"/>
    <col min="5" max="5" width="12" bestFit="1" customWidth="1"/>
    <col min="6" max="7" width="11.5" bestFit="1" customWidth="1"/>
  </cols>
  <sheetData>
    <row r="1" spans="1:14" s="58" customFormat="1" x14ac:dyDescent="0.2">
      <c r="A1" s="63" t="s">
        <v>1360</v>
      </c>
      <c r="B1" s="57">
        <v>4</v>
      </c>
      <c r="D1" s="52" t="s">
        <v>1851</v>
      </c>
      <c r="E1" s="52"/>
      <c r="F1" s="52"/>
      <c r="G1" s="52"/>
      <c r="H1" s="52"/>
      <c r="I1" s="52"/>
      <c r="J1" s="52"/>
      <c r="K1" s="52"/>
      <c r="L1" s="52"/>
      <c r="M1" s="52"/>
    </row>
    <row r="2" spans="1:14" ht="45" x14ac:dyDescent="0.2">
      <c r="A2" s="34" t="s">
        <v>1321</v>
      </c>
      <c r="B2" s="33" t="str">
        <f ca="1">INDIRECT("main!"&amp;"C"&amp;B$1+2)</f>
        <v>Pohlack, Sebastian T.; Nees, Frauke; Ruttorf, Michaela; Cacciaglia, Raffaele; Winkelmann, Tobias; Schad, Lothar R.; Witt, Stephanie H.; Rietschel, Marcella; Flor, Herta</v>
      </c>
      <c r="E2" s="53"/>
      <c r="F2" s="53"/>
      <c r="G2" s="53"/>
      <c r="H2" s="53"/>
      <c r="I2" s="53" t="s">
        <v>1382</v>
      </c>
      <c r="J2" s="53"/>
      <c r="K2" s="53"/>
      <c r="L2" s="53"/>
      <c r="M2" s="53"/>
    </row>
    <row r="3" spans="1:14" ht="30" x14ac:dyDescent="0.2">
      <c r="A3" s="34" t="s">
        <v>1322</v>
      </c>
      <c r="B3" s="33" t="str">
        <f ca="1">INDIRECT("main!"&amp;"D"&amp;B$1+2)</f>
        <v>Neural Mechanism of a Sex-Specific Risk Variant for Posttraumatic Stress Disorder in the Type I Receptor of the Pituitary Adenylate Cyclase Activating Polypeptide</v>
      </c>
      <c r="C3" s="179" t="s">
        <v>1831</v>
      </c>
      <c r="D3" s="53" t="s">
        <v>1832</v>
      </c>
      <c r="E3" s="53" t="s">
        <v>1366</v>
      </c>
      <c r="F3" s="53" t="s">
        <v>1367</v>
      </c>
      <c r="G3" s="53" t="s">
        <v>1368</v>
      </c>
      <c r="H3" s="54" t="s">
        <v>0</v>
      </c>
      <c r="I3" t="s">
        <v>1369</v>
      </c>
      <c r="J3" t="s">
        <v>1370</v>
      </c>
      <c r="K3" s="53" t="s">
        <v>1371</v>
      </c>
      <c r="L3" s="54" t="s">
        <v>1372</v>
      </c>
      <c r="M3" s="54" t="s">
        <v>1373</v>
      </c>
      <c r="N3" s="54" t="s">
        <v>779</v>
      </c>
    </row>
    <row r="4" spans="1:14" x14ac:dyDescent="0.2">
      <c r="A4" s="34" t="s">
        <v>1324</v>
      </c>
      <c r="B4" s="33" t="str">
        <f ca="1">INDIRECT("main!"&amp;"J"&amp;B$1+2)</f>
        <v>10.1016/j.biopsych.2014.12.018</v>
      </c>
      <c r="D4" s="54" t="s">
        <v>1308</v>
      </c>
      <c r="E4" s="55">
        <v>0</v>
      </c>
      <c r="F4" s="55">
        <v>0.37299952957142901</v>
      </c>
      <c r="G4" s="55">
        <v>0.39992099599202102</v>
      </c>
      <c r="H4" s="55">
        <v>9</v>
      </c>
      <c r="I4">
        <f>H4*F4</f>
        <v>3.3569957661428611</v>
      </c>
      <c r="J4">
        <f>(H4*(H4-1)*G4^2+I4^2)/H4</f>
        <v>2.5316522658265672</v>
      </c>
      <c r="K4" s="53">
        <f>E4*I4</f>
        <v>0</v>
      </c>
      <c r="L4" s="53">
        <f>E4*H4</f>
        <v>0</v>
      </c>
      <c r="M4" s="53">
        <f>E4^2*H4</f>
        <v>0</v>
      </c>
      <c r="N4">
        <f>G4/SQRT(H4)</f>
        <v>0.133306998664007</v>
      </c>
    </row>
    <row r="5" spans="1:14" ht="33.5" customHeight="1" x14ac:dyDescent="0.2">
      <c r="A5" s="34" t="s">
        <v>1327</v>
      </c>
      <c r="B5" s="33" t="str">
        <f ca="1">INDIRECT("main!"&amp;"M"&amp;B$1+2)</f>
        <v>Discovery sample (D) training schools of rescue  workers M=22.23, SD=4.07 age; replication sample (R) M=21.43, SD=2.37 age</v>
      </c>
      <c r="D5" s="54" t="s">
        <v>1413</v>
      </c>
      <c r="E5" s="55">
        <v>1</v>
      </c>
      <c r="F5" s="55">
        <v>-2.9396612499999999E-2</v>
      </c>
      <c r="G5" s="55">
        <v>0.31314261293512202</v>
      </c>
      <c r="H5" s="55">
        <v>8</v>
      </c>
      <c r="I5">
        <f t="shared" ref="I5:I6" si="0">H5*F5</f>
        <v>-0.23517289999999999</v>
      </c>
      <c r="J5">
        <f t="shared" ref="J5:J6" si="1">(H5*(H5-1)*G5^2+I5^2)/H5</f>
        <v>0.69332135886265078</v>
      </c>
      <c r="K5" s="53">
        <f t="shared" ref="K5:K6" si="2">E5*I5</f>
        <v>-0.23517289999999999</v>
      </c>
      <c r="L5" s="53">
        <f t="shared" ref="L5:L6" si="3">E5*H5</f>
        <v>8</v>
      </c>
      <c r="M5" s="53">
        <f t="shared" ref="M5:M6" si="4">E5^2*H5</f>
        <v>8</v>
      </c>
      <c r="N5">
        <f>G5/SQRT(H5)</f>
        <v>0.11071263254244954</v>
      </c>
    </row>
    <row r="6" spans="1:14" x14ac:dyDescent="0.2">
      <c r="A6" s="34" t="s">
        <v>1333</v>
      </c>
      <c r="B6" s="33" t="str">
        <f ca="1">INDIRECT("main!"&amp;"L"&amp;B$1+2)</f>
        <v>D = 112; R = 72</v>
      </c>
      <c r="D6" s="54" t="s">
        <v>1361</v>
      </c>
      <c r="E6" s="55">
        <v>2</v>
      </c>
      <c r="F6" s="55">
        <v>-0.31995246666666699</v>
      </c>
      <c r="G6" s="55">
        <v>0.60559744091053314</v>
      </c>
      <c r="H6" s="55">
        <v>7</v>
      </c>
      <c r="I6">
        <f t="shared" si="0"/>
        <v>-2.239667266666669</v>
      </c>
      <c r="J6">
        <f t="shared" si="1"/>
        <v>2.9170766291069126</v>
      </c>
      <c r="K6" s="53">
        <f t="shared" si="2"/>
        <v>-4.4793345333333381</v>
      </c>
      <c r="L6" s="53">
        <f t="shared" si="3"/>
        <v>14</v>
      </c>
      <c r="M6" s="53">
        <f t="shared" si="4"/>
        <v>28</v>
      </c>
      <c r="N6">
        <f>G6/SQRT(H6)</f>
        <v>0.22889431760948628</v>
      </c>
    </row>
    <row r="7" spans="1:14" x14ac:dyDescent="0.2">
      <c r="A7" s="34" t="s">
        <v>1903</v>
      </c>
      <c r="B7" s="33">
        <v>2</v>
      </c>
      <c r="D7" s="54"/>
      <c r="E7" s="55"/>
      <c r="F7" s="55"/>
      <c r="G7" s="55"/>
      <c r="H7" s="55"/>
      <c r="K7" s="53"/>
      <c r="L7" s="53"/>
      <c r="M7" s="53"/>
    </row>
    <row r="8" spans="1:14" x14ac:dyDescent="0.2">
      <c r="A8" s="34" t="s">
        <v>343</v>
      </c>
      <c r="B8" s="33" t="str">
        <f ca="1">INDIRECT("main!"&amp;"q"&amp;B$1+2)</f>
        <v>ADCYAP1R1</v>
      </c>
      <c r="D8" s="54" t="s">
        <v>1404</v>
      </c>
      <c r="E8" s="55" t="s">
        <v>1374</v>
      </c>
      <c r="F8" s="55"/>
      <c r="G8" s="55"/>
      <c r="H8" s="55">
        <f>SUM(H4:H6)</f>
        <v>24</v>
      </c>
      <c r="I8" s="55">
        <f>SUM(I4:I6)</f>
        <v>0.88215559947619226</v>
      </c>
      <c r="J8" s="55">
        <f t="shared" ref="J8:M8" si="5">SUM(J4:J6)</f>
        <v>6.1420502537961301</v>
      </c>
      <c r="K8" s="55">
        <f t="shared" si="5"/>
        <v>-4.7145074333333383</v>
      </c>
      <c r="L8" s="55">
        <f t="shared" si="5"/>
        <v>22</v>
      </c>
      <c r="M8" s="55">
        <f t="shared" si="5"/>
        <v>36</v>
      </c>
    </row>
    <row r="9" spans="1:14" ht="13.75" customHeight="1" x14ac:dyDescent="0.2">
      <c r="A9" s="34" t="s">
        <v>1329</v>
      </c>
      <c r="B9" s="33" t="str">
        <f ca="1">INDIRECT("main!"&amp;"R"&amp;B$1+2)</f>
        <v>rs2267735</v>
      </c>
      <c r="D9" s="53"/>
      <c r="E9" s="55"/>
      <c r="F9" s="55"/>
      <c r="G9" s="55"/>
      <c r="H9" s="55"/>
      <c r="I9" s="55"/>
      <c r="J9" s="55"/>
      <c r="K9" s="53"/>
      <c r="L9" s="53"/>
      <c r="M9" s="53"/>
    </row>
    <row r="10" spans="1:14" ht="73.25" customHeight="1" x14ac:dyDescent="0.2">
      <c r="A10" s="34" t="s">
        <v>1323</v>
      </c>
      <c r="B10" s="33" t="str">
        <f ca="1">INDIRECT("main!"&amp;"O"&amp;B$1+2)</f>
        <v>fMRI BOLD response for 4 regions (L/R hippocampus and amygdala) x 2 tasks (cue and contextual conditioning) x 4 phases (habituation, early and late acquisition, and extinction)</v>
      </c>
      <c r="D10" s="53" t="s">
        <v>1406</v>
      </c>
      <c r="E10" s="55"/>
      <c r="F10" s="55"/>
      <c r="G10" s="55"/>
      <c r="H10" s="55"/>
      <c r="I10" s="55"/>
      <c r="J10" s="55"/>
      <c r="K10" s="53"/>
      <c r="L10" s="53"/>
      <c r="M10" s="53"/>
    </row>
    <row r="11" spans="1:14" ht="15.5" customHeight="1" x14ac:dyDescent="0.2">
      <c r="A11" s="34" t="s">
        <v>1396</v>
      </c>
      <c r="B11" s="33" t="str">
        <f ca="1">INDIRECT("main!"&amp;"W"&amp;B$1+2)</f>
        <v>General linear model fixed effects analyses, gender included</v>
      </c>
      <c r="D11" s="53" t="s">
        <v>1376</v>
      </c>
      <c r="E11" s="55" t="s">
        <v>1377</v>
      </c>
      <c r="F11" s="55">
        <f>($H8*$K8-$L8*$I8)/($H8*$M8-$L8^2)</f>
        <v>-0.34883053049599039</v>
      </c>
      <c r="G11" s="55"/>
      <c r="H11" s="55"/>
      <c r="I11" s="55"/>
      <c r="J11" s="55"/>
      <c r="K11" s="53"/>
      <c r="L11" s="53"/>
      <c r="M11" s="53"/>
    </row>
    <row r="12" spans="1:14" ht="32.75" customHeight="1" x14ac:dyDescent="0.2">
      <c r="A12" s="34" t="s">
        <v>1896</v>
      </c>
      <c r="B12" s="57" t="str">
        <f ca="1">INDIRECT("main!"&amp;"Y"&amp;B$1+2)</f>
        <v>Replication sample: Reduced left sided HPC activation during late acquisition in female carriers of the PAC1-R (t = 4.92; p &lt; .001)</v>
      </c>
      <c r="D12" s="53"/>
      <c r="E12" s="53" t="s">
        <v>1378</v>
      </c>
      <c r="F12" s="55">
        <f>($H8*$K8-$L8*$I8)/SQRT(($H8*$M8-$L8^2)*($H8*$J8-$I8^2))</f>
        <v>-0.56155639493501763</v>
      </c>
      <c r="G12" s="53"/>
      <c r="H12" s="53"/>
      <c r="I12" s="53"/>
      <c r="J12" s="53"/>
      <c r="K12" s="53"/>
      <c r="L12" s="53"/>
      <c r="M12" s="53"/>
    </row>
    <row r="13" spans="1:14" ht="78" customHeight="1" x14ac:dyDescent="0.2">
      <c r="A13" s="34" t="s">
        <v>1326</v>
      </c>
      <c r="B13" s="33" t="str">
        <f ca="1">INDIRECT("main!"&amp;"AZ"&amp;B$1+2)</f>
        <v>Specifically, we observed decreased hippocampal activity during contextual, but not during cued, fear conditioning in female participants carrying the PAC1-R risk allele. We observed no significant differences in conditionability for skin conductance responses, verbal reports, or activation in other brain regions between the genotype groups in female participant</v>
      </c>
      <c r="D13" s="53"/>
      <c r="E13" s="56" t="s">
        <v>1379</v>
      </c>
      <c r="F13" s="53">
        <f>F12^2</f>
        <v>0.31534558469241347</v>
      </c>
      <c r="G13" s="53"/>
      <c r="H13" s="53"/>
      <c r="I13" s="53"/>
      <c r="J13" s="53"/>
      <c r="K13" s="53"/>
      <c r="L13" s="53"/>
      <c r="M13" s="53"/>
    </row>
    <row r="14" spans="1:14" x14ac:dyDescent="0.2">
      <c r="A14" s="34" t="s">
        <v>1852</v>
      </c>
      <c r="B14" s="33" t="str">
        <f>D4&amp;" (N = "&amp;H4&amp;"); "&amp;D5&amp;" (N = "&amp;H5&amp;"); "&amp;D6&amp;" (N = "&amp;H6&amp;")"</f>
        <v>GG (N = 9); GC (N = 8); CC (N = 7)</v>
      </c>
      <c r="E14" s="53"/>
      <c r="F14" s="53"/>
      <c r="G14" s="53"/>
      <c r="H14" s="53"/>
      <c r="I14" s="53"/>
      <c r="J14" s="53"/>
      <c r="K14" s="53"/>
      <c r="L14" s="53"/>
      <c r="M14" s="53"/>
    </row>
    <row r="15" spans="1:14" x14ac:dyDescent="0.2">
      <c r="A15" s="34" t="s">
        <v>1848</v>
      </c>
      <c r="B15" s="62">
        <f>ABS(F12)</f>
        <v>0.56155639493501763</v>
      </c>
    </row>
    <row r="16" spans="1:14" x14ac:dyDescent="0.2">
      <c r="A16" s="34" t="s">
        <v>1897</v>
      </c>
      <c r="B16" s="62" t="s">
        <v>2059</v>
      </c>
    </row>
    <row r="17" spans="1:5" ht="16" x14ac:dyDescent="0.2">
      <c r="A17" s="204" t="s">
        <v>2189</v>
      </c>
      <c r="B17" s="62">
        <v>0.53765339999999995</v>
      </c>
    </row>
    <row r="18" spans="1:5" x14ac:dyDescent="0.2">
      <c r="A18" s="64" t="s">
        <v>1401</v>
      </c>
      <c r="B18" s="62">
        <v>7.4818529999999994E-2</v>
      </c>
    </row>
    <row r="19" spans="1:5" ht="30" x14ac:dyDescent="0.2">
      <c r="A19" s="64" t="s">
        <v>1346</v>
      </c>
      <c r="B19" s="33" t="s">
        <v>1860</v>
      </c>
    </row>
    <row r="20" spans="1:5" x14ac:dyDescent="0.2">
      <c r="A20" s="64" t="s">
        <v>1388</v>
      </c>
      <c r="B20" s="33" t="s">
        <v>2369</v>
      </c>
    </row>
    <row r="21" spans="1:5" ht="70" x14ac:dyDescent="0.2">
      <c r="A21" s="64" t="s">
        <v>1390</v>
      </c>
      <c r="B21" s="33" t="s">
        <v>1830</v>
      </c>
      <c r="D21" s="236" t="s">
        <v>2415</v>
      </c>
      <c r="E21" s="236" t="s">
        <v>2416</v>
      </c>
    </row>
    <row r="22" spans="1:5" ht="105" x14ac:dyDescent="0.2">
      <c r="A22" s="34" t="s">
        <v>1387</v>
      </c>
      <c r="B22" s="57" t="s">
        <v>2372</v>
      </c>
      <c r="D22" s="236">
        <v>122</v>
      </c>
      <c r="E22" s="236">
        <v>72</v>
      </c>
    </row>
    <row r="23" spans="1:5" x14ac:dyDescent="0.2">
      <c r="B23" s="57"/>
    </row>
    <row r="24" spans="1:5" s="140" customFormat="1" x14ac:dyDescent="0.2">
      <c r="A24" s="138" t="s">
        <v>1746</v>
      </c>
      <c r="B24" s="139"/>
    </row>
    <row r="25" spans="1:5" s="136" customFormat="1" ht="30" x14ac:dyDescent="0.2">
      <c r="A25" s="137" t="s">
        <v>1753</v>
      </c>
      <c r="B25" s="137" t="s">
        <v>885</v>
      </c>
    </row>
    <row r="26" spans="1:5" s="136" customFormat="1" x14ac:dyDescent="0.2">
      <c r="A26" s="137" t="s">
        <v>1681</v>
      </c>
      <c r="B26" s="137">
        <f ca="1">INDIRECT("N_SNPs!"&amp;"L"&amp;B$1+2)</f>
        <v>0</v>
      </c>
    </row>
    <row r="27" spans="1:5" s="136" customFormat="1" x14ac:dyDescent="0.2">
      <c r="A27" s="137" t="s">
        <v>1747</v>
      </c>
      <c r="B27" s="137">
        <f ca="1">INDIRECT("N_SNPs!"&amp;"M"&amp;B$1+2)</f>
        <v>1</v>
      </c>
    </row>
    <row r="28" spans="1:5" s="136" customFormat="1" x14ac:dyDescent="0.2">
      <c r="A28" s="137" t="s">
        <v>1683</v>
      </c>
      <c r="B28" s="137" t="str">
        <f ca="1">INDIRECT("N_SNPs!"&amp;"N"&amp;B$1+2)</f>
        <v>not needed</v>
      </c>
    </row>
    <row r="29" spans="1:5" s="136" customFormat="1" x14ac:dyDescent="0.2">
      <c r="A29" s="137" t="s">
        <v>2171</v>
      </c>
      <c r="B29" s="137">
        <f ca="1">INDIRECT("N_SNPs!"&amp;"O"&amp;B$1+2)</f>
        <v>1</v>
      </c>
    </row>
    <row r="30" spans="1:5" s="136" customFormat="1" ht="30" x14ac:dyDescent="0.2">
      <c r="A30" s="137" t="s">
        <v>2170</v>
      </c>
      <c r="B30" s="137">
        <v>0</v>
      </c>
    </row>
    <row r="31" spans="1:5" s="136" customFormat="1" ht="60" x14ac:dyDescent="0.2">
      <c r="A31" s="137" t="s">
        <v>2172</v>
      </c>
      <c r="B31" s="137">
        <f ca="1">INDIRECT("N_SNPs!"&amp;"Q"&amp;B$1+2)</f>
        <v>5</v>
      </c>
    </row>
    <row r="32" spans="1:5" s="136" customFormat="1" x14ac:dyDescent="0.2">
      <c r="A32" s="137" t="s">
        <v>1686</v>
      </c>
      <c r="B32" s="137">
        <f ca="1">INDIRECT("N_SNPs!"&amp;"R"&amp;B$1+2)</f>
        <v>0</v>
      </c>
    </row>
    <row r="33" spans="1:3" s="172" customFormat="1" x14ac:dyDescent="0.2">
      <c r="A33" s="171" t="s">
        <v>1808</v>
      </c>
      <c r="B33" s="171">
        <v>7</v>
      </c>
    </row>
    <row r="34" spans="1:3" s="172" customFormat="1" x14ac:dyDescent="0.2">
      <c r="A34" s="203" t="s">
        <v>2177</v>
      </c>
      <c r="B34" s="171">
        <v>2</v>
      </c>
    </row>
    <row r="35" spans="1:3" s="172" customFormat="1" ht="60" x14ac:dyDescent="0.2">
      <c r="A35" s="171" t="s">
        <v>1810</v>
      </c>
      <c r="B35" s="171">
        <v>0</v>
      </c>
    </row>
    <row r="36" spans="1:3" s="174" customFormat="1" ht="75" x14ac:dyDescent="0.2">
      <c r="A36" s="173" t="s">
        <v>1835</v>
      </c>
      <c r="B36" s="173" t="s">
        <v>2275</v>
      </c>
      <c r="C36" s="174" t="s">
        <v>2420</v>
      </c>
    </row>
    <row r="37" spans="1:3" s="174" customFormat="1" ht="30" x14ac:dyDescent="0.2">
      <c r="A37" s="173" t="s">
        <v>2272</v>
      </c>
      <c r="B37" s="223" t="s">
        <v>2276</v>
      </c>
    </row>
    <row r="38" spans="1:3" s="174" customFormat="1" ht="30" x14ac:dyDescent="0.2">
      <c r="A38" s="173" t="s">
        <v>2299</v>
      </c>
      <c r="B38" s="173">
        <v>1</v>
      </c>
    </row>
    <row r="39" spans="1:3" s="174" customFormat="1" x14ac:dyDescent="0.2">
      <c r="A39" s="173" t="s">
        <v>2273</v>
      </c>
      <c r="B39" s="173">
        <v>2</v>
      </c>
    </row>
    <row r="40" spans="1:3" s="174" customFormat="1" ht="30" x14ac:dyDescent="0.2">
      <c r="A40" s="173" t="s">
        <v>2274</v>
      </c>
      <c r="B40" s="173">
        <v>0</v>
      </c>
    </row>
    <row r="41" spans="1:3" s="176" customFormat="1" x14ac:dyDescent="0.2">
      <c r="A41" s="175" t="s">
        <v>1815</v>
      </c>
      <c r="B41" s="33" t="s">
        <v>2169</v>
      </c>
    </row>
    <row r="42" spans="1:3" s="176" customFormat="1" x14ac:dyDescent="0.2">
      <c r="A42" s="175" t="s">
        <v>1881</v>
      </c>
      <c r="B42" s="33" t="s">
        <v>1884</v>
      </c>
    </row>
    <row r="43" spans="1:3" x14ac:dyDescent="0.2">
      <c r="A43" s="34" t="s">
        <v>1398</v>
      </c>
    </row>
    <row r="44" spans="1:3" x14ac:dyDescent="0.2">
      <c r="A44" s="34" t="s">
        <v>1410</v>
      </c>
    </row>
    <row r="45" spans="1:3" x14ac:dyDescent="0.2">
      <c r="A45" s="34" t="s">
        <v>2374</v>
      </c>
      <c r="B45" s="33">
        <v>1</v>
      </c>
    </row>
    <row r="46" spans="1:3" x14ac:dyDescent="0.2">
      <c r="A46" s="34" t="s">
        <v>1416</v>
      </c>
      <c r="B46" s="66" t="s">
        <v>1638</v>
      </c>
    </row>
    <row r="48" spans="1:3" x14ac:dyDescent="0.2">
      <c r="A48" s="34" t="s">
        <v>1428</v>
      </c>
      <c r="B48" s="66">
        <v>42685</v>
      </c>
    </row>
    <row r="49" spans="1:4" x14ac:dyDescent="0.2">
      <c r="A49" s="34" t="s">
        <v>1429</v>
      </c>
      <c r="B49" s="33" t="s">
        <v>2366</v>
      </c>
    </row>
    <row r="50" spans="1:4" ht="45" x14ac:dyDescent="0.2">
      <c r="B50" s="223" t="s">
        <v>2362</v>
      </c>
      <c r="D50" t="s">
        <v>2367</v>
      </c>
    </row>
    <row r="51" spans="1:4" ht="30" x14ac:dyDescent="0.2">
      <c r="B51" s="223" t="s">
        <v>2363</v>
      </c>
      <c r="D51" t="s">
        <v>2370</v>
      </c>
    </row>
    <row r="52" spans="1:4" ht="90" x14ac:dyDescent="0.2">
      <c r="B52" s="223" t="s">
        <v>2364</v>
      </c>
      <c r="D52" t="s">
        <v>2371</v>
      </c>
    </row>
    <row r="53" spans="1:4" ht="144" customHeight="1" x14ac:dyDescent="0.2">
      <c r="B53" s="223" t="s">
        <v>2365</v>
      </c>
      <c r="D53" t="s">
        <v>2373</v>
      </c>
    </row>
  </sheetData>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N76"/>
  <sheetViews>
    <sheetView zoomScale="90" zoomScaleNormal="90" zoomScalePageLayoutView="90" workbookViewId="0">
      <pane xSplit="1" ySplit="1" topLeftCell="B33"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4" max="4" width="17.6640625" customWidth="1"/>
    <col min="5" max="5" width="12" bestFit="1" customWidth="1"/>
    <col min="7" max="7" width="11.5" bestFit="1" customWidth="1"/>
  </cols>
  <sheetData>
    <row r="1" spans="1:14" s="58" customFormat="1" x14ac:dyDescent="0.2">
      <c r="A1" s="63" t="s">
        <v>1360</v>
      </c>
      <c r="B1" s="57">
        <v>3</v>
      </c>
      <c r="D1" s="52" t="s">
        <v>1851</v>
      </c>
      <c r="E1" s="52"/>
      <c r="F1" s="52"/>
      <c r="G1" s="52"/>
      <c r="H1" s="52"/>
      <c r="I1" s="52"/>
      <c r="J1" s="52"/>
      <c r="K1" s="52"/>
      <c r="L1" s="52"/>
      <c r="M1" s="52"/>
    </row>
    <row r="2" spans="1:14" x14ac:dyDescent="0.2">
      <c r="A2" s="34" t="s">
        <v>1321</v>
      </c>
      <c r="B2" s="33" t="str">
        <f ca="1">INDIRECT("main!"&amp;"C"&amp;B$1+2)</f>
        <v>Doll, Bradley B.; Bath, Kevin G.; Daw, Nathaniel D.; Frank, Michael J.</v>
      </c>
      <c r="E2" s="53"/>
      <c r="F2" s="53"/>
      <c r="G2" s="53"/>
      <c r="H2" s="53"/>
      <c r="I2" s="53" t="s">
        <v>1382</v>
      </c>
      <c r="J2" s="53"/>
      <c r="K2" s="53"/>
      <c r="L2" s="53"/>
      <c r="M2" s="53"/>
    </row>
    <row r="3" spans="1:14" ht="30" x14ac:dyDescent="0.2">
      <c r="A3" s="34" t="s">
        <v>1322</v>
      </c>
      <c r="B3" s="33" t="str">
        <f ca="1">INDIRECT("main!"&amp;"D"&amp;B$1+2)</f>
        <v>Variability in Dopamine Genes Dissociates Model-Based and Model-Free Reinforcement Learning</v>
      </c>
      <c r="C3" t="s">
        <v>1407</v>
      </c>
      <c r="D3" s="53" t="s">
        <v>1395</v>
      </c>
      <c r="E3" s="53" t="s">
        <v>1366</v>
      </c>
      <c r="F3" s="53" t="s">
        <v>1367</v>
      </c>
      <c r="G3" s="53" t="s">
        <v>1368</v>
      </c>
      <c r="H3" s="54" t="s">
        <v>0</v>
      </c>
      <c r="I3" t="s">
        <v>1369</v>
      </c>
      <c r="J3" t="s">
        <v>1370</v>
      </c>
      <c r="K3" s="53" t="s">
        <v>1371</v>
      </c>
      <c r="L3" s="54" t="s">
        <v>1372</v>
      </c>
      <c r="M3" s="54" t="s">
        <v>1373</v>
      </c>
      <c r="N3" s="54" t="s">
        <v>779</v>
      </c>
    </row>
    <row r="4" spans="1:14" x14ac:dyDescent="0.2">
      <c r="A4" s="34" t="s">
        <v>1324</v>
      </c>
      <c r="B4" s="33" t="str">
        <f ca="1">INDIRECT("main!"&amp;"J"&amp;B$1+2)</f>
        <v>10.1523/JNEUROSCI.1901-15.2016</v>
      </c>
      <c r="D4" s="54" t="s">
        <v>1361</v>
      </c>
      <c r="E4" s="55">
        <v>0</v>
      </c>
      <c r="F4" s="235">
        <v>-0.27250000000000002</v>
      </c>
      <c r="G4" s="55">
        <f>N4*SQRT(H4)</f>
        <v>0.32410453560541236</v>
      </c>
      <c r="H4" s="55">
        <v>7</v>
      </c>
      <c r="I4">
        <f>H4*F4</f>
        <v>-1.9075000000000002</v>
      </c>
      <c r="J4">
        <f>(H4*(H4-1)*G4^2+I4^2)/H4</f>
        <v>1.1500562500000002</v>
      </c>
      <c r="K4" s="53">
        <f>E4*I4</f>
        <v>0</v>
      </c>
      <c r="L4" s="53">
        <f>E4*H4</f>
        <v>0</v>
      </c>
      <c r="M4" s="53">
        <f>E4^2*H4</f>
        <v>0</v>
      </c>
      <c r="N4" s="235">
        <v>0.1225</v>
      </c>
    </row>
    <row r="5" spans="1:14" ht="33.5" customHeight="1" x14ac:dyDescent="0.2">
      <c r="A5" s="34" t="s">
        <v>1327</v>
      </c>
      <c r="B5" s="33" t="str">
        <f ca="1">INDIRECT("main!"&amp;"M"&amp;B$1+2)</f>
        <v>Healthy subjects (mean age= 22.6, SD = 4.7) recruited from  Brown University and Providence, Rhode Island community</v>
      </c>
      <c r="D5" s="54" t="s">
        <v>1362</v>
      </c>
      <c r="E5" s="55">
        <v>1</v>
      </c>
      <c r="F5" s="55">
        <v>-4.7500000000000001E-2</v>
      </c>
      <c r="G5" s="55">
        <f t="shared" ref="G5:G6" si="0">N5*SQRT(H5)</f>
        <v>0.35908738490790792</v>
      </c>
      <c r="H5" s="55">
        <v>39</v>
      </c>
      <c r="I5">
        <f t="shared" ref="I5:I6" si="1">H5*F5</f>
        <v>-1.8525</v>
      </c>
      <c r="J5">
        <f t="shared" ref="J5:J6" si="2">(H5*(H5-1)*G5^2+I5^2)/H5</f>
        <v>4.987856250000001</v>
      </c>
      <c r="K5" s="53">
        <f t="shared" ref="K5:K6" si="3">E5*I5</f>
        <v>-1.8525</v>
      </c>
      <c r="L5" s="53">
        <f t="shared" ref="L5:L6" si="4">E5*H5</f>
        <v>39</v>
      </c>
      <c r="M5" s="53">
        <f t="shared" ref="M5:M6" si="5">E5^2*H5</f>
        <v>39</v>
      </c>
      <c r="N5" s="235">
        <v>5.7500000000000002E-2</v>
      </c>
    </row>
    <row r="6" spans="1:14" x14ac:dyDescent="0.2">
      <c r="A6" s="34" t="s">
        <v>1333</v>
      </c>
      <c r="B6" s="33" t="str">
        <f ca="1">INDIRECT("main!"&amp;"L"&amp;B$1+2)</f>
        <v>171 (105 Caucasian)</v>
      </c>
      <c r="D6" s="54" t="s">
        <v>1363</v>
      </c>
      <c r="E6" s="55">
        <v>2</v>
      </c>
      <c r="F6" s="55">
        <v>0.14499999999999999</v>
      </c>
      <c r="G6" s="55">
        <f t="shared" si="0"/>
        <v>0.35226942813704398</v>
      </c>
      <c r="H6" s="55">
        <v>55</v>
      </c>
      <c r="I6">
        <f t="shared" si="1"/>
        <v>7.9749999999999996</v>
      </c>
      <c r="J6">
        <f t="shared" si="2"/>
        <v>7.8574374999999987</v>
      </c>
      <c r="K6" s="53">
        <f t="shared" si="3"/>
        <v>15.95</v>
      </c>
      <c r="L6" s="53">
        <f t="shared" si="4"/>
        <v>110</v>
      </c>
      <c r="M6" s="53">
        <f t="shared" si="5"/>
        <v>220</v>
      </c>
      <c r="N6" s="55">
        <v>4.7500000000000001E-2</v>
      </c>
    </row>
    <row r="7" spans="1:14" x14ac:dyDescent="0.2">
      <c r="A7" s="34" t="s">
        <v>1903</v>
      </c>
      <c r="B7" s="33">
        <v>1</v>
      </c>
      <c r="D7" s="54"/>
      <c r="E7" s="55"/>
      <c r="F7" s="55"/>
      <c r="G7" s="55"/>
      <c r="H7" s="55"/>
      <c r="K7" s="53"/>
      <c r="L7" s="53"/>
      <c r="M7" s="53"/>
    </row>
    <row r="8" spans="1:14" x14ac:dyDescent="0.2">
      <c r="A8" s="34" t="s">
        <v>343</v>
      </c>
      <c r="B8" s="33" t="str">
        <f ca="1">INDIRECT("main!"&amp;"q"&amp;B$1+2)</f>
        <v>COMT; PPP1R1B</v>
      </c>
      <c r="D8" s="54" t="s">
        <v>1404</v>
      </c>
      <c r="E8" s="55" t="s">
        <v>1374</v>
      </c>
      <c r="F8" s="55"/>
      <c r="G8" s="55"/>
      <c r="H8" s="55">
        <f>SUM(H4:H6)</f>
        <v>101</v>
      </c>
      <c r="I8" s="55">
        <f>SUM(I4:I6)</f>
        <v>4.2149999999999999</v>
      </c>
      <c r="J8" s="55">
        <f t="shared" ref="J8:M8" si="6">SUM(J4:J6)</f>
        <v>13.99535</v>
      </c>
      <c r="K8" s="55">
        <f t="shared" si="6"/>
        <v>14.0975</v>
      </c>
      <c r="L8" s="55">
        <f t="shared" si="6"/>
        <v>149</v>
      </c>
      <c r="M8" s="55">
        <f t="shared" si="6"/>
        <v>259</v>
      </c>
    </row>
    <row r="9" spans="1:14" ht="13.75" customHeight="1" x14ac:dyDescent="0.2">
      <c r="A9" s="34" t="s">
        <v>1329</v>
      </c>
      <c r="B9" s="33" t="str">
        <f ca="1">INDIRECT("main!"&amp;"R"&amp;B$1+2)</f>
        <v>rs4680 rs907094</v>
      </c>
      <c r="D9" s="53"/>
      <c r="E9" s="55"/>
      <c r="F9" s="55"/>
      <c r="G9" s="55"/>
      <c r="H9" s="55"/>
      <c r="I9" s="55"/>
      <c r="J9" s="55"/>
      <c r="K9" s="53"/>
      <c r="L9" s="53"/>
      <c r="M9" s="53"/>
    </row>
    <row r="10" spans="1:14" ht="73.25" customHeight="1" x14ac:dyDescent="0.2">
      <c r="A10" s="34" t="s">
        <v>1323</v>
      </c>
      <c r="B10" s="33" t="str">
        <f ca="1">INDIRECT("main!"&amp;"O"&amp;B$1+2)</f>
        <v xml:space="preserve">Measures from experimental two-step sequential learning task_x000D_4 measures from 2-step task_x000D_2 measures from transfer phase_x000D_1 measure reflecting difference between model-based and model-free_x000D_Table 3 suggests total of 6 comparisons </v>
      </c>
      <c r="D10" s="53" t="s">
        <v>1406</v>
      </c>
      <c r="E10" s="55"/>
      <c r="F10" s="55"/>
      <c r="G10" s="55"/>
      <c r="H10" s="55"/>
      <c r="I10" s="55"/>
      <c r="J10" s="55"/>
      <c r="K10" s="53"/>
      <c r="L10" s="53"/>
      <c r="M10" s="53"/>
    </row>
    <row r="11" spans="1:14" ht="15.5" customHeight="1" x14ac:dyDescent="0.2">
      <c r="A11" s="34" t="s">
        <v>1396</v>
      </c>
      <c r="B11" s="33" t="str">
        <f ca="1">INDIRECT("main!"&amp;"W"&amp;B$1+2)</f>
        <v>6 multilevel logistic regressions with 2 SNPs</v>
      </c>
      <c r="D11" s="53" t="s">
        <v>1376</v>
      </c>
      <c r="E11" s="55" t="s">
        <v>1377</v>
      </c>
      <c r="F11" s="55">
        <f>($H8*$K8-$L8*$I8)/($H8*$M8-$L8^2)</f>
        <v>0.20106430015159174</v>
      </c>
      <c r="G11" s="55"/>
      <c r="H11" s="55"/>
      <c r="I11" s="55"/>
      <c r="J11" s="55"/>
      <c r="K11" s="53"/>
      <c r="L11" s="53"/>
      <c r="M11" s="53"/>
    </row>
    <row r="12" spans="1:14" ht="32.75" customHeight="1" x14ac:dyDescent="0.2">
      <c r="A12" s="34" t="s">
        <v>1896</v>
      </c>
      <c r="B12" s="57" t="str">
        <f ca="1">INDIRECT("main!"&amp;"Y"&amp;B$1+2)&amp;" (From fig 5a)"</f>
        <v>DARPP-32 T alleles associated with learning from positive relative to negative outcomes (From fig 5a)</v>
      </c>
      <c r="D12" s="53"/>
      <c r="E12" s="53" t="s">
        <v>1378</v>
      </c>
      <c r="F12" s="55">
        <f>($H8*$K8-$L8*$I8)/SQRT(($H8*$M8-$L8^2)*($H8*$J8-$I8^2))</f>
        <v>0.33858432300086005</v>
      </c>
      <c r="G12" s="53"/>
      <c r="H12" s="53"/>
      <c r="I12" s="53"/>
      <c r="J12" s="53"/>
      <c r="K12" s="53"/>
      <c r="L12" s="53"/>
      <c r="M12" s="53"/>
    </row>
    <row r="13" spans="1:14" ht="70" customHeight="1" x14ac:dyDescent="0.2">
      <c r="A13" s="34" t="s">
        <v>1326</v>
      </c>
      <c r="B13" s="33" t="str">
        <f ca="1">INDIRECT("main!"&amp;"AZ"&amp;B$1+2)</f>
        <v xml:space="preserve"> Prefrontal function  indexed by polymorphism in COMT gene, affecting dopamine levels in  prefrontal cortex. Striatal function  indexed by  gene coding for DARPP-32, which is densely expressed in the striatum where it is necessary for synaptic plasticity</v>
      </c>
      <c r="D13" s="53"/>
      <c r="E13" s="56" t="s">
        <v>1379</v>
      </c>
      <c r="F13" s="53">
        <f>F12^2</f>
        <v>0.11463934378195073</v>
      </c>
      <c r="G13" s="53"/>
      <c r="H13" s="53"/>
      <c r="I13" s="53"/>
      <c r="J13" s="53"/>
      <c r="K13" s="53"/>
      <c r="L13" s="53"/>
      <c r="M13" s="53"/>
    </row>
    <row r="14" spans="1:14" x14ac:dyDescent="0.2">
      <c r="A14" s="34" t="s">
        <v>1852</v>
      </c>
      <c r="B14" s="33" t="str">
        <f>D4&amp;" (N = "&amp;H4&amp;"); "&amp;D5&amp;" (N = "&amp;H5&amp;"); "&amp;D6&amp;" (N = "&amp;H6&amp;")"</f>
        <v>CC (N = 7); CT (N = 39); TT (N = 55)</v>
      </c>
      <c r="E14" s="53"/>
      <c r="F14" s="53"/>
      <c r="G14" s="53"/>
      <c r="H14" s="53"/>
      <c r="I14" s="53"/>
      <c r="J14" s="53"/>
      <c r="K14" s="53"/>
      <c r="L14" s="53"/>
      <c r="M14" s="53"/>
    </row>
    <row r="15" spans="1:14" x14ac:dyDescent="0.2">
      <c r="A15" s="34" t="s">
        <v>1848</v>
      </c>
      <c r="B15" s="62">
        <f>ABS(F12)</f>
        <v>0.33858432300086005</v>
      </c>
    </row>
    <row r="16" spans="1:14" x14ac:dyDescent="0.2">
      <c r="A16" s="34" t="s">
        <v>1897</v>
      </c>
      <c r="B16" s="62" t="s">
        <v>2058</v>
      </c>
    </row>
    <row r="17" spans="1:10" ht="16" x14ac:dyDescent="0.2">
      <c r="A17" s="204" t="s">
        <v>2189</v>
      </c>
      <c r="B17" s="33">
        <v>0.27400000000000002</v>
      </c>
    </row>
    <row r="18" spans="1:10" x14ac:dyDescent="0.2">
      <c r="A18" s="64" t="s">
        <v>1401</v>
      </c>
      <c r="B18" s="33">
        <v>0.16900000000000001</v>
      </c>
    </row>
    <row r="19" spans="1:10" x14ac:dyDescent="0.2">
      <c r="A19" s="64" t="s">
        <v>1346</v>
      </c>
      <c r="B19" s="33" t="s">
        <v>1405</v>
      </c>
    </row>
    <row r="20" spans="1:10" x14ac:dyDescent="0.2">
      <c r="A20" s="64" t="s">
        <v>1388</v>
      </c>
      <c r="B20" s="33" t="s">
        <v>2169</v>
      </c>
    </row>
    <row r="21" spans="1:10" ht="60" x14ac:dyDescent="0.2">
      <c r="A21" s="64" t="s">
        <v>1390</v>
      </c>
      <c r="B21" s="33" t="s">
        <v>1929</v>
      </c>
      <c r="D21" s="236" t="s">
        <v>2415</v>
      </c>
      <c r="E21" s="236" t="s">
        <v>2416</v>
      </c>
    </row>
    <row r="22" spans="1:10" x14ac:dyDescent="0.2">
      <c r="A22" s="34" t="s">
        <v>1387</v>
      </c>
      <c r="D22" s="236">
        <v>171</v>
      </c>
      <c r="E22" s="236">
        <v>0</v>
      </c>
    </row>
    <row r="24" spans="1:10" s="140" customFormat="1" x14ac:dyDescent="0.2">
      <c r="A24" s="138" t="s">
        <v>1746</v>
      </c>
      <c r="B24" s="139"/>
    </row>
    <row r="25" spans="1:10" s="136" customFormat="1" ht="30" x14ac:dyDescent="0.2">
      <c r="A25" s="137" t="s">
        <v>1753</v>
      </c>
      <c r="B25" s="137" t="s">
        <v>885</v>
      </c>
      <c r="J25" s="136" t="s">
        <v>2360</v>
      </c>
    </row>
    <row r="26" spans="1:10" s="136" customFormat="1" x14ac:dyDescent="0.2">
      <c r="A26" s="137" t="s">
        <v>1681</v>
      </c>
      <c r="B26" s="137">
        <f ca="1">INDIRECT("N_SNPs!"&amp;"L"&amp;B$1+2)</f>
        <v>0</v>
      </c>
      <c r="J26" s="136" t="s">
        <v>2361</v>
      </c>
    </row>
    <row r="27" spans="1:10" s="136" customFormat="1" x14ac:dyDescent="0.2">
      <c r="A27" s="137" t="s">
        <v>1747</v>
      </c>
      <c r="B27" s="137">
        <v>1</v>
      </c>
    </row>
    <row r="28" spans="1:10" s="136" customFormat="1" x14ac:dyDescent="0.2">
      <c r="A28" s="137" t="s">
        <v>1683</v>
      </c>
      <c r="B28" s="137" t="str">
        <f ca="1">INDIRECT("N_SNPs!"&amp;"N"&amp;B$1+2)</f>
        <v>not needed</v>
      </c>
    </row>
    <row r="29" spans="1:10" s="136" customFormat="1" x14ac:dyDescent="0.2">
      <c r="A29" s="137" t="s">
        <v>2171</v>
      </c>
      <c r="B29" s="137">
        <f ca="1">INDIRECT("N_SNPs!"&amp;"O"&amp;B$1+2)</f>
        <v>2</v>
      </c>
    </row>
    <row r="30" spans="1:10" s="136" customFormat="1" ht="30" x14ac:dyDescent="0.2">
      <c r="A30" s="137" t="s">
        <v>2170</v>
      </c>
      <c r="B30" s="137">
        <f ca="1">INDIRECT("N_SNPs!"&amp;"P"&amp;B$1+2)</f>
        <v>1</v>
      </c>
    </row>
    <row r="31" spans="1:10" s="136" customFormat="1" ht="60" x14ac:dyDescent="0.2">
      <c r="A31" s="137" t="s">
        <v>2172</v>
      </c>
      <c r="B31" s="137">
        <v>0</v>
      </c>
    </row>
    <row r="32" spans="1:10" s="136" customFormat="1" x14ac:dyDescent="0.2">
      <c r="A32" s="137" t="s">
        <v>1686</v>
      </c>
      <c r="B32" s="137" t="str">
        <f ca="1">INDIRECT("N_SNPs!"&amp;"R"&amp;B$1+2)</f>
        <v>selected from previous literature</v>
      </c>
    </row>
    <row r="33" spans="1:3" s="172" customFormat="1" x14ac:dyDescent="0.2">
      <c r="A33" s="171" t="s">
        <v>1808</v>
      </c>
      <c r="B33" s="171">
        <v>7</v>
      </c>
    </row>
    <row r="34" spans="1:3" s="172" customFormat="1" x14ac:dyDescent="0.2">
      <c r="A34" s="203" t="s">
        <v>2177</v>
      </c>
      <c r="B34" s="171">
        <v>2</v>
      </c>
    </row>
    <row r="35" spans="1:3" s="172" customFormat="1" ht="60" x14ac:dyDescent="0.2">
      <c r="A35" s="171" t="s">
        <v>1810</v>
      </c>
      <c r="B35" s="171">
        <v>0</v>
      </c>
    </row>
    <row r="36" spans="1:3" s="174" customFormat="1" x14ac:dyDescent="0.2">
      <c r="A36" s="173" t="s">
        <v>1835</v>
      </c>
      <c r="B36" s="173" t="s">
        <v>1752</v>
      </c>
      <c r="C36" s="174" t="s">
        <v>2421</v>
      </c>
    </row>
    <row r="37" spans="1:3" s="174" customFormat="1" x14ac:dyDescent="0.2">
      <c r="A37" s="173" t="s">
        <v>2272</v>
      </c>
      <c r="B37" s="173" t="s">
        <v>1752</v>
      </c>
    </row>
    <row r="38" spans="1:3" s="174" customFormat="1" ht="30" x14ac:dyDescent="0.2">
      <c r="A38" s="173" t="s">
        <v>2299</v>
      </c>
      <c r="B38" s="173" t="s">
        <v>1752</v>
      </c>
    </row>
    <row r="39" spans="1:3" s="174" customFormat="1" x14ac:dyDescent="0.2">
      <c r="A39" s="173" t="s">
        <v>2273</v>
      </c>
      <c r="B39" s="173">
        <v>0</v>
      </c>
    </row>
    <row r="40" spans="1:3" s="174" customFormat="1" ht="30" x14ac:dyDescent="0.2">
      <c r="A40" s="173" t="s">
        <v>2274</v>
      </c>
      <c r="B40" s="173" t="s">
        <v>1752</v>
      </c>
    </row>
    <row r="41" spans="1:3" s="176" customFormat="1" x14ac:dyDescent="0.2">
      <c r="A41" s="175" t="s">
        <v>1815</v>
      </c>
      <c r="B41" s="175" t="s">
        <v>2169</v>
      </c>
    </row>
    <row r="42" spans="1:3" s="176" customFormat="1" x14ac:dyDescent="0.2">
      <c r="A42" s="175" t="s">
        <v>1881</v>
      </c>
      <c r="B42" s="175" t="s">
        <v>1883</v>
      </c>
    </row>
    <row r="43" spans="1:3" x14ac:dyDescent="0.2">
      <c r="A43" s="34" t="s">
        <v>1398</v>
      </c>
    </row>
    <row r="44" spans="1:3" x14ac:dyDescent="0.2">
      <c r="A44" s="34" t="s">
        <v>1410</v>
      </c>
    </row>
    <row r="45" spans="1:3" x14ac:dyDescent="0.2">
      <c r="A45" s="34" t="s">
        <v>2374</v>
      </c>
      <c r="B45" s="33" t="s">
        <v>1752</v>
      </c>
    </row>
    <row r="46" spans="1:3" x14ac:dyDescent="0.2">
      <c r="A46" s="34" t="s">
        <v>1427</v>
      </c>
      <c r="B46" s="66" t="s">
        <v>1636</v>
      </c>
    </row>
    <row r="47" spans="1:3" x14ac:dyDescent="0.2">
      <c r="B47" s="66"/>
    </row>
    <row r="48" spans="1:3" ht="30" x14ac:dyDescent="0.2">
      <c r="A48" s="34" t="s">
        <v>1428</v>
      </c>
      <c r="B48" s="66" t="s">
        <v>1637</v>
      </c>
    </row>
    <row r="49" spans="1:2" x14ac:dyDescent="0.2">
      <c r="A49" s="34" t="s">
        <v>1429</v>
      </c>
      <c r="B49" s="66" t="s">
        <v>1435</v>
      </c>
    </row>
    <row r="50" spans="1:2" ht="75" x14ac:dyDescent="0.2">
      <c r="B50" s="66" t="s">
        <v>1436</v>
      </c>
    </row>
    <row r="51" spans="1:2" x14ac:dyDescent="0.2">
      <c r="B51" s="68" t="s">
        <v>1930</v>
      </c>
    </row>
    <row r="52" spans="1:2" ht="135" x14ac:dyDescent="0.2">
      <c r="B52" s="66" t="s">
        <v>1861</v>
      </c>
    </row>
    <row r="53" spans="1:2" x14ac:dyDescent="0.2">
      <c r="B53" s="66" t="s">
        <v>1430</v>
      </c>
    </row>
    <row r="54" spans="1:2" x14ac:dyDescent="0.2">
      <c r="B54" s="66" t="s">
        <v>1431</v>
      </c>
    </row>
    <row r="55" spans="1:2" x14ac:dyDescent="0.2">
      <c r="B55" s="66" t="s">
        <v>1432</v>
      </c>
    </row>
    <row r="56" spans="1:2" x14ac:dyDescent="0.2">
      <c r="B56" s="66" t="s">
        <v>1433</v>
      </c>
    </row>
    <row r="57" spans="1:2" x14ac:dyDescent="0.2">
      <c r="B57" s="66" t="s">
        <v>1434</v>
      </c>
    </row>
    <row r="59" spans="1:2" x14ac:dyDescent="0.2">
      <c r="B59" s="33" t="s">
        <v>1777</v>
      </c>
    </row>
    <row r="60" spans="1:2" ht="150" x14ac:dyDescent="0.2">
      <c r="B60" s="66" t="s">
        <v>1778</v>
      </c>
    </row>
    <row r="61" spans="1:2" ht="17" x14ac:dyDescent="0.25">
      <c r="B61" s="166"/>
    </row>
    <row r="62" spans="1:2" ht="17" x14ac:dyDescent="0.25">
      <c r="B62" s="166"/>
    </row>
    <row r="63" spans="1:2" ht="17" x14ac:dyDescent="0.25">
      <c r="B63" s="166"/>
    </row>
    <row r="64" spans="1:2" ht="17" x14ac:dyDescent="0.25">
      <c r="B64" s="166"/>
    </row>
    <row r="65" spans="2:2" x14ac:dyDescent="0.2">
      <c r="B65"/>
    </row>
    <row r="66" spans="2:2" ht="17" x14ac:dyDescent="0.25">
      <c r="B66" s="166"/>
    </row>
    <row r="67" spans="2:2" ht="17" x14ac:dyDescent="0.25">
      <c r="B67" s="166"/>
    </row>
    <row r="68" spans="2:2" ht="17" x14ac:dyDescent="0.25">
      <c r="B68" s="166"/>
    </row>
    <row r="69" spans="2:2" ht="17" x14ac:dyDescent="0.25">
      <c r="B69" s="166"/>
    </row>
    <row r="70" spans="2:2" ht="17" x14ac:dyDescent="0.25">
      <c r="B70" s="166"/>
    </row>
    <row r="71" spans="2:2" x14ac:dyDescent="0.2">
      <c r="B71"/>
    </row>
    <row r="72" spans="2:2" ht="17" x14ac:dyDescent="0.25">
      <c r="B72" s="166"/>
    </row>
    <row r="73" spans="2:2" ht="17" x14ac:dyDescent="0.25">
      <c r="B73" s="166"/>
    </row>
    <row r="74" spans="2:2" ht="17" x14ac:dyDescent="0.25">
      <c r="B74" s="166"/>
    </row>
    <row r="75" spans="2:2" ht="17" x14ac:dyDescent="0.25">
      <c r="B75" s="166"/>
    </row>
    <row r="76" spans="2:2" ht="17" x14ac:dyDescent="0.25">
      <c r="B76" s="166"/>
    </row>
  </sheetData>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M70"/>
  <sheetViews>
    <sheetView zoomScale="90" zoomScaleNormal="90" zoomScalePageLayoutView="90" workbookViewId="0">
      <pane xSplit="1" ySplit="1" topLeftCell="B21" activePane="bottomRight" state="frozen"/>
      <selection activeCell="A38" sqref="A38"/>
      <selection pane="topRight" activeCell="A38" sqref="A38"/>
      <selection pane="bottomLeft" activeCell="A38" sqref="A38"/>
      <selection pane="bottomRight" activeCell="C37" sqref="C37"/>
    </sheetView>
  </sheetViews>
  <sheetFormatPr baseColWidth="10" defaultColWidth="9.1640625" defaultRowHeight="15" x14ac:dyDescent="0.2"/>
  <cols>
    <col min="1" max="1" width="42.1640625" style="34" customWidth="1"/>
    <col min="2" max="2" width="65.33203125" style="33" customWidth="1"/>
    <col min="4" max="4" width="26" customWidth="1"/>
    <col min="5" max="5" width="12" bestFit="1" customWidth="1"/>
    <col min="7" max="7" width="11.5" bestFit="1" customWidth="1"/>
  </cols>
  <sheetData>
    <row r="1" spans="1:13" s="58" customFormat="1" x14ac:dyDescent="0.2">
      <c r="A1" s="63" t="s">
        <v>1360</v>
      </c>
      <c r="B1" s="57">
        <v>2</v>
      </c>
      <c r="D1" s="52" t="s">
        <v>1851</v>
      </c>
      <c r="E1" s="52"/>
      <c r="F1" s="52"/>
      <c r="G1" s="52"/>
      <c r="H1" s="52"/>
      <c r="I1" s="52"/>
      <c r="J1" s="52"/>
      <c r="K1" s="52"/>
      <c r="L1" s="52"/>
      <c r="M1" s="52"/>
    </row>
    <row r="2" spans="1:13" ht="30" x14ac:dyDescent="0.2">
      <c r="A2" s="34" t="s">
        <v>1321</v>
      </c>
      <c r="B2" s="33" t="str">
        <f ca="1">INDIRECT("main!"&amp;"C"&amp;B$1+2)</f>
        <v>Baker, Travis E.; Stockwell, Tim; Barnes, Gordon; Haesevoets, Roderick; Holroyd, Clay B.</v>
      </c>
      <c r="E2" s="53"/>
      <c r="F2" s="53"/>
      <c r="G2" s="53"/>
      <c r="H2" s="53"/>
      <c r="I2" s="53" t="s">
        <v>1382</v>
      </c>
      <c r="J2" s="53"/>
      <c r="K2" s="53"/>
      <c r="L2" s="53"/>
      <c r="M2" s="53"/>
    </row>
    <row r="3" spans="1:13" ht="30" x14ac:dyDescent="0.2">
      <c r="A3" s="34" t="s">
        <v>1322</v>
      </c>
      <c r="B3" s="33" t="str">
        <f ca="1">INDIRECT("main!"&amp;"D"&amp;B$1+2)</f>
        <v>Reward Sensitivity of ACC as an Intermediate Phenotype between DRD4-521T and Substance Misuse</v>
      </c>
      <c r="D3" s="53" t="s">
        <v>1395</v>
      </c>
      <c r="E3" s="53" t="s">
        <v>1366</v>
      </c>
      <c r="F3" s="53" t="s">
        <v>1367</v>
      </c>
      <c r="G3" s="53" t="s">
        <v>1368</v>
      </c>
      <c r="H3" s="54" t="s">
        <v>0</v>
      </c>
      <c r="I3" t="s">
        <v>1369</v>
      </c>
      <c r="J3" t="s">
        <v>1370</v>
      </c>
      <c r="K3" s="53" t="s">
        <v>1371</v>
      </c>
      <c r="L3" s="54" t="s">
        <v>1372</v>
      </c>
      <c r="M3" s="54" t="s">
        <v>1373</v>
      </c>
    </row>
    <row r="4" spans="1:13" x14ac:dyDescent="0.2">
      <c r="A4" s="34" t="s">
        <v>1324</v>
      </c>
      <c r="B4" s="33" t="str">
        <f ca="1">INDIRECT("main!"&amp;"J"&amp;B$1+2)</f>
        <v>10.1162/jocn_a_00905</v>
      </c>
      <c r="D4" s="54" t="s">
        <v>1361</v>
      </c>
      <c r="E4" s="55">
        <v>0</v>
      </c>
      <c r="F4" s="55">
        <v>0.6079</v>
      </c>
      <c r="G4" s="55">
        <v>0.40599000000000002</v>
      </c>
      <c r="H4" s="55">
        <v>43</v>
      </c>
      <c r="I4">
        <f>H4*F4</f>
        <v>26.139700000000001</v>
      </c>
      <c r="J4">
        <f>(H4*(H4-1)*G4^2+I4^2)/H4</f>
        <v>22.813094594200003</v>
      </c>
      <c r="K4" s="53">
        <f>E4*I4</f>
        <v>0</v>
      </c>
      <c r="L4" s="53">
        <f>E4*H4</f>
        <v>0</v>
      </c>
      <c r="M4" s="53">
        <f>E4^2*H4</f>
        <v>0</v>
      </c>
    </row>
    <row r="5" spans="1:13" ht="33.5" customHeight="1" x14ac:dyDescent="0.2">
      <c r="A5" s="34" t="s">
        <v>1327</v>
      </c>
      <c r="B5" s="33" t="str">
        <f ca="1">INDIRECT("main!"&amp;"M"&amp;B$1+2)</f>
        <v>Undergraduate students  (psychology course)</v>
      </c>
      <c r="D5" s="54" t="s">
        <v>1362</v>
      </c>
      <c r="E5" s="55">
        <v>1</v>
      </c>
      <c r="F5" s="55">
        <v>0.69899999999999995</v>
      </c>
      <c r="G5" s="55">
        <v>0.44368999999999997</v>
      </c>
      <c r="H5" s="55">
        <v>107</v>
      </c>
      <c r="I5">
        <f t="shared" ref="I5:I6" si="0">H5*F5</f>
        <v>74.792999999999992</v>
      </c>
      <c r="J5">
        <f t="shared" ref="J5:J6" si="1">(H5*(H5-1)*G5^2+I5^2)/H5</f>
        <v>73.147553506599976</v>
      </c>
      <c r="K5" s="53">
        <f t="shared" ref="K5:K6" si="2">E5*I5</f>
        <v>74.792999999999992</v>
      </c>
      <c r="L5" s="53">
        <f t="shared" ref="L5:L6" si="3">E5*H5</f>
        <v>107</v>
      </c>
      <c r="M5" s="53">
        <f t="shared" ref="M5:M6" si="4">E5^2*H5</f>
        <v>107</v>
      </c>
    </row>
    <row r="6" spans="1:13" x14ac:dyDescent="0.2">
      <c r="A6" s="34" t="s">
        <v>1333</v>
      </c>
      <c r="B6" s="33">
        <f ca="1">INDIRECT("main!"&amp;"L"&amp;B$1+2)</f>
        <v>195</v>
      </c>
      <c r="D6" s="54" t="s">
        <v>1363</v>
      </c>
      <c r="E6" s="55">
        <v>2</v>
      </c>
      <c r="F6" s="55">
        <v>0.8125</v>
      </c>
      <c r="G6" s="55">
        <v>0.42349999999999999</v>
      </c>
      <c r="H6" s="55">
        <v>45</v>
      </c>
      <c r="I6">
        <f t="shared" si="0"/>
        <v>36.5625</v>
      </c>
      <c r="J6">
        <f t="shared" si="1"/>
        <v>37.598530250000003</v>
      </c>
      <c r="K6" s="53">
        <f t="shared" si="2"/>
        <v>73.125</v>
      </c>
      <c r="L6" s="53">
        <f t="shared" si="3"/>
        <v>90</v>
      </c>
      <c r="M6" s="53">
        <f t="shared" si="4"/>
        <v>180</v>
      </c>
    </row>
    <row r="7" spans="1:13" x14ac:dyDescent="0.2">
      <c r="A7" s="34" t="s">
        <v>1903</v>
      </c>
      <c r="B7" s="33">
        <v>1</v>
      </c>
      <c r="D7" s="54"/>
      <c r="E7" s="55"/>
      <c r="F7" s="55"/>
      <c r="G7" s="55"/>
      <c r="H7" s="55"/>
      <c r="K7" s="53"/>
      <c r="L7" s="53"/>
      <c r="M7" s="53"/>
    </row>
    <row r="8" spans="1:13" x14ac:dyDescent="0.2">
      <c r="A8" s="34" t="s">
        <v>343</v>
      </c>
      <c r="B8" s="33" t="str">
        <f ca="1">INDIRECT("main!"&amp;"q"&amp;B$1+2)</f>
        <v>DRD4; COMT</v>
      </c>
      <c r="D8" s="54" t="s">
        <v>1404</v>
      </c>
      <c r="E8" s="55"/>
      <c r="F8" s="55"/>
      <c r="G8" s="55"/>
      <c r="H8" s="55">
        <f>SUM(H4:H6)</f>
        <v>195</v>
      </c>
      <c r="I8" s="55">
        <f>SUM(I4:I6)</f>
        <v>137.49520000000001</v>
      </c>
      <c r="J8" s="55">
        <f t="shared" ref="J8:M8" si="5">SUM(J4:J6)</f>
        <v>133.55917835079998</v>
      </c>
      <c r="K8" s="55">
        <f t="shared" si="5"/>
        <v>147.91800000000001</v>
      </c>
      <c r="L8" s="55">
        <f t="shared" si="5"/>
        <v>197</v>
      </c>
      <c r="M8" s="55">
        <f t="shared" si="5"/>
        <v>287</v>
      </c>
    </row>
    <row r="9" spans="1:13" ht="13.75" customHeight="1" x14ac:dyDescent="0.2">
      <c r="A9" s="34" t="s">
        <v>1329</v>
      </c>
      <c r="B9" s="33" t="str">
        <f ca="1">INDIRECT("main!"&amp;"R"&amp;B$1+2)</f>
        <v>rs1800955 rs12720364 rs4680</v>
      </c>
      <c r="D9" s="53"/>
      <c r="E9" s="55"/>
      <c r="F9" s="55"/>
      <c r="G9" s="55"/>
      <c r="H9" s="55"/>
      <c r="I9" s="55"/>
      <c r="J9" s="55"/>
      <c r="K9" s="53"/>
      <c r="L9" s="53"/>
      <c r="M9" s="53"/>
    </row>
    <row r="10" spans="1:13" ht="48.75" customHeight="1" x14ac:dyDescent="0.2">
      <c r="A10" s="34" t="s">
        <v>1323</v>
      </c>
      <c r="B10" s="33" t="str">
        <f ca="1">INDIRECT("main!"&amp;"O"&amp;B$1+2)</f>
        <v>Substance misuse (questionnaire); EEG (Theta power, reward positivity ERP amplitude, both at electrode FCz) + Virtual T-Maze reward-based choice task (experimental task giving 2 measures)</v>
      </c>
      <c r="D10" s="53" t="s">
        <v>1406</v>
      </c>
      <c r="E10" s="55"/>
      <c r="F10" s="55"/>
      <c r="G10" s="55"/>
      <c r="H10" s="55"/>
      <c r="I10" s="55"/>
      <c r="J10" s="55"/>
      <c r="K10" s="53"/>
      <c r="L10" s="53"/>
      <c r="M10" s="53"/>
    </row>
    <row r="11" spans="1:13" ht="15.5" customHeight="1" x14ac:dyDescent="0.2">
      <c r="A11" s="34" t="s">
        <v>1396</v>
      </c>
      <c r="B11" s="33" t="str">
        <f ca="1">INDIRECT("main!"&amp;"W"&amp;B$1+2)</f>
        <v>Structural equation modeling</v>
      </c>
      <c r="D11" s="53" t="s">
        <v>1376</v>
      </c>
      <c r="E11" s="55" t="s">
        <v>1377</v>
      </c>
      <c r="F11" s="55">
        <f>($H8*$K8-$L8*$I8)/($H8*$M8-$L8^2)</f>
        <v>0.1024397062252274</v>
      </c>
      <c r="G11" s="53"/>
      <c r="H11" s="53"/>
      <c r="I11" s="53"/>
      <c r="J11" s="53"/>
      <c r="K11" s="53"/>
      <c r="L11" s="53"/>
      <c r="M11" s="53"/>
    </row>
    <row r="12" spans="1:13" ht="44.75" customHeight="1" x14ac:dyDescent="0.2">
      <c r="A12" s="34" t="s">
        <v>1896</v>
      </c>
      <c r="B12" s="33" t="s">
        <v>1862</v>
      </c>
      <c r="D12" s="53"/>
      <c r="E12" s="53" t="s">
        <v>1378</v>
      </c>
      <c r="F12" s="55">
        <f>($H8*$K8-$L8*$I8)/SQRT(($H8*$M8-$L8^2)*($H8*$J8-$I8^2))</f>
        <v>0.15880139519748426</v>
      </c>
      <c r="G12" s="53"/>
      <c r="H12" s="53"/>
      <c r="I12" s="53"/>
      <c r="J12" s="53"/>
      <c r="K12" s="53"/>
      <c r="L12" s="53"/>
      <c r="M12" s="53"/>
    </row>
    <row r="13" spans="1:13" ht="36" customHeight="1" x14ac:dyDescent="0.2">
      <c r="A13" s="34" t="s">
        <v>1326</v>
      </c>
      <c r="B13" s="33" t="str">
        <f ca="1">INDIRECT("main!"&amp;"AZ"&amp;B$1+2)</f>
        <v>Electrophysiological signals mediated a relationship between the DRD4-521T dopamine receptor genotype and substance misuse</v>
      </c>
      <c r="D13" s="53"/>
      <c r="E13" s="56" t="s">
        <v>1379</v>
      </c>
      <c r="F13" s="53">
        <f>F12^2</f>
        <v>2.5217883116667578E-2</v>
      </c>
    </row>
    <row r="14" spans="1:13" x14ac:dyDescent="0.2">
      <c r="A14" s="34" t="s">
        <v>1852</v>
      </c>
      <c r="B14" s="33" t="str">
        <f>D4&amp;" (N = "&amp;H4&amp;"); "&amp;D5&amp;" (N = "&amp;H5&amp;"); "&amp;D6&amp;" (N = "&amp;H6&amp;")"</f>
        <v>CC (N = 43); CT (N = 107); TT (N = 45)</v>
      </c>
    </row>
    <row r="15" spans="1:13" x14ac:dyDescent="0.2">
      <c r="A15" s="34" t="s">
        <v>1848</v>
      </c>
      <c r="B15" s="62">
        <f>ABS(F12)</f>
        <v>0.15880139519748426</v>
      </c>
    </row>
    <row r="16" spans="1:13" x14ac:dyDescent="0.2">
      <c r="A16" s="34" t="s">
        <v>1897</v>
      </c>
      <c r="B16" s="62" t="s">
        <v>2057</v>
      </c>
    </row>
    <row r="17" spans="1:5" ht="16" x14ac:dyDescent="0.2">
      <c r="A17" s="204" t="s">
        <v>2189</v>
      </c>
      <c r="B17" s="33">
        <v>0.19900000000000001</v>
      </c>
    </row>
    <row r="18" spans="1:5" x14ac:dyDescent="0.2">
      <c r="A18" s="64" t="s">
        <v>1401</v>
      </c>
      <c r="B18" s="33">
        <v>0.28499999999999998</v>
      </c>
    </row>
    <row r="19" spans="1:5" x14ac:dyDescent="0.2">
      <c r="A19" s="64" t="s">
        <v>1346</v>
      </c>
      <c r="B19" s="33" t="s">
        <v>1405</v>
      </c>
    </row>
    <row r="20" spans="1:5" x14ac:dyDescent="0.2">
      <c r="A20" s="64" t="s">
        <v>1388</v>
      </c>
      <c r="B20" s="33" t="s">
        <v>1825</v>
      </c>
    </row>
    <row r="21" spans="1:5" ht="60" x14ac:dyDescent="0.2">
      <c r="A21" s="64" t="s">
        <v>1390</v>
      </c>
      <c r="B21" s="33" t="s">
        <v>1929</v>
      </c>
      <c r="D21" s="236" t="s">
        <v>2415</v>
      </c>
      <c r="E21" s="236" t="s">
        <v>2416</v>
      </c>
    </row>
    <row r="22" spans="1:5" ht="30" x14ac:dyDescent="0.2">
      <c r="A22" s="34" t="s">
        <v>1387</v>
      </c>
      <c r="B22" s="33" t="s">
        <v>1409</v>
      </c>
      <c r="D22" s="236">
        <v>195</v>
      </c>
      <c r="E22" s="236">
        <v>0</v>
      </c>
    </row>
    <row r="23" spans="1:5" x14ac:dyDescent="0.2">
      <c r="B23" s="65"/>
    </row>
    <row r="24" spans="1:5" s="140" customFormat="1" x14ac:dyDescent="0.2">
      <c r="A24" s="138" t="s">
        <v>1746</v>
      </c>
      <c r="B24" s="139"/>
    </row>
    <row r="25" spans="1:5" s="136" customFormat="1" ht="30" x14ac:dyDescent="0.2">
      <c r="A25" s="137" t="s">
        <v>1753</v>
      </c>
      <c r="B25" s="137" t="s">
        <v>885</v>
      </c>
    </row>
    <row r="26" spans="1:5" s="136" customFormat="1" x14ac:dyDescent="0.2">
      <c r="A26" s="137" t="s">
        <v>1681</v>
      </c>
      <c r="B26" s="137">
        <f ca="1">INDIRECT("N_SNPs!"&amp;"L"&amp;B$1+2)</f>
        <v>0</v>
      </c>
    </row>
    <row r="27" spans="1:5" s="136" customFormat="1" x14ac:dyDescent="0.2">
      <c r="A27" s="137" t="s">
        <v>1747</v>
      </c>
      <c r="B27" s="137">
        <f ca="1">INDIRECT("N_SNPs!"&amp;"M"&amp;B$1+2)</f>
        <v>1</v>
      </c>
    </row>
    <row r="28" spans="1:5" s="136" customFormat="1" x14ac:dyDescent="0.2">
      <c r="A28" s="137" t="s">
        <v>1683</v>
      </c>
      <c r="B28" s="137" t="s">
        <v>1750</v>
      </c>
    </row>
    <row r="29" spans="1:5" s="136" customFormat="1" x14ac:dyDescent="0.2">
      <c r="A29" s="137" t="s">
        <v>2171</v>
      </c>
      <c r="B29" s="137">
        <f ca="1">INDIRECT("N_SNPs!"&amp;"O"&amp;B$1+2)</f>
        <v>3</v>
      </c>
    </row>
    <row r="30" spans="1:5" s="136" customFormat="1" ht="30" x14ac:dyDescent="0.2">
      <c r="A30" s="137" t="s">
        <v>2170</v>
      </c>
      <c r="B30" s="137">
        <v>3</v>
      </c>
    </row>
    <row r="31" spans="1:5" s="136" customFormat="1" ht="60" x14ac:dyDescent="0.2">
      <c r="A31" s="137" t="s">
        <v>2172</v>
      </c>
      <c r="B31" s="137">
        <v>3</v>
      </c>
    </row>
    <row r="32" spans="1:5" s="136" customFormat="1" x14ac:dyDescent="0.2">
      <c r="A32" s="137" t="s">
        <v>1686</v>
      </c>
      <c r="B32" s="137" t="str">
        <f ca="1">INDIRECT("N_SNPs!"&amp;"R"&amp;B$1+2)</f>
        <v>no correction reported?</v>
      </c>
    </row>
    <row r="33" spans="1:3" s="172" customFormat="1" x14ac:dyDescent="0.2">
      <c r="A33" s="171" t="s">
        <v>1808</v>
      </c>
      <c r="B33" s="171">
        <v>5</v>
      </c>
    </row>
    <row r="34" spans="1:3" s="172" customFormat="1" x14ac:dyDescent="0.2">
      <c r="A34" s="203" t="s">
        <v>2177</v>
      </c>
      <c r="B34" s="171">
        <v>1</v>
      </c>
    </row>
    <row r="35" spans="1:3" s="172" customFormat="1" ht="60" x14ac:dyDescent="0.2">
      <c r="A35" s="171" t="s">
        <v>1810</v>
      </c>
      <c r="B35" s="171">
        <v>3</v>
      </c>
    </row>
    <row r="36" spans="1:3" s="174" customFormat="1" x14ac:dyDescent="0.2">
      <c r="A36" s="173" t="s">
        <v>1835</v>
      </c>
      <c r="B36" s="173" t="s">
        <v>1752</v>
      </c>
      <c r="C36" s="174" t="s">
        <v>2421</v>
      </c>
    </row>
    <row r="37" spans="1:3" s="174" customFormat="1" x14ac:dyDescent="0.2">
      <c r="A37" s="173" t="s">
        <v>2272</v>
      </c>
      <c r="B37" s="173" t="s">
        <v>1752</v>
      </c>
    </row>
    <row r="38" spans="1:3" s="174" customFormat="1" ht="30" x14ac:dyDescent="0.2">
      <c r="A38" s="173" t="s">
        <v>2299</v>
      </c>
      <c r="B38" s="173" t="s">
        <v>1752</v>
      </c>
    </row>
    <row r="39" spans="1:3" s="174" customFormat="1" x14ac:dyDescent="0.2">
      <c r="A39" s="173" t="s">
        <v>2273</v>
      </c>
      <c r="B39" s="180" t="s">
        <v>1752</v>
      </c>
    </row>
    <row r="40" spans="1:3" s="174" customFormat="1" ht="30" x14ac:dyDescent="0.2">
      <c r="A40" s="173" t="s">
        <v>2274</v>
      </c>
      <c r="B40" s="173">
        <v>5</v>
      </c>
    </row>
    <row r="41" spans="1:3" s="176" customFormat="1" x14ac:dyDescent="0.2">
      <c r="A41" s="175" t="s">
        <v>1815</v>
      </c>
      <c r="B41" s="175" t="s">
        <v>2181</v>
      </c>
    </row>
    <row r="42" spans="1:3" s="176" customFormat="1" x14ac:dyDescent="0.2">
      <c r="A42" s="175" t="s">
        <v>1881</v>
      </c>
      <c r="B42" s="175" t="s">
        <v>1506</v>
      </c>
    </row>
    <row r="43" spans="1:3" x14ac:dyDescent="0.2">
      <c r="A43" s="34" t="s">
        <v>1398</v>
      </c>
    </row>
    <row r="44" spans="1:3" x14ac:dyDescent="0.2">
      <c r="A44" s="34" t="s">
        <v>1399</v>
      </c>
    </row>
    <row r="45" spans="1:3" x14ac:dyDescent="0.2">
      <c r="A45" s="34" t="s">
        <v>2374</v>
      </c>
      <c r="B45" s="33" t="s">
        <v>1752</v>
      </c>
    </row>
    <row r="46" spans="1:3" x14ac:dyDescent="0.2">
      <c r="A46" s="34" t="s">
        <v>1416</v>
      </c>
      <c r="B46" s="33" t="s">
        <v>1634</v>
      </c>
    </row>
    <row r="48" spans="1:3" x14ac:dyDescent="0.2">
      <c r="A48" s="34" t="s">
        <v>1629</v>
      </c>
      <c r="B48" s="33" t="s">
        <v>1639</v>
      </c>
    </row>
    <row r="49" spans="1:2" ht="120" x14ac:dyDescent="0.2">
      <c r="A49" s="34" t="s">
        <v>1633</v>
      </c>
      <c r="B49" s="33" t="s">
        <v>1635</v>
      </c>
    </row>
    <row r="51" spans="1:2" x14ac:dyDescent="0.2">
      <c r="A51" s="34" t="s">
        <v>1818</v>
      </c>
      <c r="B51" s="177" t="s">
        <v>1817</v>
      </c>
    </row>
    <row r="52" spans="1:2" x14ac:dyDescent="0.2">
      <c r="B52" s="33" t="s">
        <v>1826</v>
      </c>
    </row>
    <row r="53" spans="1:2" x14ac:dyDescent="0.2">
      <c r="B53" s="177" t="s">
        <v>1819</v>
      </c>
    </row>
    <row r="55" spans="1:2" x14ac:dyDescent="0.2">
      <c r="B55" s="177" t="s">
        <v>1820</v>
      </c>
    </row>
    <row r="56" spans="1:2" x14ac:dyDescent="0.2">
      <c r="B56" s="177" t="s">
        <v>1931</v>
      </c>
    </row>
    <row r="57" spans="1:2" x14ac:dyDescent="0.2">
      <c r="B57" s="177" t="s">
        <v>1821</v>
      </c>
    </row>
    <row r="59" spans="1:2" x14ac:dyDescent="0.2">
      <c r="B59" s="177" t="s">
        <v>1822</v>
      </c>
    </row>
    <row r="61" spans="1:2" x14ac:dyDescent="0.2">
      <c r="B61" s="177" t="s">
        <v>1823</v>
      </c>
    </row>
    <row r="63" spans="1:2" x14ac:dyDescent="0.2">
      <c r="B63" s="177" t="s">
        <v>1932</v>
      </c>
    </row>
    <row r="65" spans="2:2" x14ac:dyDescent="0.2">
      <c r="B65" s="177" t="s">
        <v>1824</v>
      </c>
    </row>
    <row r="67" spans="2:2" ht="60" x14ac:dyDescent="0.2">
      <c r="B67" s="33" t="s">
        <v>1827</v>
      </c>
    </row>
    <row r="69" spans="2:2" ht="16" x14ac:dyDescent="0.2">
      <c r="B69" s="178" t="s">
        <v>1828</v>
      </c>
    </row>
    <row r="70" spans="2:2" ht="30" x14ac:dyDescent="0.2">
      <c r="B70" s="33" t="s">
        <v>1829</v>
      </c>
    </row>
  </sheetData>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M49"/>
  <sheetViews>
    <sheetView workbookViewId="0">
      <pane xSplit="1" ySplit="1" topLeftCell="B31" activePane="bottomRight" state="frozen"/>
      <selection activeCell="A38" sqref="A38"/>
      <selection pane="topRight" activeCell="A38" sqref="A38"/>
      <selection pane="bottomLeft" activeCell="A38" sqref="A38"/>
      <selection pane="bottomRight" activeCell="C48" sqref="C48"/>
    </sheetView>
  </sheetViews>
  <sheetFormatPr baseColWidth="10" defaultColWidth="9.1640625" defaultRowHeight="15" x14ac:dyDescent="0.2"/>
  <cols>
    <col min="1" max="1" width="42.1640625" style="34" customWidth="1"/>
    <col min="2" max="2" width="65.33203125" style="33" customWidth="1"/>
    <col min="4" max="4" width="26" customWidth="1"/>
    <col min="6" max="6" width="11.6640625" bestFit="1" customWidth="1"/>
    <col min="7" max="7" width="11.1640625" bestFit="1" customWidth="1"/>
  </cols>
  <sheetData>
    <row r="1" spans="1:13" s="58" customFormat="1" x14ac:dyDescent="0.2">
      <c r="A1" s="63" t="s">
        <v>1360</v>
      </c>
      <c r="B1" s="57">
        <v>1</v>
      </c>
      <c r="D1" s="52" t="s">
        <v>1851</v>
      </c>
      <c r="E1" s="52"/>
      <c r="F1" s="52"/>
      <c r="G1" s="52"/>
      <c r="H1" s="52"/>
      <c r="I1" s="52"/>
      <c r="J1" s="52"/>
      <c r="K1" s="52"/>
      <c r="L1" s="52"/>
      <c r="M1" s="52"/>
    </row>
    <row r="2" spans="1:13" ht="30" x14ac:dyDescent="0.2">
      <c r="A2" s="34" t="s">
        <v>1321</v>
      </c>
      <c r="B2" s="33" t="str">
        <f ca="1">INDIRECT("main!"&amp;"C"&amp;B$1+2)</f>
        <v>Hovey, D.; Lindstedt, M.; Zettergren, A.; Jonsson, L.; Johansson, A.; Melke, J.; Kerekes, N.; Anckarsater, H.; Lichtenstein, P.; Lundstrom, S.; Westberg, L.</v>
      </c>
      <c r="D2" s="53" t="s">
        <v>1381</v>
      </c>
      <c r="E2" s="53"/>
      <c r="F2" s="53"/>
      <c r="G2" s="53"/>
      <c r="H2" s="53"/>
      <c r="I2" s="53" t="s">
        <v>1382</v>
      </c>
      <c r="J2" s="53"/>
      <c r="K2" s="53"/>
      <c r="L2" s="53"/>
      <c r="M2" s="53"/>
    </row>
    <row r="3" spans="1:13" ht="30" x14ac:dyDescent="0.2">
      <c r="A3" s="34" t="s">
        <v>1322</v>
      </c>
      <c r="B3" s="33" t="str">
        <f ca="1">INDIRECT("main!"&amp;"D"&amp;B$1+2)</f>
        <v>Antisocial behavior and polymorphisms in the oxytocin receptor gene: findings in two independent samples</v>
      </c>
      <c r="C3" s="53" t="s">
        <v>1906</v>
      </c>
      <c r="D3" s="53" t="s">
        <v>1395</v>
      </c>
      <c r="E3" s="53" t="s">
        <v>1366</v>
      </c>
      <c r="F3" s="53" t="s">
        <v>1367</v>
      </c>
      <c r="G3" s="53" t="s">
        <v>1368</v>
      </c>
      <c r="H3" s="54" t="s">
        <v>0</v>
      </c>
      <c r="I3" t="s">
        <v>1369</v>
      </c>
      <c r="J3" t="s">
        <v>1370</v>
      </c>
      <c r="K3" s="53" t="s">
        <v>1371</v>
      </c>
      <c r="L3" s="54" t="s">
        <v>1372</v>
      </c>
      <c r="M3" s="54" t="s">
        <v>1373</v>
      </c>
    </row>
    <row r="4" spans="1:13" x14ac:dyDescent="0.2">
      <c r="A4" s="34" t="s">
        <v>1324</v>
      </c>
      <c r="B4" s="33" t="str">
        <f ca="1">INDIRECT("main!"&amp;"J"&amp;B$1+2)</f>
        <v>10.1038/mp.2015.144</v>
      </c>
      <c r="D4" s="54" t="s">
        <v>1305</v>
      </c>
      <c r="E4" s="55">
        <v>0</v>
      </c>
      <c r="F4" s="55">
        <v>2.44</v>
      </c>
      <c r="G4" s="55">
        <v>3.98</v>
      </c>
      <c r="H4" s="55">
        <v>88</v>
      </c>
      <c r="I4">
        <f>H4*F4</f>
        <v>214.72</v>
      </c>
      <c r="J4">
        <f>(H4*(H4-1)*G4^2+I4^2)/H4</f>
        <v>1902.0316</v>
      </c>
      <c r="K4" s="53">
        <f>E4*I4</f>
        <v>0</v>
      </c>
      <c r="L4" s="53">
        <f>E4*H4</f>
        <v>0</v>
      </c>
      <c r="M4" s="53">
        <f>E4^2*H4</f>
        <v>0</v>
      </c>
    </row>
    <row r="5" spans="1:13" ht="46" customHeight="1" x14ac:dyDescent="0.2">
      <c r="A5" s="34" t="s">
        <v>1327</v>
      </c>
      <c r="B5" s="33" t="str">
        <f ca="1">INDIRECT("main!"&amp;"M"&amp;B$1+2)</f>
        <v>Discovery sample (D) Child and Adolescent Twin Study in Sweden (CATSS); Replication sample (R) Twin Study of Child and Adolescent Development (TCHAD); age 16-20; analysed boys, girls and boys+girls</v>
      </c>
      <c r="D5" s="54" t="s">
        <v>1437</v>
      </c>
      <c r="E5" s="55">
        <v>1</v>
      </c>
      <c r="F5" s="55">
        <v>1.0900000000000001</v>
      </c>
      <c r="G5" s="55">
        <v>1.81</v>
      </c>
      <c r="H5" s="55">
        <v>386</v>
      </c>
      <c r="I5">
        <f t="shared" ref="I5:I6" si="0">H5*F5</f>
        <v>420.74</v>
      </c>
      <c r="J5">
        <f t="shared" ref="J5:J6" si="1">(H5*(H5-1)*G5^2+I5^2)/H5</f>
        <v>1719.9051000000002</v>
      </c>
      <c r="K5" s="53">
        <f t="shared" ref="K5:K6" si="2">E5*I5</f>
        <v>420.74</v>
      </c>
      <c r="L5" s="53">
        <f t="shared" ref="L5:L6" si="3">E5*H5</f>
        <v>386</v>
      </c>
      <c r="M5" s="53">
        <f t="shared" ref="M5:M6" si="4">E5^2*H5</f>
        <v>386</v>
      </c>
    </row>
    <row r="6" spans="1:13" x14ac:dyDescent="0.2">
      <c r="A6" s="34" t="s">
        <v>1333</v>
      </c>
      <c r="B6" s="33" t="str">
        <f ca="1">INDIRECT("main!"&amp;"L"&amp;B$1+2)</f>
        <v>D=2372; R=1232</v>
      </c>
      <c r="D6" s="54" t="s">
        <v>1308</v>
      </c>
      <c r="E6" s="55">
        <v>2</v>
      </c>
      <c r="F6" s="55">
        <v>1.36</v>
      </c>
      <c r="G6" s="55">
        <v>2.39</v>
      </c>
      <c r="H6" s="55">
        <v>525</v>
      </c>
      <c r="I6">
        <f t="shared" si="0"/>
        <v>714</v>
      </c>
      <c r="J6">
        <f t="shared" si="1"/>
        <v>3964.1804000000002</v>
      </c>
      <c r="K6" s="53">
        <f t="shared" si="2"/>
        <v>1428</v>
      </c>
      <c r="L6" s="53">
        <f t="shared" si="3"/>
        <v>1050</v>
      </c>
      <c r="M6" s="53">
        <f t="shared" si="4"/>
        <v>2100</v>
      </c>
    </row>
    <row r="7" spans="1:13" x14ac:dyDescent="0.2">
      <c r="A7" s="34" t="s">
        <v>1903</v>
      </c>
      <c r="B7" s="33">
        <v>2</v>
      </c>
      <c r="D7" s="52" t="s">
        <v>1908</v>
      </c>
      <c r="E7" s="188">
        <v>1</v>
      </c>
      <c r="F7" s="188">
        <f>(F5*H5+F6*H6)/(H5+H6)</f>
        <v>1.2455982436882547</v>
      </c>
      <c r="G7" s="188">
        <f>SQRT(((H5-1)*G5^2+(H6-1)*G6^2)/(H7-2))</f>
        <v>2.1634118482347526</v>
      </c>
      <c r="H7" s="188">
        <f>H5+H6</f>
        <v>911</v>
      </c>
      <c r="I7" s="58">
        <f t="shared" ref="I7" si="5">H7*F7</f>
        <v>1134.74</v>
      </c>
      <c r="J7" s="58">
        <f t="shared" ref="J7" si="6">(H7*(H7-1)*G7^2+I7^2)/H7</f>
        <v>5672.5494018678937</v>
      </c>
      <c r="K7" s="52">
        <f t="shared" ref="K7" si="7">E7*I7</f>
        <v>1134.74</v>
      </c>
      <c r="L7" s="52">
        <f t="shared" ref="L7" si="8">E7*H7</f>
        <v>911</v>
      </c>
      <c r="M7" s="52">
        <f t="shared" ref="M7" si="9">E7^2*H7</f>
        <v>911</v>
      </c>
    </row>
    <row r="8" spans="1:13" x14ac:dyDescent="0.2">
      <c r="A8" s="34" t="s">
        <v>343</v>
      </c>
      <c r="B8" s="33" t="str">
        <f ca="1">INDIRECT("main!"&amp;"q"&amp;B$1+2)</f>
        <v>OXTR</v>
      </c>
      <c r="D8" s="54" t="s">
        <v>1404</v>
      </c>
      <c r="E8" s="55" t="s">
        <v>1374</v>
      </c>
      <c r="F8" s="55"/>
      <c r="G8" s="55"/>
      <c r="H8" s="55">
        <f>SUM(H4:H6)</f>
        <v>999</v>
      </c>
      <c r="I8" s="55">
        <f>SUM(I4:I6)</f>
        <v>1349.46</v>
      </c>
      <c r="J8" s="55">
        <f t="shared" ref="J8:M8" si="10">SUM(J4:J6)</f>
        <v>7586.1171000000004</v>
      </c>
      <c r="K8" s="55">
        <f t="shared" si="10"/>
        <v>1848.74</v>
      </c>
      <c r="L8" s="55">
        <f t="shared" si="10"/>
        <v>1436</v>
      </c>
      <c r="M8" s="55">
        <f t="shared" si="10"/>
        <v>2486</v>
      </c>
    </row>
    <row r="9" spans="1:13" ht="34.5" customHeight="1" x14ac:dyDescent="0.2">
      <c r="A9" s="34" t="s">
        <v>1329</v>
      </c>
      <c r="B9" s="33" t="str">
        <f ca="1">INDIRECT("main!"&amp;"R"&amp;B$1+2)</f>
        <v>rs75775 rs2268498 rs4564970 rs53576 rs2254298 rs237887 rs1042778 rs7632287</v>
      </c>
      <c r="D9" s="52" t="s">
        <v>1909</v>
      </c>
      <c r="E9" s="188"/>
      <c r="F9" s="188"/>
      <c r="G9" s="188"/>
      <c r="H9" s="188">
        <f>H4+H7</f>
        <v>999</v>
      </c>
      <c r="I9" s="188">
        <f t="shared" ref="I9:M9" si="11">I4+I7</f>
        <v>1349.46</v>
      </c>
      <c r="J9" s="188">
        <f t="shared" si="11"/>
        <v>7574.581001867894</v>
      </c>
      <c r="K9" s="188">
        <f t="shared" si="11"/>
        <v>1134.74</v>
      </c>
      <c r="L9" s="188">
        <f t="shared" si="11"/>
        <v>911</v>
      </c>
      <c r="M9" s="188">
        <f t="shared" si="11"/>
        <v>911</v>
      </c>
    </row>
    <row r="10" spans="1:13" ht="29.25" customHeight="1" x14ac:dyDescent="0.2">
      <c r="A10" s="34" t="s">
        <v>1323</v>
      </c>
      <c r="B10" s="33" t="str">
        <f ca="1">INDIRECT("main!"&amp;"O"&amp;B$1+2)</f>
        <v>4 measures of antisocial behaviour (2 questionnaires each giving 2 measures)</v>
      </c>
      <c r="D10" s="53" t="s">
        <v>1406</v>
      </c>
      <c r="E10" s="55"/>
      <c r="F10" s="55"/>
      <c r="G10" s="55"/>
      <c r="H10" s="55" t="s">
        <v>1907</v>
      </c>
      <c r="I10" s="55"/>
      <c r="J10" s="55"/>
      <c r="K10" s="53"/>
      <c r="L10" s="53"/>
      <c r="M10" s="53"/>
    </row>
    <row r="11" spans="1:13" ht="24.75" customHeight="1" x14ac:dyDescent="0.2">
      <c r="A11" s="34" t="s">
        <v>1396</v>
      </c>
      <c r="B11" s="33" t="str">
        <f ca="1">INDIRECT("main!"&amp;"W"&amp;B$1+2)</f>
        <v>Linear mixed effect model, adjusting for dependencies between twins</v>
      </c>
      <c r="D11" s="53" t="s">
        <v>1376</v>
      </c>
      <c r="E11" s="55" t="s">
        <v>1377</v>
      </c>
      <c r="F11" s="55">
        <f>($H8*$K8-$L8*$I8)/($H8*$M8-$L8^2)</f>
        <v>-0.21577934497339946</v>
      </c>
      <c r="G11" s="53"/>
      <c r="H11" s="55">
        <f>($H9*$K9-$L9*$I9)/($H9*$M9-$L9^2)</f>
        <v>-1.1944017563117459</v>
      </c>
      <c r="I11" s="53"/>
      <c r="J11" s="53"/>
      <c r="K11" s="53"/>
      <c r="L11" s="53"/>
      <c r="M11" s="53"/>
    </row>
    <row r="12" spans="1:13" ht="29" customHeight="1" x14ac:dyDescent="0.2">
      <c r="A12" s="34" t="s">
        <v>1896</v>
      </c>
      <c r="B12" s="33" t="str">
        <f ca="1">INDIRECT("main!"&amp;"Y"&amp;B$1+2)</f>
        <v>rs7632287 associated with overt aggression in boys, recessive model, discovery sample</v>
      </c>
      <c r="D12" s="53"/>
      <c r="E12" s="53" t="s">
        <v>1378</v>
      </c>
      <c r="F12" s="55">
        <f>($H8*$K8-$L8*$I8)/SQRT(($H8*$M8-$L8^2)*($H8*$J8-$I8^2))</f>
        <v>-5.8378087672820746E-2</v>
      </c>
      <c r="G12" s="53"/>
      <c r="H12" s="55">
        <f>($H9*$K9-$L9*$I9)/SQRT(($H9*$M9-$L9^2)*($H9*$J9-$I9^2))</f>
        <v>-0.141081316183089</v>
      </c>
      <c r="I12" s="53"/>
      <c r="J12" s="53"/>
      <c r="K12" s="53"/>
      <c r="L12" s="53"/>
      <c r="M12" s="53"/>
    </row>
    <row r="13" spans="1:13" ht="36" customHeight="1" x14ac:dyDescent="0.2">
      <c r="A13" s="34" t="s">
        <v>1326</v>
      </c>
      <c r="B13" s="33" t="str">
        <f ca="1">INDIRECT("main!"&amp;"AZ"&amp;B$1+2)</f>
        <v>rs7632287 and rs4564970 polymorphisms in OXTR may independently affect antisocial behaviour in adolescent boys</v>
      </c>
      <c r="D13" s="53"/>
      <c r="E13" s="56" t="s">
        <v>1379</v>
      </c>
      <c r="F13" s="53">
        <f>F12^2</f>
        <v>3.4080011203355457E-3</v>
      </c>
      <c r="H13" s="53">
        <f>H12^2</f>
        <v>1.9903937775952729E-2</v>
      </c>
    </row>
    <row r="14" spans="1:13" x14ac:dyDescent="0.2">
      <c r="A14" s="34" t="s">
        <v>1852</v>
      </c>
      <c r="B14" s="33" t="str">
        <f>D4&amp;" (N = "&amp;H4&amp;"); "&amp;D5&amp;" (N = "&amp;H5&amp;"); "&amp;D6&amp;"(N = "&amp;H6&amp;")"</f>
        <v>AA (N = 88); AG (N = 386); GG(N = 525)</v>
      </c>
    </row>
    <row r="15" spans="1:13" x14ac:dyDescent="0.2">
      <c r="A15" s="34" t="s">
        <v>1848</v>
      </c>
      <c r="B15" s="62">
        <f>ABS(H12)</f>
        <v>0.141081316183089</v>
      </c>
      <c r="D15" s="58" t="s">
        <v>1438</v>
      </c>
      <c r="E15" s="58"/>
      <c r="F15" s="58"/>
    </row>
    <row r="16" spans="1:13" x14ac:dyDescent="0.2">
      <c r="A16" s="34" t="s">
        <v>1897</v>
      </c>
      <c r="B16" s="62" t="s">
        <v>1905</v>
      </c>
      <c r="D16" s="58"/>
      <c r="E16" s="58"/>
      <c r="F16" s="58"/>
    </row>
    <row r="17" spans="1:6" ht="16" x14ac:dyDescent="0.2">
      <c r="A17" s="204" t="s">
        <v>2189</v>
      </c>
      <c r="B17" s="33">
        <v>8.8999999999999996E-2</v>
      </c>
      <c r="D17" t="s">
        <v>1439</v>
      </c>
      <c r="E17" t="s">
        <v>1440</v>
      </c>
      <c r="F17" t="s">
        <v>1378</v>
      </c>
    </row>
    <row r="18" spans="1:6" x14ac:dyDescent="0.2">
      <c r="A18" s="64" t="s">
        <v>1401</v>
      </c>
      <c r="B18" s="33">
        <v>0.88600000000000001</v>
      </c>
      <c r="D18">
        <v>1.4999999999999999E-7</v>
      </c>
      <c r="E18">
        <f>TINV(D18,H9-2)</f>
        <v>5.2904493332534326</v>
      </c>
      <c r="F18">
        <f>SQRT(E18^2/(E18^2+H9))</f>
        <v>0.16508579077160221</v>
      </c>
    </row>
    <row r="19" spans="1:6" x14ac:dyDescent="0.2">
      <c r="A19" s="64" t="s">
        <v>1346</v>
      </c>
      <c r="B19" s="33" t="s">
        <v>1675</v>
      </c>
    </row>
    <row r="20" spans="1:6" x14ac:dyDescent="0.2">
      <c r="A20" s="64" t="s">
        <v>1388</v>
      </c>
      <c r="B20" s="33" t="s">
        <v>2358</v>
      </c>
    </row>
    <row r="21" spans="1:6" ht="60" x14ac:dyDescent="0.2">
      <c r="A21" s="64" t="s">
        <v>1390</v>
      </c>
      <c r="B21" s="33" t="s">
        <v>1400</v>
      </c>
      <c r="D21" s="236" t="s">
        <v>2415</v>
      </c>
      <c r="E21" s="236" t="s">
        <v>2416</v>
      </c>
    </row>
    <row r="22" spans="1:6" ht="72.75" customHeight="1" x14ac:dyDescent="0.2">
      <c r="A22" s="34" t="s">
        <v>1387</v>
      </c>
      <c r="B22" s="33" t="str">
        <f ca="1">INDIRECT("main!"&amp;"AY"&amp;B$1+2)</f>
        <v>Our calculations of effect size and power do not take into account dependencies in data from use of twin samples. Authors used statistical methods that allowed for dependencies in twin data. This may account for some discrepancies with our computed values</v>
      </c>
      <c r="D22" s="236">
        <v>2372</v>
      </c>
      <c r="E22" s="236">
        <v>1232</v>
      </c>
    </row>
    <row r="24" spans="1:6" s="140" customFormat="1" x14ac:dyDescent="0.2">
      <c r="A24" s="138" t="s">
        <v>1746</v>
      </c>
      <c r="B24" s="139"/>
    </row>
    <row r="25" spans="1:6" s="136" customFormat="1" ht="30" x14ac:dyDescent="0.2">
      <c r="A25" s="137" t="s">
        <v>1753</v>
      </c>
      <c r="B25" s="137" t="s">
        <v>2257</v>
      </c>
    </row>
    <row r="26" spans="1:6" s="136" customFormat="1" x14ac:dyDescent="0.2">
      <c r="A26" s="137" t="s">
        <v>1681</v>
      </c>
      <c r="B26" s="137" t="str">
        <f ca="1">INDIRECT("N_SNPs!"&amp;"L"&amp;B$1+2)</f>
        <v>only for secondary analysis of transcription</v>
      </c>
    </row>
    <row r="27" spans="1:6" s="136" customFormat="1" x14ac:dyDescent="0.2">
      <c r="A27" s="137" t="s">
        <v>1747</v>
      </c>
      <c r="B27" s="137">
        <v>2</v>
      </c>
    </row>
    <row r="28" spans="1:6" s="136" customFormat="1" x14ac:dyDescent="0.2">
      <c r="A28" s="137" t="s">
        <v>1683</v>
      </c>
      <c r="B28" s="137" t="s">
        <v>2262</v>
      </c>
    </row>
    <row r="29" spans="1:6" s="136" customFormat="1" x14ac:dyDescent="0.2">
      <c r="A29" s="137" t="s">
        <v>2171</v>
      </c>
      <c r="B29" s="137">
        <v>8</v>
      </c>
    </row>
    <row r="30" spans="1:6" s="136" customFormat="1" ht="30" x14ac:dyDescent="0.2">
      <c r="A30" s="137" t="s">
        <v>2170</v>
      </c>
      <c r="B30" s="137">
        <v>3</v>
      </c>
    </row>
    <row r="31" spans="1:6" s="136" customFormat="1" ht="60" x14ac:dyDescent="0.2">
      <c r="A31" s="137" t="s">
        <v>2172</v>
      </c>
      <c r="B31" s="137">
        <v>1</v>
      </c>
    </row>
    <row r="32" spans="1:6" s="136" customFormat="1" x14ac:dyDescent="0.2">
      <c r="A32" s="137" t="s">
        <v>1686</v>
      </c>
      <c r="B32" s="137" t="str">
        <f ca="1">INDIRECT("N_SNPs!"&amp;"R"&amp;B$1+2)</f>
        <v>8 SNPs were preselected from other literature .</v>
      </c>
    </row>
    <row r="33" spans="1:3" s="172" customFormat="1" x14ac:dyDescent="0.2">
      <c r="A33" s="171" t="s">
        <v>1808</v>
      </c>
      <c r="B33" s="171">
        <v>4</v>
      </c>
    </row>
    <row r="34" spans="1:3" s="172" customFormat="1" x14ac:dyDescent="0.2">
      <c r="A34" s="203" t="s">
        <v>2177</v>
      </c>
      <c r="B34" s="171">
        <v>2</v>
      </c>
    </row>
    <row r="35" spans="1:3" s="172" customFormat="1" ht="60" x14ac:dyDescent="0.2">
      <c r="A35" s="171" t="s">
        <v>1873</v>
      </c>
      <c r="B35" s="171">
        <v>1</v>
      </c>
    </row>
    <row r="36" spans="1:3" s="174" customFormat="1" x14ac:dyDescent="0.2">
      <c r="A36" s="173" t="s">
        <v>1835</v>
      </c>
      <c r="B36" s="173" t="s">
        <v>1752</v>
      </c>
      <c r="C36" s="174" t="s">
        <v>2421</v>
      </c>
    </row>
    <row r="37" spans="1:3" s="174" customFormat="1" x14ac:dyDescent="0.2">
      <c r="A37" s="173" t="s">
        <v>2272</v>
      </c>
      <c r="B37" s="173" t="s">
        <v>1752</v>
      </c>
    </row>
    <row r="38" spans="1:3" s="174" customFormat="1" ht="30" x14ac:dyDescent="0.2">
      <c r="A38" s="173" t="s">
        <v>2299</v>
      </c>
      <c r="B38" s="173" t="s">
        <v>1752</v>
      </c>
    </row>
    <row r="39" spans="1:3" s="174" customFormat="1" x14ac:dyDescent="0.2">
      <c r="A39" s="173" t="s">
        <v>2273</v>
      </c>
      <c r="B39" s="173">
        <v>0</v>
      </c>
    </row>
    <row r="40" spans="1:3" s="174" customFormat="1" ht="30" x14ac:dyDescent="0.2">
      <c r="A40" s="173" t="s">
        <v>2274</v>
      </c>
      <c r="B40" s="173" t="s">
        <v>1752</v>
      </c>
    </row>
    <row r="41" spans="1:3" s="176" customFormat="1" ht="45" x14ac:dyDescent="0.2">
      <c r="A41" s="175" t="s">
        <v>1815</v>
      </c>
      <c r="B41" s="66" t="s">
        <v>1816</v>
      </c>
    </row>
    <row r="42" spans="1:3" s="176" customFormat="1" x14ac:dyDescent="0.2">
      <c r="A42" s="175" t="s">
        <v>1881</v>
      </c>
      <c r="B42" s="66" t="s">
        <v>1882</v>
      </c>
    </row>
    <row r="43" spans="1:3" x14ac:dyDescent="0.2">
      <c r="A43" s="34" t="s">
        <v>1398</v>
      </c>
    </row>
    <row r="44" spans="1:3" x14ac:dyDescent="0.2">
      <c r="A44" s="34" t="s">
        <v>1399</v>
      </c>
    </row>
    <row r="45" spans="1:3" x14ac:dyDescent="0.2">
      <c r="A45" s="34" t="s">
        <v>2374</v>
      </c>
      <c r="B45" s="33" t="s">
        <v>1752</v>
      </c>
    </row>
    <row r="46" spans="1:3" x14ac:dyDescent="0.2">
      <c r="A46" s="34" t="s">
        <v>1416</v>
      </c>
      <c r="B46" s="33" t="s">
        <v>1631</v>
      </c>
    </row>
    <row r="48" spans="1:3" x14ac:dyDescent="0.2">
      <c r="A48" s="34" t="s">
        <v>1629</v>
      </c>
      <c r="B48" s="66" t="s">
        <v>1632</v>
      </c>
    </row>
    <row r="49" spans="1:2" ht="330" x14ac:dyDescent="0.2">
      <c r="A49" s="34" t="s">
        <v>1633</v>
      </c>
      <c r="B49" s="33" t="s">
        <v>1933</v>
      </c>
    </row>
  </sheetData>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3"/>
  <sheetViews>
    <sheetView zoomScale="90" zoomScaleNormal="90" zoomScalePageLayoutView="90" workbookViewId="0">
      <pane xSplit="2" ySplit="2" topLeftCell="D31" activePane="bottomRight" state="frozen"/>
      <selection activeCell="L12" sqref="L12"/>
      <selection pane="topRight" activeCell="L12" sqref="L12"/>
      <selection pane="bottomLeft" activeCell="L12" sqref="L12"/>
      <selection pane="bottomRight" activeCell="L32" sqref="L32"/>
    </sheetView>
  </sheetViews>
  <sheetFormatPr baseColWidth="10" defaultColWidth="9.1640625" defaultRowHeight="14" x14ac:dyDescent="0.2"/>
  <cols>
    <col min="1" max="1" width="9.1640625" style="3"/>
    <col min="2" max="2" width="9" style="1" customWidth="1"/>
    <col min="3" max="3" width="30.83203125" style="1" customWidth="1"/>
    <col min="4" max="4" width="32.5" style="1" customWidth="1"/>
    <col min="5" max="5" width="11.5" style="4" customWidth="1"/>
    <col min="6" max="6" width="6.1640625" style="1" customWidth="1"/>
    <col min="7" max="7" width="5.1640625" style="1" customWidth="1"/>
    <col min="8" max="8" width="7" style="1" customWidth="1"/>
    <col min="9" max="9" width="7.6640625" style="1" customWidth="1"/>
    <col min="10" max="10" width="12.5" style="1" customWidth="1"/>
    <col min="11" max="11" width="6.5" style="1" customWidth="1"/>
    <col min="12" max="12" width="15.83203125" style="1" customWidth="1"/>
    <col min="13" max="13" width="30.6640625" style="1" customWidth="1"/>
    <col min="14" max="14" width="12.6640625" style="1" customWidth="1"/>
    <col min="15" max="15" width="39" style="1" customWidth="1"/>
    <col min="16" max="16" width="50.33203125" style="1" customWidth="1"/>
    <col min="17" max="17" width="27" style="1" customWidth="1"/>
    <col min="18" max="18" width="16.1640625" style="1" customWidth="1"/>
    <col min="19" max="19" width="11.5" style="1" customWidth="1"/>
    <col min="20" max="20" width="9.1640625" style="1"/>
    <col min="21" max="21" width="12.5" style="1" customWidth="1"/>
    <col min="22" max="22" width="27" style="1" customWidth="1"/>
    <col min="23" max="23" width="31.6640625" style="1" customWidth="1"/>
    <col min="24" max="24" width="48.33203125" style="1" customWidth="1"/>
    <col min="25" max="25" width="31.83203125" style="1" customWidth="1"/>
    <col min="26" max="26" width="8" style="1" customWidth="1"/>
    <col min="27" max="27" width="6.83203125" style="1" customWidth="1"/>
    <col min="28" max="28" width="9.33203125" style="1" customWidth="1"/>
    <col min="29" max="29" width="8.5" style="1" customWidth="1"/>
    <col min="30" max="30" width="9.33203125" style="1" customWidth="1"/>
    <col min="31" max="31" width="9.83203125" style="1" customWidth="1"/>
    <col min="32" max="49" width="9.83203125" style="4" customWidth="1"/>
    <col min="50" max="50" width="23.83203125" style="1" customWidth="1"/>
    <col min="51" max="51" width="40.5" style="1" customWidth="1"/>
    <col min="52" max="52" width="46.83203125" style="1" customWidth="1"/>
    <col min="53" max="74" width="23.83203125" style="1" customWidth="1"/>
    <col min="75" max="75" width="25.33203125" style="1" customWidth="1"/>
    <col min="76" max="82" width="15.5" style="1" customWidth="1"/>
    <col min="83" max="93" width="13.83203125" style="1" customWidth="1"/>
    <col min="94" max="94" width="26" style="1" customWidth="1"/>
    <col min="95" max="16384" width="9.1640625" style="1"/>
  </cols>
  <sheetData>
    <row r="1" spans="1:52" s="4" customFormat="1" x14ac:dyDescent="0.2">
      <c r="A1" s="3"/>
      <c r="Z1" s="30" t="s">
        <v>1309</v>
      </c>
      <c r="AA1" s="30"/>
      <c r="AB1" s="30"/>
      <c r="AC1" s="30"/>
      <c r="AD1" s="30"/>
      <c r="AE1" s="30"/>
      <c r="AF1" s="30"/>
      <c r="AG1" s="30"/>
      <c r="AH1" s="30"/>
      <c r="AI1" s="30"/>
      <c r="AJ1" s="30"/>
      <c r="AK1" s="30">
        <f>COLUMN()</f>
        <v>37</v>
      </c>
      <c r="AL1" s="31" t="s">
        <v>1310</v>
      </c>
      <c r="AM1" s="31"/>
      <c r="AN1" s="31"/>
      <c r="AO1" s="31"/>
      <c r="AP1" s="31"/>
      <c r="AQ1" s="31"/>
      <c r="AR1" s="31"/>
      <c r="AS1" s="31"/>
      <c r="AT1" s="4" t="s">
        <v>1342</v>
      </c>
    </row>
    <row r="2" spans="1:52" s="51" customFormat="1" ht="45" x14ac:dyDescent="0.2">
      <c r="A2" s="48" t="s">
        <v>1290</v>
      </c>
      <c r="B2" s="49" t="s">
        <v>1345</v>
      </c>
      <c r="C2" s="49" t="s">
        <v>334</v>
      </c>
      <c r="D2" s="49" t="s">
        <v>335</v>
      </c>
      <c r="E2" s="50" t="s">
        <v>1335</v>
      </c>
      <c r="F2" s="49" t="s">
        <v>336</v>
      </c>
      <c r="G2" s="49" t="s">
        <v>337</v>
      </c>
      <c r="H2" s="49" t="s">
        <v>338</v>
      </c>
      <c r="I2" s="49" t="s">
        <v>339</v>
      </c>
      <c r="J2" s="49" t="s">
        <v>340</v>
      </c>
      <c r="K2" s="49" t="s">
        <v>341</v>
      </c>
      <c r="L2" s="49" t="s">
        <v>748</v>
      </c>
      <c r="M2" s="49" t="s">
        <v>749</v>
      </c>
      <c r="N2" s="49" t="s">
        <v>354</v>
      </c>
      <c r="O2" s="49" t="s">
        <v>342</v>
      </c>
      <c r="P2" s="49" t="s">
        <v>392</v>
      </c>
      <c r="Q2" s="49" t="s">
        <v>343</v>
      </c>
      <c r="R2" s="49" t="s">
        <v>344</v>
      </c>
      <c r="S2" s="49" t="s">
        <v>1340</v>
      </c>
      <c r="T2" s="49" t="s">
        <v>1341</v>
      </c>
      <c r="U2" s="49" t="s">
        <v>349</v>
      </c>
      <c r="V2" s="49" t="s">
        <v>956</v>
      </c>
      <c r="W2" s="49" t="s">
        <v>350</v>
      </c>
      <c r="X2" s="49" t="s">
        <v>753</v>
      </c>
      <c r="Y2" s="49" t="s">
        <v>1850</v>
      </c>
      <c r="Z2" s="49" t="s">
        <v>1293</v>
      </c>
      <c r="AA2" s="49" t="s">
        <v>1294</v>
      </c>
      <c r="AB2" s="49" t="s">
        <v>1295</v>
      </c>
      <c r="AC2" s="49" t="s">
        <v>1296</v>
      </c>
      <c r="AD2" s="49" t="s">
        <v>1297</v>
      </c>
      <c r="AE2" s="49" t="s">
        <v>1298</v>
      </c>
      <c r="AF2" s="49" t="s">
        <v>1299</v>
      </c>
      <c r="AG2" s="49" t="s">
        <v>1300</v>
      </c>
      <c r="AH2" s="49" t="s">
        <v>1301</v>
      </c>
      <c r="AI2" s="49" t="s">
        <v>1302</v>
      </c>
      <c r="AJ2" s="49" t="s">
        <v>1303</v>
      </c>
      <c r="AK2" s="49" t="s">
        <v>1304</v>
      </c>
      <c r="AL2" s="49" t="s">
        <v>1293</v>
      </c>
      <c r="AM2" s="49" t="s">
        <v>1294</v>
      </c>
      <c r="AN2" s="49" t="s">
        <v>1296</v>
      </c>
      <c r="AO2" s="49" t="s">
        <v>1297</v>
      </c>
      <c r="AP2" s="49" t="s">
        <v>1299</v>
      </c>
      <c r="AQ2" s="49" t="s">
        <v>1300</v>
      </c>
      <c r="AR2" s="49" t="s">
        <v>1302</v>
      </c>
      <c r="AS2" s="49" t="s">
        <v>1303</v>
      </c>
      <c r="AT2" s="51" t="s">
        <v>1311</v>
      </c>
      <c r="AU2" s="49" t="s">
        <v>1389</v>
      </c>
      <c r="AV2" s="49" t="s">
        <v>1934</v>
      </c>
      <c r="AW2" s="49" t="s">
        <v>1364</v>
      </c>
      <c r="AX2" s="49" t="s">
        <v>929</v>
      </c>
      <c r="AY2" s="49" t="s">
        <v>1343</v>
      </c>
      <c r="AZ2" s="49" t="s">
        <v>1348</v>
      </c>
    </row>
    <row r="3" spans="1:52" ht="105" x14ac:dyDescent="0.2">
      <c r="A3" s="3">
        <v>1</v>
      </c>
      <c r="B3" s="7">
        <v>1</v>
      </c>
      <c r="C3" s="7" t="s">
        <v>2</v>
      </c>
      <c r="D3" s="7" t="s">
        <v>3</v>
      </c>
      <c r="E3" s="7" t="s">
        <v>1336</v>
      </c>
      <c r="F3" s="7">
        <v>21</v>
      </c>
      <c r="G3" s="7">
        <v>7</v>
      </c>
      <c r="H3" s="7">
        <v>983</v>
      </c>
      <c r="I3" s="7">
        <v>988</v>
      </c>
      <c r="J3" s="7" t="s">
        <v>2328</v>
      </c>
      <c r="K3" s="7">
        <v>2016</v>
      </c>
      <c r="L3" s="7" t="s">
        <v>1334</v>
      </c>
      <c r="M3" s="7" t="s">
        <v>1904</v>
      </c>
      <c r="N3" s="7" t="s">
        <v>359</v>
      </c>
      <c r="O3" s="7" t="s">
        <v>1394</v>
      </c>
      <c r="P3" s="7" t="s">
        <v>1337</v>
      </c>
      <c r="Q3" s="7" t="s">
        <v>1351</v>
      </c>
      <c r="R3" s="7" t="s">
        <v>2329</v>
      </c>
      <c r="S3" s="7">
        <v>2</v>
      </c>
      <c r="T3" s="7">
        <v>9</v>
      </c>
      <c r="U3" s="5"/>
      <c r="V3" s="64" t="s">
        <v>2330</v>
      </c>
      <c r="W3" s="7" t="s">
        <v>1397</v>
      </c>
      <c r="X3" s="5" t="s">
        <v>1937</v>
      </c>
      <c r="Y3" s="7" t="s">
        <v>2331</v>
      </c>
      <c r="Z3" s="7" t="s">
        <v>1305</v>
      </c>
      <c r="AA3" s="7" t="s">
        <v>1307</v>
      </c>
      <c r="AB3" s="7" t="s">
        <v>1308</v>
      </c>
      <c r="AC3" s="7">
        <v>88</v>
      </c>
      <c r="AD3" s="7">
        <v>386</v>
      </c>
      <c r="AE3" s="7">
        <v>525</v>
      </c>
      <c r="AF3" s="7">
        <v>2.44</v>
      </c>
      <c r="AG3" s="7">
        <v>1.0900000000000001</v>
      </c>
      <c r="AH3" s="7">
        <v>1.36</v>
      </c>
      <c r="AI3" s="7">
        <v>3.98</v>
      </c>
      <c r="AJ3" s="7">
        <v>1.81</v>
      </c>
      <c r="AK3" s="7">
        <v>2.39</v>
      </c>
      <c r="AL3" s="7" t="s">
        <v>1305</v>
      </c>
      <c r="AM3" s="7" t="s">
        <v>1306</v>
      </c>
      <c r="AN3" s="7">
        <v>99</v>
      </c>
      <c r="AO3" s="7">
        <f>SUM(AD3:AE3)</f>
        <v>911</v>
      </c>
      <c r="AP3" s="7">
        <f>AF3</f>
        <v>2.44</v>
      </c>
      <c r="AQ3" s="7">
        <f>(AD3*AG3+AE3*AH3)/AO3</f>
        <v>1.2455982436882547</v>
      </c>
      <c r="AR3" s="7">
        <v>3.98</v>
      </c>
      <c r="AS3" s="7">
        <f>SQRT(((AD3-1)*AJ3^2+(AE3-1)*AK3^2+(AD3*AE3/AO3)*(AG3^2+AH3^2-2*AG3*AH3))/(AO3-1))</f>
        <v>2.1663397369749999</v>
      </c>
      <c r="AT3" s="7">
        <f>SQRT(((AN3-1)*AR3^2+(AO3-1)*AS3^2+(AN3*AO3/(AN3+AO3))*(AP3^2+AQ3^2-2*AP3*AQ3))/(AN3+AO3-1))</f>
        <v>2.4284414612670835</v>
      </c>
      <c r="AU3" s="32">
        <f>(AP3-AQ3)/AT3</f>
        <v>0.49183880911362154</v>
      </c>
      <c r="AX3" s="7"/>
      <c r="AY3" s="32" t="s">
        <v>2055</v>
      </c>
      <c r="AZ3" s="64" t="s">
        <v>2332</v>
      </c>
    </row>
    <row r="4" spans="1:52" ht="60" x14ac:dyDescent="0.2">
      <c r="A4" s="3">
        <v>2</v>
      </c>
      <c r="B4" s="5">
        <v>32</v>
      </c>
      <c r="C4" s="7" t="s">
        <v>5</v>
      </c>
      <c r="D4" s="7" t="s">
        <v>6</v>
      </c>
      <c r="E4" s="7" t="s">
        <v>1349</v>
      </c>
      <c r="F4" s="7">
        <v>28</v>
      </c>
      <c r="G4" s="7">
        <v>3</v>
      </c>
      <c r="H4" s="7">
        <v>460</v>
      </c>
      <c r="I4" s="7">
        <v>471</v>
      </c>
      <c r="J4" s="7" t="s">
        <v>7</v>
      </c>
      <c r="K4" s="7">
        <v>2016</v>
      </c>
      <c r="L4" s="7">
        <v>195</v>
      </c>
      <c r="M4" s="7" t="s">
        <v>1344</v>
      </c>
      <c r="N4" s="7" t="s">
        <v>494</v>
      </c>
      <c r="O4" s="7" t="s">
        <v>2359</v>
      </c>
      <c r="P4" s="6" t="s">
        <v>1938</v>
      </c>
      <c r="Q4" s="6" t="s">
        <v>393</v>
      </c>
      <c r="R4" s="6" t="s">
        <v>2333</v>
      </c>
      <c r="S4" s="6">
        <v>10</v>
      </c>
      <c r="T4" s="6">
        <v>12</v>
      </c>
      <c r="U4" s="6"/>
      <c r="V4" s="6" t="s">
        <v>2334</v>
      </c>
      <c r="W4" s="11" t="s">
        <v>1402</v>
      </c>
      <c r="X4" s="8" t="s">
        <v>528</v>
      </c>
      <c r="Y4" s="6"/>
      <c r="Z4" s="6"/>
      <c r="AA4" s="6"/>
      <c r="AB4" s="6"/>
      <c r="AC4" s="6"/>
      <c r="AD4" s="6"/>
      <c r="AE4" s="6"/>
      <c r="AF4" s="6"/>
      <c r="AG4" s="6"/>
      <c r="AH4" s="6"/>
      <c r="AI4" s="6"/>
      <c r="AJ4" s="6"/>
      <c r="AK4" s="6"/>
      <c r="AL4" s="6"/>
      <c r="AM4" s="6"/>
      <c r="AN4" s="6"/>
      <c r="AO4" s="6"/>
      <c r="AP4" s="6"/>
      <c r="AQ4" s="6"/>
      <c r="AR4" s="6"/>
      <c r="AS4" s="6"/>
      <c r="AT4" s="6"/>
      <c r="AU4" s="6"/>
      <c r="AV4" s="6"/>
      <c r="AW4" s="6"/>
      <c r="AX4" s="6"/>
      <c r="AY4" s="6"/>
      <c r="AZ4" s="34" t="s">
        <v>1350</v>
      </c>
    </row>
    <row r="5" spans="1:52" ht="105" x14ac:dyDescent="0.2">
      <c r="A5" s="3">
        <v>3</v>
      </c>
      <c r="B5" s="7">
        <v>42</v>
      </c>
      <c r="C5" s="7" t="s">
        <v>9</v>
      </c>
      <c r="D5" s="7" t="s">
        <v>10</v>
      </c>
      <c r="E5" s="7" t="s">
        <v>1353</v>
      </c>
      <c r="F5" s="7">
        <v>36</v>
      </c>
      <c r="G5" s="7">
        <v>4</v>
      </c>
      <c r="H5" s="7">
        <v>1211</v>
      </c>
      <c r="I5" s="7">
        <v>1222</v>
      </c>
      <c r="J5" s="7" t="s">
        <v>11</v>
      </c>
      <c r="K5" s="7">
        <v>2016</v>
      </c>
      <c r="L5" s="7" t="s">
        <v>1358</v>
      </c>
      <c r="M5" s="7" t="s">
        <v>1354</v>
      </c>
      <c r="N5" s="7" t="s">
        <v>494</v>
      </c>
      <c r="O5" s="7" t="s">
        <v>1384</v>
      </c>
      <c r="P5" s="6" t="s">
        <v>1352</v>
      </c>
      <c r="Q5" s="6" t="s">
        <v>355</v>
      </c>
      <c r="R5" s="64" t="s">
        <v>2335</v>
      </c>
      <c r="S5" s="6">
        <v>13</v>
      </c>
      <c r="T5" s="6">
        <v>14</v>
      </c>
      <c r="U5" s="6"/>
      <c r="V5" s="8"/>
      <c r="W5" s="9" t="s">
        <v>1386</v>
      </c>
      <c r="X5" s="9" t="s">
        <v>1385</v>
      </c>
      <c r="Y5" s="6" t="s">
        <v>1391</v>
      </c>
      <c r="Z5" s="6" t="s">
        <v>1361</v>
      </c>
      <c r="AA5" s="6" t="s">
        <v>1362</v>
      </c>
      <c r="AB5" s="6" t="s">
        <v>1363</v>
      </c>
      <c r="AC5" s="7">
        <v>7</v>
      </c>
      <c r="AD5" s="7">
        <v>39</v>
      </c>
      <c r="AE5" s="7">
        <v>55</v>
      </c>
      <c r="AF5" s="7">
        <v>-0.13</v>
      </c>
      <c r="AG5" s="7">
        <v>-0.01</v>
      </c>
      <c r="AH5" s="7">
        <v>0.9</v>
      </c>
      <c r="AI5" s="7">
        <f>SQRT(AC5)*0.2</f>
        <v>0.52915026221291817</v>
      </c>
      <c r="AJ5" s="7">
        <f>SQRT(AD5)*0.1</f>
        <v>0.62449979983983983</v>
      </c>
      <c r="AK5" s="7">
        <f>SQRT(AE5)*0.1</f>
        <v>0.74161984870956632</v>
      </c>
      <c r="AL5" s="7" t="str">
        <f>Z5</f>
        <v>CC</v>
      </c>
      <c r="AM5" s="7" t="str">
        <f>AB5</f>
        <v>TT</v>
      </c>
      <c r="AN5" s="7">
        <f>AC5</f>
        <v>7</v>
      </c>
      <c r="AO5" s="7">
        <f>AE5</f>
        <v>55</v>
      </c>
      <c r="AP5" s="7">
        <f>AF5</f>
        <v>-0.13</v>
      </c>
      <c r="AQ5" s="7">
        <f>AH5</f>
        <v>0.9</v>
      </c>
      <c r="AR5" s="7">
        <f>AI5</f>
        <v>0.52915026221291817</v>
      </c>
      <c r="AS5" s="7">
        <f>AK5</f>
        <v>0.74161984870956632</v>
      </c>
      <c r="AT5" s="7">
        <f>SQRT(((AN5-1)*AR5^2+(AO5-1)*AS5^2+(AN5*AO5/(AN5+AO5))*(AP5^2+AQ5^2-2*AP5*AQ5))/(AN5+AO5-1))</f>
        <v>0.78893834842130117</v>
      </c>
      <c r="AU5" s="32">
        <v>0.49299999999999999</v>
      </c>
      <c r="AV5" s="32">
        <v>0.27</v>
      </c>
      <c r="AW5" s="32">
        <v>0.16</v>
      </c>
      <c r="AX5" s="16"/>
      <c r="AY5" s="4" t="s">
        <v>1359</v>
      </c>
      <c r="AZ5" s="1" t="s">
        <v>1408</v>
      </c>
    </row>
    <row r="6" spans="1:52" ht="108.75" customHeight="1" x14ac:dyDescent="0.2">
      <c r="A6" s="3">
        <v>4</v>
      </c>
      <c r="B6" s="5">
        <v>52</v>
      </c>
      <c r="C6" s="7" t="s">
        <v>13</v>
      </c>
      <c r="D6" s="7" t="s">
        <v>14</v>
      </c>
      <c r="E6" s="7" t="s">
        <v>1355</v>
      </c>
      <c r="F6" s="7">
        <v>78</v>
      </c>
      <c r="G6" s="7">
        <v>12</v>
      </c>
      <c r="H6" s="7">
        <v>840</v>
      </c>
      <c r="I6" s="7">
        <v>847</v>
      </c>
      <c r="J6" s="7" t="s">
        <v>15</v>
      </c>
      <c r="K6" s="7">
        <v>2015</v>
      </c>
      <c r="L6" s="7" t="s">
        <v>2353</v>
      </c>
      <c r="M6" s="7" t="s">
        <v>1357</v>
      </c>
      <c r="N6" s="7" t="s">
        <v>359</v>
      </c>
      <c r="O6" s="7" t="s">
        <v>1836</v>
      </c>
      <c r="P6" s="6"/>
      <c r="Q6" s="6" t="s">
        <v>356</v>
      </c>
      <c r="R6" s="6" t="s">
        <v>358</v>
      </c>
      <c r="S6" s="6">
        <v>15</v>
      </c>
      <c r="T6" s="6">
        <v>15</v>
      </c>
      <c r="U6" s="6"/>
      <c r="V6" s="8"/>
      <c r="W6" s="9" t="s">
        <v>1415</v>
      </c>
      <c r="X6" s="9"/>
      <c r="Y6" s="16" t="s">
        <v>2368</v>
      </c>
      <c r="Z6" s="7" t="s">
        <v>1308</v>
      </c>
      <c r="AA6" s="7" t="s">
        <v>1413</v>
      </c>
      <c r="AB6" s="7" t="s">
        <v>1361</v>
      </c>
      <c r="AC6" s="7">
        <v>9</v>
      </c>
      <c r="AD6" s="7">
        <v>8</v>
      </c>
      <c r="AE6" s="6">
        <v>7</v>
      </c>
      <c r="AF6" s="6"/>
      <c r="AG6" s="6"/>
      <c r="AH6" s="6"/>
      <c r="AI6" s="6"/>
      <c r="AJ6" s="6"/>
      <c r="AK6" s="6"/>
      <c r="AL6" s="6"/>
      <c r="AM6" s="6"/>
      <c r="AN6" s="6"/>
      <c r="AO6" s="6"/>
      <c r="AP6" s="6"/>
      <c r="AQ6" s="6"/>
      <c r="AR6" s="6"/>
      <c r="AS6" s="6"/>
      <c r="AT6" s="6"/>
      <c r="AU6" s="6"/>
      <c r="AV6" s="6"/>
      <c r="AW6" s="6"/>
      <c r="AX6" s="16">
        <f t="shared" ref="AX6" si="0">(AC6*2)/(SQRT(AE6))</f>
        <v>6.8033605141660898</v>
      </c>
      <c r="AY6" s="17"/>
      <c r="AZ6" s="4" t="s">
        <v>1356</v>
      </c>
    </row>
    <row r="7" spans="1:52" ht="120" x14ac:dyDescent="0.2">
      <c r="A7" s="3">
        <v>5</v>
      </c>
      <c r="B7" s="11">
        <v>66</v>
      </c>
      <c r="C7" s="5" t="s">
        <v>19</v>
      </c>
      <c r="D7" s="5" t="s">
        <v>20</v>
      </c>
      <c r="E7" s="7" t="s">
        <v>1336</v>
      </c>
      <c r="F7" s="5">
        <v>20</v>
      </c>
      <c r="G7" s="5">
        <v>11</v>
      </c>
      <c r="H7" s="5">
        <v>1467</v>
      </c>
      <c r="I7" s="5">
        <v>1478</v>
      </c>
      <c r="J7" s="5" t="s">
        <v>21</v>
      </c>
      <c r="K7" s="5">
        <v>2015</v>
      </c>
      <c r="L7" s="5" t="s">
        <v>1419</v>
      </c>
      <c r="M7" s="5" t="s">
        <v>1425</v>
      </c>
      <c r="N7" s="5" t="s">
        <v>359</v>
      </c>
      <c r="O7" s="5" t="s">
        <v>1420</v>
      </c>
      <c r="P7" s="5"/>
      <c r="Q7" s="5" t="s">
        <v>1421</v>
      </c>
      <c r="R7" s="5" t="s">
        <v>1928</v>
      </c>
      <c r="S7" s="5"/>
      <c r="T7" s="5"/>
      <c r="U7" s="5"/>
      <c r="V7" s="5" t="s">
        <v>1422</v>
      </c>
      <c r="W7" s="33" t="s">
        <v>1423</v>
      </c>
      <c r="X7" s="5" t="s">
        <v>1849</v>
      </c>
      <c r="Y7" s="5" t="s">
        <v>1424</v>
      </c>
      <c r="Z7" s="5"/>
      <c r="AA7" s="5"/>
      <c r="AB7" s="5"/>
      <c r="AC7" s="5">
        <v>3</v>
      </c>
      <c r="AD7" s="5">
        <f>200-AC7-AE7</f>
        <v>45</v>
      </c>
      <c r="AE7" s="5">
        <v>152</v>
      </c>
      <c r="AF7" s="5"/>
      <c r="AG7" s="5"/>
      <c r="AH7" s="5"/>
      <c r="AI7" s="5"/>
      <c r="AJ7" s="5"/>
      <c r="AK7" s="5"/>
      <c r="AL7" s="5"/>
      <c r="AM7" s="5"/>
      <c r="AN7" s="5"/>
      <c r="AO7" s="5"/>
      <c r="AP7" s="5"/>
      <c r="AQ7" s="5"/>
      <c r="AR7" s="5"/>
      <c r="AS7" s="5"/>
      <c r="AT7" s="5"/>
      <c r="AU7" s="5"/>
      <c r="AV7" s="5"/>
      <c r="AW7" s="5"/>
      <c r="AX7" s="5"/>
      <c r="AY7" s="5"/>
    </row>
    <row r="8" spans="1:52" ht="90" x14ac:dyDescent="0.2">
      <c r="A8" s="3">
        <v>6</v>
      </c>
      <c r="B8" s="5">
        <v>69</v>
      </c>
      <c r="C8" s="7" t="s">
        <v>23</v>
      </c>
      <c r="D8" s="7" t="s">
        <v>24</v>
      </c>
      <c r="E8" s="7" t="s">
        <v>1355</v>
      </c>
      <c r="F8" s="7">
        <v>78</v>
      </c>
      <c r="G8" s="7">
        <v>8</v>
      </c>
      <c r="H8" s="7">
        <v>582</v>
      </c>
      <c r="I8" s="7">
        <v>589</v>
      </c>
      <c r="J8" s="7" t="s">
        <v>25</v>
      </c>
      <c r="K8" s="7">
        <v>2015</v>
      </c>
      <c r="L8" s="7" t="s">
        <v>1445</v>
      </c>
      <c r="M8" s="7" t="s">
        <v>2321</v>
      </c>
      <c r="N8" s="7" t="s">
        <v>359</v>
      </c>
      <c r="O8" s="7" t="s">
        <v>1809</v>
      </c>
      <c r="P8" s="7"/>
      <c r="Q8" s="11" t="s">
        <v>421</v>
      </c>
      <c r="R8" s="11" t="s">
        <v>421</v>
      </c>
      <c r="S8" s="11"/>
      <c r="T8" s="11"/>
      <c r="U8" s="11"/>
      <c r="V8" s="11" t="s">
        <v>1188</v>
      </c>
      <c r="W8" s="7" t="s">
        <v>809</v>
      </c>
      <c r="X8" s="5" t="s">
        <v>529</v>
      </c>
      <c r="Y8" s="7"/>
      <c r="Z8" s="7"/>
      <c r="AA8" s="7"/>
      <c r="AB8" s="7"/>
      <c r="AC8" s="5" t="e">
        <f>TINV(AD9,AE9)</f>
        <v>#NUM!</v>
      </c>
      <c r="AD8" s="8">
        <v>1E-3</v>
      </c>
      <c r="AE8" s="9">
        <v>99</v>
      </c>
      <c r="AF8" s="9"/>
      <c r="AG8" s="9"/>
      <c r="AH8" s="9"/>
      <c r="AI8" s="9"/>
      <c r="AJ8" s="9"/>
      <c r="AK8" s="9"/>
      <c r="AL8" s="9"/>
      <c r="AM8" s="9"/>
      <c r="AN8" s="9"/>
      <c r="AO8" s="9"/>
      <c r="AP8" s="9"/>
      <c r="AQ8" s="9"/>
      <c r="AR8" s="9"/>
      <c r="AS8" s="9"/>
      <c r="AT8" s="9"/>
      <c r="AU8" s="9"/>
      <c r="AV8" s="9"/>
      <c r="AW8" s="9"/>
      <c r="AX8" s="20" t="e">
        <f>(AC9*2)/(SQRT(AE9))</f>
        <v>#DIV/0!</v>
      </c>
      <c r="AY8" s="7"/>
      <c r="AZ8" s="4" t="s">
        <v>1839</v>
      </c>
    </row>
    <row r="9" spans="1:52" ht="165" x14ac:dyDescent="0.2">
      <c r="A9" s="3">
        <v>7</v>
      </c>
      <c r="B9" s="11">
        <v>71</v>
      </c>
      <c r="C9" s="5" t="s">
        <v>26</v>
      </c>
      <c r="D9" s="5" t="s">
        <v>27</v>
      </c>
      <c r="E9" s="5" t="s">
        <v>1528</v>
      </c>
      <c r="F9" s="5">
        <v>156</v>
      </c>
      <c r="G9" s="5">
        <v>10</v>
      </c>
      <c r="H9" s="5">
        <v>2072</v>
      </c>
      <c r="I9" s="5">
        <v>2083</v>
      </c>
      <c r="J9" s="5" t="s">
        <v>28</v>
      </c>
      <c r="K9" s="5">
        <v>2015</v>
      </c>
      <c r="L9" s="5" t="s">
        <v>2336</v>
      </c>
      <c r="M9" s="5" t="s">
        <v>2337</v>
      </c>
      <c r="N9" s="5" t="s">
        <v>359</v>
      </c>
      <c r="O9" s="7" t="s">
        <v>1447</v>
      </c>
      <c r="P9" s="5"/>
      <c r="Q9" s="5" t="s">
        <v>629</v>
      </c>
      <c r="R9" s="5" t="s">
        <v>2338</v>
      </c>
      <c r="S9" s="5"/>
      <c r="T9" s="5"/>
      <c r="U9" s="5"/>
      <c r="V9" s="5"/>
      <c r="W9" s="5" t="s">
        <v>847</v>
      </c>
      <c r="X9" s="5"/>
      <c r="Y9" s="5" t="s">
        <v>1448</v>
      </c>
      <c r="Z9" s="5"/>
      <c r="AA9" s="5"/>
      <c r="AB9" s="5"/>
      <c r="AC9" s="5"/>
      <c r="AD9" s="5"/>
      <c r="AE9" s="5"/>
      <c r="AF9" s="5"/>
      <c r="AG9" s="5"/>
      <c r="AH9" s="5"/>
      <c r="AI9" s="5"/>
      <c r="AJ9" s="5"/>
      <c r="AK9" s="5"/>
      <c r="AL9" s="5"/>
      <c r="AM9" s="5"/>
      <c r="AN9" s="5"/>
      <c r="AO9" s="5"/>
      <c r="AP9" s="5"/>
      <c r="AQ9" s="5"/>
      <c r="AR9" s="5"/>
      <c r="AS9" s="5"/>
      <c r="AT9" s="5"/>
      <c r="AU9" s="5"/>
      <c r="AV9" s="5"/>
      <c r="AW9" s="5"/>
      <c r="AX9" s="5"/>
      <c r="AY9" s="5"/>
    </row>
    <row r="10" spans="1:52" ht="195" x14ac:dyDescent="0.2">
      <c r="A10" s="3">
        <v>8</v>
      </c>
      <c r="B10" s="7">
        <v>72</v>
      </c>
      <c r="C10" s="7" t="s">
        <v>30</v>
      </c>
      <c r="D10" s="7" t="s">
        <v>31</v>
      </c>
      <c r="E10" s="7" t="s">
        <v>1336</v>
      </c>
      <c r="F10" s="7">
        <v>20</v>
      </c>
      <c r="G10" s="7">
        <v>10</v>
      </c>
      <c r="H10" s="7">
        <v>1173</v>
      </c>
      <c r="I10" s="7">
        <v>1178</v>
      </c>
      <c r="J10" s="7" t="s">
        <v>32</v>
      </c>
      <c r="K10" s="7">
        <v>2015</v>
      </c>
      <c r="L10" s="7" t="s">
        <v>1450</v>
      </c>
      <c r="M10" s="7" t="s">
        <v>1453</v>
      </c>
      <c r="N10" s="7" t="s">
        <v>494</v>
      </c>
      <c r="O10" s="7" t="s">
        <v>1454</v>
      </c>
      <c r="P10" s="7" t="s">
        <v>438</v>
      </c>
      <c r="Q10" s="7" t="s">
        <v>1451</v>
      </c>
      <c r="R10" s="5" t="s">
        <v>2339</v>
      </c>
      <c r="S10" s="11"/>
      <c r="T10" s="11"/>
      <c r="U10" s="11"/>
      <c r="V10" s="11"/>
      <c r="W10" s="7" t="s">
        <v>1456</v>
      </c>
      <c r="X10" s="5" t="s">
        <v>1462</v>
      </c>
      <c r="Y10" s="5" t="s">
        <v>1220</v>
      </c>
      <c r="Z10" s="5" t="s">
        <v>547</v>
      </c>
      <c r="AA10" s="7"/>
      <c r="AB10" s="7"/>
      <c r="AC10" s="5">
        <f t="shared" ref="AC10" si="1">TINV(AD10,AE10)</f>
        <v>3.2926422055894706</v>
      </c>
      <c r="AD10" s="9">
        <v>1E-3</v>
      </c>
      <c r="AE10" s="9">
        <v>4602</v>
      </c>
      <c r="AF10" s="9"/>
      <c r="AG10" s="9"/>
      <c r="AH10" s="9"/>
      <c r="AI10" s="9"/>
      <c r="AJ10" s="9"/>
      <c r="AK10" s="9"/>
      <c r="AL10" s="9"/>
      <c r="AM10" s="9"/>
      <c r="AN10" s="9"/>
      <c r="AO10" s="9"/>
      <c r="AP10" s="9"/>
      <c r="AQ10" s="9"/>
      <c r="AR10" s="9"/>
      <c r="AS10" s="9"/>
      <c r="AT10" s="9"/>
      <c r="AU10" s="9"/>
      <c r="AV10" s="9"/>
      <c r="AW10" s="9"/>
      <c r="AX10" s="21">
        <f t="shared" ref="AX10" si="2">(AC10*2)/(SQRT(AE10))</f>
        <v>9.7073620874299271E-2</v>
      </c>
      <c r="AY10" s="12" t="s">
        <v>1015</v>
      </c>
    </row>
    <row r="11" spans="1:52" ht="155" customHeight="1" x14ac:dyDescent="0.2">
      <c r="A11" s="3">
        <v>9</v>
      </c>
      <c r="B11" s="5">
        <v>99</v>
      </c>
      <c r="C11" s="7" t="s">
        <v>34</v>
      </c>
      <c r="D11" s="7" t="s">
        <v>35</v>
      </c>
      <c r="E11" s="7" t="s">
        <v>1336</v>
      </c>
      <c r="F11" s="7">
        <v>20</v>
      </c>
      <c r="G11" s="7">
        <v>7</v>
      </c>
      <c r="H11" s="7">
        <v>860</v>
      </c>
      <c r="I11" s="7">
        <v>866</v>
      </c>
      <c r="J11" s="7" t="s">
        <v>36</v>
      </c>
      <c r="K11" s="7">
        <v>2015</v>
      </c>
      <c r="L11" s="7" t="s">
        <v>1460</v>
      </c>
      <c r="M11" s="7" t="s">
        <v>1480</v>
      </c>
      <c r="N11" s="7" t="s">
        <v>494</v>
      </c>
      <c r="O11" s="5" t="s">
        <v>2340</v>
      </c>
      <c r="P11" s="7" t="s">
        <v>2341</v>
      </c>
      <c r="Q11" s="7" t="s">
        <v>428</v>
      </c>
      <c r="R11" s="11" t="s">
        <v>1549</v>
      </c>
      <c r="S11" s="11"/>
      <c r="T11" s="11"/>
      <c r="U11" s="11"/>
      <c r="V11" s="11"/>
      <c r="W11" s="5" t="s">
        <v>1940</v>
      </c>
      <c r="X11" s="5" t="s">
        <v>821</v>
      </c>
      <c r="Y11" s="7" t="s">
        <v>1226</v>
      </c>
      <c r="Z11" s="64" t="s">
        <v>2342</v>
      </c>
      <c r="AA11" s="7" t="s">
        <v>1228</v>
      </c>
      <c r="AB11" s="7" t="s">
        <v>1229</v>
      </c>
      <c r="AC11" s="5">
        <f t="shared" ref="AC11" si="3">TINV(AD11,AE11)</f>
        <v>2.3943124688532973</v>
      </c>
      <c r="AD11" s="9">
        <v>1.7000000000000001E-2</v>
      </c>
      <c r="AE11" s="9">
        <v>527</v>
      </c>
      <c r="AF11" s="9"/>
      <c r="AG11" s="9"/>
      <c r="AH11" s="9"/>
      <c r="AI11" s="9"/>
      <c r="AJ11" s="9"/>
      <c r="AK11" s="9"/>
      <c r="AL11" s="9"/>
      <c r="AM11" s="9"/>
      <c r="AN11" s="9"/>
      <c r="AO11" s="9"/>
      <c r="AP11" s="9"/>
      <c r="AQ11" s="9"/>
      <c r="AR11" s="9"/>
      <c r="AS11" s="9"/>
      <c r="AT11" s="9"/>
      <c r="AU11" s="9"/>
      <c r="AV11" s="9"/>
      <c r="AW11" s="9"/>
      <c r="AX11" s="21">
        <f t="shared" ref="AX11" si="4">(AC11*2)/(SQRT(AE11))</f>
        <v>0.20859577860096601</v>
      </c>
      <c r="AY11" s="7"/>
    </row>
    <row r="12" spans="1:52" ht="142" customHeight="1" x14ac:dyDescent="0.2">
      <c r="A12" s="3">
        <v>10</v>
      </c>
      <c r="B12" s="5">
        <v>111</v>
      </c>
      <c r="C12" s="7" t="s">
        <v>42</v>
      </c>
      <c r="D12" s="7" t="s">
        <v>43</v>
      </c>
      <c r="E12" s="7" t="s">
        <v>1353</v>
      </c>
      <c r="F12" s="7">
        <v>35</v>
      </c>
      <c r="G12" s="7">
        <v>20</v>
      </c>
      <c r="H12" s="7">
        <v>7964</v>
      </c>
      <c r="I12" s="7">
        <v>7976</v>
      </c>
      <c r="J12" s="7" t="s">
        <v>44</v>
      </c>
      <c r="K12" s="7">
        <v>2015</v>
      </c>
      <c r="L12" s="7" t="s">
        <v>1464</v>
      </c>
      <c r="M12" s="7" t="s">
        <v>2343</v>
      </c>
      <c r="N12" s="7" t="s">
        <v>494</v>
      </c>
      <c r="O12" s="7" t="s">
        <v>1842</v>
      </c>
      <c r="P12" s="7" t="s">
        <v>585</v>
      </c>
      <c r="Q12" s="5" t="s">
        <v>1016</v>
      </c>
      <c r="R12" s="7" t="s">
        <v>581</v>
      </c>
      <c r="S12" s="7" t="s">
        <v>1017</v>
      </c>
      <c r="T12" s="231" t="s">
        <v>1018</v>
      </c>
      <c r="U12" s="11"/>
      <c r="V12" s="11"/>
      <c r="W12" s="5" t="s">
        <v>1468</v>
      </c>
      <c r="X12" s="5" t="s">
        <v>824</v>
      </c>
      <c r="Y12" s="24" t="s">
        <v>1941</v>
      </c>
      <c r="Z12" s="7" t="s">
        <v>1237</v>
      </c>
      <c r="AA12" s="7"/>
      <c r="AB12" s="7"/>
      <c r="AC12" s="11" t="e">
        <f t="shared" ref="AC12" si="5">TINV(AD12,AE12)</f>
        <v>#NUM!</v>
      </c>
      <c r="AD12" s="8"/>
      <c r="AE12" s="8"/>
      <c r="AF12" s="8"/>
      <c r="AG12" s="8"/>
      <c r="AH12" s="8"/>
      <c r="AI12" s="8"/>
      <c r="AJ12" s="8"/>
      <c r="AK12" s="8"/>
      <c r="AL12" s="8"/>
      <c r="AM12" s="8"/>
      <c r="AN12" s="8"/>
      <c r="AO12" s="8"/>
      <c r="AP12" s="8"/>
      <c r="AQ12" s="8"/>
      <c r="AR12" s="8"/>
      <c r="AS12" s="8"/>
      <c r="AT12" s="8"/>
      <c r="AU12" s="8"/>
      <c r="AV12" s="8"/>
      <c r="AW12" s="8"/>
      <c r="AX12" s="23" t="e">
        <f t="shared" ref="AX12" si="6">(AC12*2)/(SQRT(AE12))</f>
        <v>#NUM!</v>
      </c>
      <c r="AY12" s="7"/>
    </row>
    <row r="13" spans="1:52" ht="151.5" customHeight="1" x14ac:dyDescent="0.2">
      <c r="A13" s="3">
        <v>11</v>
      </c>
      <c r="B13" s="5">
        <v>160</v>
      </c>
      <c r="C13" s="7" t="s">
        <v>46</v>
      </c>
      <c r="D13" s="7" t="s">
        <v>47</v>
      </c>
      <c r="E13" s="7" t="s">
        <v>1336</v>
      </c>
      <c r="F13" s="7">
        <v>20</v>
      </c>
      <c r="G13" s="7">
        <v>3</v>
      </c>
      <c r="H13" s="7">
        <v>398</v>
      </c>
      <c r="I13" s="7">
        <v>404</v>
      </c>
      <c r="J13" s="7" t="s">
        <v>48</v>
      </c>
      <c r="K13" s="7">
        <v>2015</v>
      </c>
      <c r="L13" s="5" t="s">
        <v>2381</v>
      </c>
      <c r="M13" s="7" t="s">
        <v>1472</v>
      </c>
      <c r="N13" s="7" t="s">
        <v>359</v>
      </c>
      <c r="O13" s="7" t="s">
        <v>827</v>
      </c>
      <c r="P13" s="7" t="s">
        <v>827</v>
      </c>
      <c r="Q13" s="7" t="s">
        <v>587</v>
      </c>
      <c r="R13" s="7" t="s">
        <v>588</v>
      </c>
      <c r="S13" s="7" t="s">
        <v>588</v>
      </c>
      <c r="T13" s="10" t="s">
        <v>1023</v>
      </c>
      <c r="U13" s="5"/>
      <c r="V13" s="5"/>
      <c r="W13" s="7" t="s">
        <v>2210</v>
      </c>
      <c r="X13" s="5" t="s">
        <v>830</v>
      </c>
      <c r="Y13" s="7"/>
      <c r="Z13" s="7"/>
      <c r="AA13" s="7"/>
      <c r="AB13" s="7"/>
      <c r="AC13" s="5">
        <f t="shared" ref="AC13" si="7">TINV(AD13,AE13)</f>
        <v>3.6407421274882741</v>
      </c>
      <c r="AD13" s="9">
        <v>2.9999999999999997E-4</v>
      </c>
      <c r="AE13" s="9">
        <v>503</v>
      </c>
      <c r="AF13" s="9"/>
      <c r="AG13" s="9"/>
      <c r="AH13" s="9"/>
      <c r="AI13" s="9"/>
      <c r="AJ13" s="9"/>
      <c r="AK13" s="9"/>
      <c r="AL13" s="9"/>
      <c r="AM13" s="9"/>
      <c r="AN13" s="9"/>
      <c r="AO13" s="9"/>
      <c r="AP13" s="9"/>
      <c r="AQ13" s="9"/>
      <c r="AR13" s="9"/>
      <c r="AS13" s="9"/>
      <c r="AT13" s="9"/>
      <c r="AU13" s="9"/>
      <c r="AV13" s="9"/>
      <c r="AW13" s="9"/>
      <c r="AX13" s="20">
        <f t="shared" ref="AX13" si="8">(AC13*2)/(SQRT(AE13))</f>
        <v>0.32466533604370595</v>
      </c>
      <c r="AY13" s="7"/>
    </row>
    <row r="14" spans="1:52" ht="240" x14ac:dyDescent="0.2">
      <c r="A14" s="3">
        <v>12</v>
      </c>
      <c r="B14" s="11">
        <v>163</v>
      </c>
      <c r="C14" s="5" t="s">
        <v>50</v>
      </c>
      <c r="D14" s="5" t="s">
        <v>51</v>
      </c>
      <c r="E14" s="7" t="s">
        <v>1529</v>
      </c>
      <c r="F14" s="7">
        <v>77</v>
      </c>
      <c r="G14" s="7">
        <v>3</v>
      </c>
      <c r="H14" s="7">
        <v>469</v>
      </c>
      <c r="I14" s="7">
        <v>477</v>
      </c>
      <c r="J14" s="7" t="s">
        <v>52</v>
      </c>
      <c r="K14" s="7">
        <v>2015</v>
      </c>
      <c r="L14" s="7" t="s">
        <v>1482</v>
      </c>
      <c r="M14" s="7" t="s">
        <v>1488</v>
      </c>
      <c r="N14" s="7" t="s">
        <v>494</v>
      </c>
      <c r="O14" s="7" t="s">
        <v>2283</v>
      </c>
      <c r="P14" s="7" t="s">
        <v>1031</v>
      </c>
      <c r="Q14" s="7" t="s">
        <v>1485</v>
      </c>
      <c r="R14" s="7" t="s">
        <v>1486</v>
      </c>
      <c r="S14" s="7"/>
      <c r="T14" s="7"/>
      <c r="U14" s="7"/>
      <c r="V14" s="7"/>
      <c r="W14" s="7" t="s">
        <v>1484</v>
      </c>
      <c r="X14" s="7" t="s">
        <v>1033</v>
      </c>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row>
    <row r="15" spans="1:52" ht="162" customHeight="1" x14ac:dyDescent="0.2">
      <c r="A15" s="3">
        <v>13</v>
      </c>
      <c r="B15" s="7">
        <v>167</v>
      </c>
      <c r="C15" s="7" t="s">
        <v>54</v>
      </c>
      <c r="D15" s="7" t="s">
        <v>55</v>
      </c>
      <c r="E15" s="7" t="s">
        <v>1349</v>
      </c>
      <c r="F15" s="7">
        <v>27</v>
      </c>
      <c r="G15" s="7">
        <v>3</v>
      </c>
      <c r="H15" s="7">
        <v>509</v>
      </c>
      <c r="I15" s="7">
        <v>521</v>
      </c>
      <c r="J15" s="7" t="s">
        <v>56</v>
      </c>
      <c r="K15" s="7">
        <v>2015</v>
      </c>
      <c r="L15" s="7" t="s">
        <v>832</v>
      </c>
      <c r="M15" s="7" t="s">
        <v>2344</v>
      </c>
      <c r="N15" s="7"/>
      <c r="O15" s="7" t="s">
        <v>1491</v>
      </c>
      <c r="P15" s="7" t="s">
        <v>53</v>
      </c>
      <c r="Q15" s="5" t="s">
        <v>604</v>
      </c>
      <c r="R15" s="5" t="s">
        <v>2352</v>
      </c>
      <c r="S15" s="5" t="s">
        <v>936</v>
      </c>
      <c r="T15" s="232" t="s">
        <v>1038</v>
      </c>
      <c r="U15" s="11"/>
      <c r="V15" s="11"/>
      <c r="W15" s="7" t="s">
        <v>614</v>
      </c>
      <c r="X15" s="7"/>
      <c r="Y15" s="7"/>
      <c r="Z15" s="7"/>
      <c r="AA15" s="7"/>
      <c r="AB15" s="7"/>
      <c r="AC15" s="5">
        <f t="shared" ref="AC15" si="9">TINV(AD15,AE15)</f>
        <v>2.0606764087363572</v>
      </c>
      <c r="AD15" s="9">
        <v>0.04</v>
      </c>
      <c r="AE15" s="9">
        <v>388</v>
      </c>
      <c r="AF15" s="9"/>
      <c r="AG15" s="9"/>
      <c r="AH15" s="9"/>
      <c r="AI15" s="9"/>
      <c r="AJ15" s="9"/>
      <c r="AK15" s="9"/>
      <c r="AL15" s="9"/>
      <c r="AM15" s="9"/>
      <c r="AN15" s="9"/>
      <c r="AO15" s="9"/>
      <c r="AP15" s="9"/>
      <c r="AQ15" s="9"/>
      <c r="AR15" s="9"/>
      <c r="AS15" s="9"/>
      <c r="AT15" s="9"/>
      <c r="AU15" s="9"/>
      <c r="AV15" s="9"/>
      <c r="AW15" s="9"/>
      <c r="AX15" s="20">
        <f t="shared" ref="AX15" si="10">(AC15*2)/(SQRT(AE15))</f>
        <v>0.20922998891917785</v>
      </c>
      <c r="AY15" s="7" t="s">
        <v>1040</v>
      </c>
    </row>
    <row r="16" spans="1:52" ht="165" x14ac:dyDescent="0.2">
      <c r="A16" s="3">
        <v>14</v>
      </c>
      <c r="B16" s="5">
        <v>220</v>
      </c>
      <c r="C16" s="7" t="s">
        <v>66</v>
      </c>
      <c r="D16" s="7" t="s">
        <v>67</v>
      </c>
      <c r="E16" s="7" t="s">
        <v>1355</v>
      </c>
      <c r="F16" s="7">
        <v>76</v>
      </c>
      <c r="G16" s="7">
        <v>6</v>
      </c>
      <c r="H16" s="7">
        <v>466</v>
      </c>
      <c r="I16" s="7">
        <v>475</v>
      </c>
      <c r="J16" s="7" t="s">
        <v>68</v>
      </c>
      <c r="K16" s="7">
        <v>2014</v>
      </c>
      <c r="L16" s="7">
        <v>188</v>
      </c>
      <c r="M16" s="7" t="s">
        <v>2209</v>
      </c>
      <c r="N16" s="7" t="s">
        <v>494</v>
      </c>
      <c r="O16" s="7" t="s">
        <v>1942</v>
      </c>
      <c r="P16" s="7" t="s">
        <v>639</v>
      </c>
      <c r="Q16" s="7" t="s">
        <v>641</v>
      </c>
      <c r="R16" s="7" t="s">
        <v>640</v>
      </c>
      <c r="S16" s="7" t="s">
        <v>640</v>
      </c>
      <c r="T16" s="10" t="s">
        <v>1052</v>
      </c>
      <c r="U16" s="7"/>
      <c r="V16" s="7"/>
      <c r="W16" s="5" t="s">
        <v>848</v>
      </c>
      <c r="X16" s="5" t="s">
        <v>844</v>
      </c>
      <c r="Y16" s="7"/>
      <c r="Z16" s="7"/>
      <c r="AA16" s="7"/>
      <c r="AB16" s="7"/>
      <c r="AC16" s="5">
        <f t="shared" ref="AC16:AC17" si="11">TINV(AD16,AE16)</f>
        <v>1.9679835253762186</v>
      </c>
      <c r="AD16" s="11">
        <v>0.05</v>
      </c>
      <c r="AE16" s="7">
        <v>297</v>
      </c>
      <c r="AF16" s="7"/>
      <c r="AG16" s="7"/>
      <c r="AH16" s="7"/>
      <c r="AI16" s="7"/>
      <c r="AJ16" s="7"/>
      <c r="AK16" s="7"/>
      <c r="AL16" s="7"/>
      <c r="AM16" s="7"/>
      <c r="AN16" s="7"/>
      <c r="AO16" s="7"/>
      <c r="AP16" s="7"/>
      <c r="AQ16" s="7"/>
      <c r="AR16" s="7"/>
      <c r="AS16" s="7"/>
      <c r="AT16" s="7"/>
      <c r="AU16" s="7"/>
      <c r="AV16" s="7"/>
      <c r="AW16" s="7"/>
      <c r="AX16" s="21">
        <f t="shared" ref="AX16:AX17" si="12">(AC16*2)/(SQRT(AE16))</f>
        <v>0.22838797270461514</v>
      </c>
      <c r="AY16" s="7"/>
    </row>
    <row r="17" spans="1:51" ht="90" x14ac:dyDescent="0.2">
      <c r="A17" s="3">
        <v>15</v>
      </c>
      <c r="B17" s="5">
        <v>221</v>
      </c>
      <c r="C17" s="7" t="s">
        <v>70</v>
      </c>
      <c r="D17" s="7" t="s">
        <v>71</v>
      </c>
      <c r="E17" s="7" t="s">
        <v>1355</v>
      </c>
      <c r="F17" s="7">
        <v>76</v>
      </c>
      <c r="G17" s="7">
        <v>6</v>
      </c>
      <c r="H17" s="7">
        <v>503</v>
      </c>
      <c r="I17" s="7">
        <v>508</v>
      </c>
      <c r="J17" s="7" t="s">
        <v>72</v>
      </c>
      <c r="K17" s="7">
        <v>2014</v>
      </c>
      <c r="L17" s="7" t="s">
        <v>1500</v>
      </c>
      <c r="M17" s="7" t="s">
        <v>1943</v>
      </c>
      <c r="N17" s="7"/>
      <c r="O17" s="25" t="s">
        <v>2384</v>
      </c>
      <c r="P17" s="7" t="s">
        <v>644</v>
      </c>
      <c r="Q17" s="7" t="s">
        <v>645</v>
      </c>
      <c r="R17" s="7" t="s">
        <v>646</v>
      </c>
      <c r="S17" s="7" t="s">
        <v>646</v>
      </c>
      <c r="T17" s="10" t="s">
        <v>1065</v>
      </c>
      <c r="U17" s="7"/>
      <c r="V17" s="7"/>
      <c r="W17" s="7" t="s">
        <v>1503</v>
      </c>
      <c r="X17" s="5" t="s">
        <v>1253</v>
      </c>
      <c r="Y17" s="7"/>
      <c r="Z17" s="7"/>
      <c r="AA17" s="7"/>
      <c r="AB17" s="7"/>
      <c r="AC17" s="5">
        <f t="shared" si="11"/>
        <v>3.9591539562935272</v>
      </c>
      <c r="AD17" s="7">
        <v>7.64E-5</v>
      </c>
      <c r="AE17" s="7">
        <v>4413</v>
      </c>
      <c r="AF17" s="7"/>
      <c r="AG17" s="7"/>
      <c r="AH17" s="7"/>
      <c r="AI17" s="7"/>
      <c r="AJ17" s="7"/>
      <c r="AK17" s="7"/>
      <c r="AL17" s="7"/>
      <c r="AM17" s="7"/>
      <c r="AN17" s="7"/>
      <c r="AO17" s="7"/>
      <c r="AP17" s="7"/>
      <c r="AQ17" s="7"/>
      <c r="AR17" s="7"/>
      <c r="AS17" s="7"/>
      <c r="AT17" s="7"/>
      <c r="AU17" s="7"/>
      <c r="AV17" s="7"/>
      <c r="AW17" s="7"/>
      <c r="AX17" s="21">
        <f t="shared" si="12"/>
        <v>0.1191970266307483</v>
      </c>
      <c r="AY17" s="12" t="s">
        <v>1196</v>
      </c>
    </row>
    <row r="18" spans="1:51" ht="105" x14ac:dyDescent="0.2">
      <c r="A18" s="3">
        <v>16</v>
      </c>
      <c r="B18" s="5">
        <v>226</v>
      </c>
      <c r="C18" s="7" t="s">
        <v>74</v>
      </c>
      <c r="D18" s="7" t="s">
        <v>75</v>
      </c>
      <c r="E18" s="7" t="s">
        <v>1336</v>
      </c>
      <c r="F18" s="7">
        <v>19</v>
      </c>
      <c r="G18" s="7">
        <v>9</v>
      </c>
      <c r="H18" s="7">
        <v>995</v>
      </c>
      <c r="I18" s="7">
        <v>1000</v>
      </c>
      <c r="J18" s="7" t="s">
        <v>76</v>
      </c>
      <c r="K18" s="7">
        <v>2014</v>
      </c>
      <c r="L18" s="7" t="s">
        <v>2345</v>
      </c>
      <c r="M18" s="7" t="s">
        <v>2346</v>
      </c>
      <c r="N18" s="7"/>
      <c r="O18" s="25" t="s">
        <v>2347</v>
      </c>
      <c r="P18" s="7" t="s">
        <v>648</v>
      </c>
      <c r="Q18" s="7" t="s">
        <v>649</v>
      </c>
      <c r="R18" s="7" t="s">
        <v>650</v>
      </c>
      <c r="S18" s="7" t="s">
        <v>650</v>
      </c>
      <c r="T18" s="231" t="s">
        <v>1068</v>
      </c>
      <c r="U18" s="7"/>
      <c r="V18" s="7"/>
      <c r="W18" s="7" t="s">
        <v>2211</v>
      </c>
      <c r="X18" s="7" t="s">
        <v>2211</v>
      </c>
      <c r="Y18" s="25"/>
      <c r="Z18" s="7"/>
      <c r="AA18" s="7"/>
      <c r="AB18" s="7"/>
      <c r="AC18" s="7" t="e">
        <f>TINV(AD19,AE19)</f>
        <v>#NUM!</v>
      </c>
      <c r="AD18" s="11">
        <v>1E-3</v>
      </c>
      <c r="AE18" s="7">
        <v>3873</v>
      </c>
      <c r="AF18" s="7"/>
      <c r="AG18" s="7"/>
      <c r="AH18" s="7"/>
      <c r="AI18" s="7"/>
      <c r="AJ18" s="7"/>
      <c r="AK18" s="7"/>
      <c r="AL18" s="7"/>
      <c r="AM18" s="7"/>
      <c r="AN18" s="7"/>
      <c r="AO18" s="7"/>
      <c r="AP18" s="7"/>
      <c r="AQ18" s="7"/>
      <c r="AR18" s="7"/>
      <c r="AS18" s="7"/>
      <c r="AT18" s="7"/>
      <c r="AU18" s="7"/>
      <c r="AV18" s="7"/>
      <c r="AW18" s="7"/>
      <c r="AX18" s="12" t="e">
        <f>(AC19*2)/(SQRT(AE19))</f>
        <v>#DIV/0!</v>
      </c>
      <c r="AY18" s="7"/>
    </row>
    <row r="19" spans="1:51" ht="60" x14ac:dyDescent="0.2">
      <c r="A19" s="3">
        <v>17</v>
      </c>
      <c r="B19" s="11">
        <v>229</v>
      </c>
      <c r="C19" s="5" t="s">
        <v>78</v>
      </c>
      <c r="D19" s="5" t="s">
        <v>79</v>
      </c>
      <c r="E19" s="5" t="s">
        <v>1336</v>
      </c>
      <c r="F19" s="5">
        <v>19</v>
      </c>
      <c r="G19" s="5">
        <v>9</v>
      </c>
      <c r="H19" s="5">
        <v>1031</v>
      </c>
      <c r="I19" s="5">
        <v>1036</v>
      </c>
      <c r="J19" s="5" t="s">
        <v>80</v>
      </c>
      <c r="K19" s="5">
        <v>2014</v>
      </c>
      <c r="L19" s="5" t="s">
        <v>2348</v>
      </c>
      <c r="M19" s="5" t="s">
        <v>1511</v>
      </c>
      <c r="N19" s="25"/>
      <c r="O19" s="5" t="s">
        <v>1513</v>
      </c>
      <c r="P19" s="5" t="s">
        <v>1512</v>
      </c>
      <c r="Q19" s="5" t="s">
        <v>1515</v>
      </c>
      <c r="R19" s="5" t="s">
        <v>1516</v>
      </c>
      <c r="S19" s="5"/>
      <c r="T19" s="5"/>
      <c r="U19" s="5"/>
      <c r="V19" s="5"/>
      <c r="W19" s="5" t="s">
        <v>1517</v>
      </c>
      <c r="X19" s="5"/>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row>
    <row r="20" spans="1:51" ht="300.75" customHeight="1" x14ac:dyDescent="0.2">
      <c r="A20" s="3">
        <v>18</v>
      </c>
      <c r="B20" s="11">
        <v>234</v>
      </c>
      <c r="C20" s="5" t="s">
        <v>82</v>
      </c>
      <c r="D20" s="5" t="s">
        <v>83</v>
      </c>
      <c r="E20" s="5" t="s">
        <v>1355</v>
      </c>
      <c r="F20" s="5">
        <v>76</v>
      </c>
      <c r="G20" s="5">
        <v>5</v>
      </c>
      <c r="H20" s="5">
        <v>367</v>
      </c>
      <c r="I20" s="5">
        <v>376</v>
      </c>
      <c r="J20" s="5" t="s">
        <v>84</v>
      </c>
      <c r="K20" s="5">
        <v>2014</v>
      </c>
      <c r="L20" s="5" t="s">
        <v>1520</v>
      </c>
      <c r="M20" s="25" t="s">
        <v>1522</v>
      </c>
      <c r="N20" s="5"/>
      <c r="O20" s="5" t="s">
        <v>1525</v>
      </c>
      <c r="P20" s="5"/>
      <c r="Q20" s="5" t="s">
        <v>1351</v>
      </c>
      <c r="R20" s="5" t="s">
        <v>1521</v>
      </c>
      <c r="S20" s="5"/>
      <c r="T20" s="5"/>
      <c r="U20" s="5"/>
      <c r="V20" s="5"/>
      <c r="W20" s="5" t="s">
        <v>1523</v>
      </c>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row>
    <row r="21" spans="1:51" ht="124.25" customHeight="1" x14ac:dyDescent="0.2">
      <c r="A21" s="3">
        <v>19</v>
      </c>
      <c r="B21" s="11">
        <v>253</v>
      </c>
      <c r="C21" s="5" t="s">
        <v>90</v>
      </c>
      <c r="D21" s="5" t="s">
        <v>91</v>
      </c>
      <c r="E21" s="5" t="s">
        <v>1336</v>
      </c>
      <c r="F21" s="5">
        <v>19</v>
      </c>
      <c r="G21" s="5">
        <v>7</v>
      </c>
      <c r="H21" s="5">
        <v>801</v>
      </c>
      <c r="I21" s="5">
        <v>810</v>
      </c>
      <c r="J21" s="5" t="s">
        <v>92</v>
      </c>
      <c r="K21" s="5">
        <v>2014</v>
      </c>
      <c r="L21" s="5" t="s">
        <v>1533</v>
      </c>
      <c r="M21" s="7" t="s">
        <v>2389</v>
      </c>
      <c r="N21" s="5" t="s">
        <v>359</v>
      </c>
      <c r="O21" s="5" t="s">
        <v>1944</v>
      </c>
      <c r="P21" s="5"/>
      <c r="Q21" s="5" t="s">
        <v>718</v>
      </c>
      <c r="R21" s="5" t="s">
        <v>1531</v>
      </c>
      <c r="S21" s="5"/>
      <c r="T21" s="5"/>
      <c r="U21" s="5"/>
      <c r="V21" s="5"/>
      <c r="W21" s="7" t="s">
        <v>1532</v>
      </c>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row>
    <row r="22" spans="1:51" ht="144" customHeight="1" x14ac:dyDescent="0.2">
      <c r="A22" s="3">
        <v>20</v>
      </c>
      <c r="B22" s="5">
        <v>254</v>
      </c>
      <c r="C22" s="7" t="s">
        <v>94</v>
      </c>
      <c r="D22" s="7" t="s">
        <v>95</v>
      </c>
      <c r="E22" s="7" t="s">
        <v>1349</v>
      </c>
      <c r="F22" s="7">
        <v>26</v>
      </c>
      <c r="G22" s="7">
        <v>7</v>
      </c>
      <c r="H22" s="7">
        <v>1418</v>
      </c>
      <c r="I22" s="7">
        <v>1427</v>
      </c>
      <c r="J22" s="7" t="s">
        <v>96</v>
      </c>
      <c r="K22" s="7">
        <v>2014</v>
      </c>
      <c r="L22" s="7" t="s">
        <v>2349</v>
      </c>
      <c r="M22" s="7" t="s">
        <v>1539</v>
      </c>
      <c r="N22" s="7" t="s">
        <v>494</v>
      </c>
      <c r="O22" s="5" t="s">
        <v>2390</v>
      </c>
      <c r="P22" s="5" t="s">
        <v>865</v>
      </c>
      <c r="Q22" s="11" t="s">
        <v>662</v>
      </c>
      <c r="R22" s="5" t="s">
        <v>1542</v>
      </c>
      <c r="S22" s="11"/>
      <c r="T22" s="11"/>
      <c r="U22" s="11"/>
      <c r="V22" s="11"/>
      <c r="W22" s="7" t="s">
        <v>1543</v>
      </c>
      <c r="X22" s="7" t="s">
        <v>665</v>
      </c>
      <c r="Y22" s="7"/>
      <c r="Z22" s="7"/>
      <c r="AA22" s="7"/>
      <c r="AB22" s="7"/>
      <c r="AC22" s="5">
        <f t="shared" ref="AC22:AC23" si="13">TINV(AD22,AE22)</f>
        <v>2.4080017820844843</v>
      </c>
      <c r="AD22" s="7">
        <v>2.1000000000000001E-2</v>
      </c>
      <c r="AE22" s="7">
        <v>38</v>
      </c>
      <c r="AF22" s="7"/>
      <c r="AG22" s="7"/>
      <c r="AH22" s="7"/>
      <c r="AI22" s="7"/>
      <c r="AJ22" s="7"/>
      <c r="AK22" s="7"/>
      <c r="AL22" s="7"/>
      <c r="AM22" s="7"/>
      <c r="AN22" s="7"/>
      <c r="AO22" s="7"/>
      <c r="AP22" s="7"/>
      <c r="AQ22" s="7"/>
      <c r="AR22" s="7"/>
      <c r="AS22" s="7"/>
      <c r="AT22" s="7"/>
      <c r="AU22" s="7"/>
      <c r="AV22" s="7"/>
      <c r="AW22" s="7"/>
      <c r="AX22" s="21">
        <f t="shared" ref="AX22:AX23" si="14">(AC22*2)/(SQRT(AE22))</f>
        <v>0.78125894235030768</v>
      </c>
      <c r="AY22" s="7" t="s">
        <v>1198</v>
      </c>
    </row>
    <row r="23" spans="1:51" ht="255" x14ac:dyDescent="0.2">
      <c r="A23" s="3">
        <v>21</v>
      </c>
      <c r="B23" s="5">
        <v>258</v>
      </c>
      <c r="C23" s="5" t="s">
        <v>98</v>
      </c>
      <c r="D23" s="5" t="s">
        <v>99</v>
      </c>
      <c r="E23" s="5" t="s">
        <v>1546</v>
      </c>
      <c r="F23" s="5">
        <v>92</v>
      </c>
      <c r="G23" s="5">
        <v>22</v>
      </c>
      <c r="H23" s="5">
        <v>1959</v>
      </c>
      <c r="I23" s="5">
        <v>1967</v>
      </c>
      <c r="J23" s="5" t="s">
        <v>100</v>
      </c>
      <c r="K23" s="5">
        <v>2014</v>
      </c>
      <c r="L23" s="5" t="s">
        <v>1547</v>
      </c>
      <c r="M23" s="5" t="s">
        <v>1548</v>
      </c>
      <c r="N23" s="5" t="s">
        <v>494</v>
      </c>
      <c r="O23" s="5" t="s">
        <v>1945</v>
      </c>
      <c r="P23" s="5" t="s">
        <v>1074</v>
      </c>
      <c r="Q23" s="11" t="s">
        <v>428</v>
      </c>
      <c r="R23" s="11" t="s">
        <v>1549</v>
      </c>
      <c r="S23" s="11"/>
      <c r="T23" s="11"/>
      <c r="U23" s="11"/>
      <c r="V23" s="11"/>
      <c r="W23" s="33" t="s">
        <v>1649</v>
      </c>
      <c r="X23" s="7" t="s">
        <v>1075</v>
      </c>
      <c r="Y23" s="7"/>
      <c r="Z23" s="7"/>
      <c r="AA23" s="7"/>
      <c r="AB23" s="7"/>
      <c r="AC23" s="5">
        <f t="shared" si="13"/>
        <v>3.3068157877526021</v>
      </c>
      <c r="AD23" s="11">
        <v>1E-3</v>
      </c>
      <c r="AE23" s="7">
        <v>600</v>
      </c>
      <c r="AF23" s="7"/>
      <c r="AG23" s="7"/>
      <c r="AH23" s="7"/>
      <c r="AI23" s="7"/>
      <c r="AJ23" s="7"/>
      <c r="AK23" s="7"/>
      <c r="AL23" s="7"/>
      <c r="AM23" s="7"/>
      <c r="AN23" s="7"/>
      <c r="AO23" s="7"/>
      <c r="AP23" s="7"/>
      <c r="AQ23" s="7"/>
      <c r="AR23" s="7"/>
      <c r="AS23" s="7"/>
      <c r="AT23" s="7"/>
      <c r="AU23" s="7"/>
      <c r="AV23" s="7"/>
      <c r="AW23" s="7"/>
      <c r="AX23" s="21">
        <f t="shared" si="14"/>
        <v>0.27000037844578245</v>
      </c>
      <c r="AY23" s="7"/>
    </row>
    <row r="24" spans="1:51" ht="210" x14ac:dyDescent="0.2">
      <c r="A24" s="3">
        <v>22</v>
      </c>
      <c r="B24" s="5">
        <v>299</v>
      </c>
      <c r="C24" s="7" t="s">
        <v>111</v>
      </c>
      <c r="D24" s="7" t="s">
        <v>112</v>
      </c>
      <c r="E24" s="7"/>
      <c r="F24" s="7">
        <v>24</v>
      </c>
      <c r="G24" s="7">
        <v>5</v>
      </c>
      <c r="H24" s="7">
        <v>1230</v>
      </c>
      <c r="I24" s="7">
        <v>1246</v>
      </c>
      <c r="J24" s="7" t="s">
        <v>113</v>
      </c>
      <c r="K24" s="7">
        <v>2014</v>
      </c>
      <c r="L24" s="7" t="s">
        <v>1562</v>
      </c>
      <c r="M24" s="16" t="s">
        <v>2393</v>
      </c>
      <c r="N24" s="7" t="s">
        <v>494</v>
      </c>
      <c r="O24" s="7" t="s">
        <v>1558</v>
      </c>
      <c r="P24" s="7" t="s">
        <v>1557</v>
      </c>
      <c r="Q24" s="7" t="s">
        <v>1556</v>
      </c>
      <c r="R24" s="7" t="s">
        <v>2394</v>
      </c>
      <c r="S24" s="7" t="s">
        <v>683</v>
      </c>
      <c r="T24" s="231" t="s">
        <v>1086</v>
      </c>
      <c r="U24" s="7"/>
      <c r="V24" s="7"/>
      <c r="W24" s="7" t="s">
        <v>1559</v>
      </c>
      <c r="X24" s="5"/>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row>
    <row r="25" spans="1:51" ht="165" x14ac:dyDescent="0.2">
      <c r="A25" s="3">
        <v>23</v>
      </c>
      <c r="B25" s="5">
        <v>300</v>
      </c>
      <c r="C25" s="7" t="s">
        <v>115</v>
      </c>
      <c r="D25" s="7" t="s">
        <v>116</v>
      </c>
      <c r="E25" s="7"/>
      <c r="F25" s="7">
        <v>75</v>
      </c>
      <c r="G25" s="7">
        <v>9</v>
      </c>
      <c r="H25" s="7">
        <v>693</v>
      </c>
      <c r="I25" s="7">
        <v>700</v>
      </c>
      <c r="J25" s="7" t="s">
        <v>117</v>
      </c>
      <c r="K25" s="7">
        <v>2014</v>
      </c>
      <c r="L25" s="7" t="s">
        <v>1566</v>
      </c>
      <c r="M25" s="7" t="s">
        <v>2396</v>
      </c>
      <c r="N25" s="7" t="s">
        <v>494</v>
      </c>
      <c r="O25" s="25" t="s">
        <v>1571</v>
      </c>
      <c r="P25" s="7" t="s">
        <v>1567</v>
      </c>
      <c r="Q25" s="7" t="s">
        <v>1568</v>
      </c>
      <c r="R25" s="7" t="s">
        <v>697</v>
      </c>
      <c r="S25" s="7" t="s">
        <v>697</v>
      </c>
      <c r="T25" s="10" t="s">
        <v>1111</v>
      </c>
      <c r="U25" s="7"/>
      <c r="V25" s="7"/>
      <c r="W25" s="11" t="s">
        <v>1569</v>
      </c>
      <c r="X25" s="11"/>
      <c r="Y25" s="25"/>
      <c r="Z25" s="25"/>
      <c r="AA25" s="25"/>
      <c r="AB25" s="7"/>
      <c r="AC25" s="7"/>
      <c r="AD25" s="7"/>
      <c r="AE25" s="7"/>
      <c r="AF25" s="7"/>
      <c r="AG25" s="7"/>
      <c r="AH25" s="7"/>
      <c r="AI25" s="7"/>
      <c r="AJ25" s="7"/>
      <c r="AK25" s="7"/>
      <c r="AL25" s="7"/>
      <c r="AM25" s="7"/>
      <c r="AN25" s="7"/>
      <c r="AO25" s="7"/>
      <c r="AP25" s="7"/>
      <c r="AQ25" s="7"/>
      <c r="AR25" s="7"/>
      <c r="AS25" s="7"/>
      <c r="AT25" s="7"/>
      <c r="AU25" s="7"/>
      <c r="AV25" s="7"/>
      <c r="AW25" s="7"/>
      <c r="AX25" s="7"/>
      <c r="AY25" s="7"/>
    </row>
    <row r="26" spans="1:51" ht="195" x14ac:dyDescent="0.2">
      <c r="A26" s="3">
        <v>24</v>
      </c>
      <c r="B26" s="5">
        <v>319</v>
      </c>
      <c r="C26" s="7" t="s">
        <v>119</v>
      </c>
      <c r="D26" s="7" t="s">
        <v>120</v>
      </c>
      <c r="E26" s="7" t="s">
        <v>1336</v>
      </c>
      <c r="F26" s="7">
        <v>19</v>
      </c>
      <c r="G26" s="7">
        <v>3</v>
      </c>
      <c r="H26" s="7">
        <v>311</v>
      </c>
      <c r="I26" s="7">
        <v>316</v>
      </c>
      <c r="J26" s="7" t="s">
        <v>121</v>
      </c>
      <c r="K26" s="7">
        <v>2014</v>
      </c>
      <c r="L26" s="7" t="s">
        <v>1573</v>
      </c>
      <c r="M26" s="7" t="s">
        <v>1574</v>
      </c>
      <c r="N26" s="7" t="s">
        <v>494</v>
      </c>
      <c r="O26" s="7" t="s">
        <v>1579</v>
      </c>
      <c r="P26" s="7" t="s">
        <v>1171</v>
      </c>
      <c r="Q26" s="7" t="s">
        <v>1577</v>
      </c>
      <c r="R26" s="7" t="s">
        <v>2350</v>
      </c>
      <c r="S26" s="6" t="s">
        <v>396</v>
      </c>
      <c r="T26" s="233" t="s">
        <v>959</v>
      </c>
      <c r="U26" s="7"/>
      <c r="V26" s="7"/>
      <c r="W26" s="7" t="s">
        <v>1575</v>
      </c>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row>
    <row r="27" spans="1:51" ht="135" x14ac:dyDescent="0.2">
      <c r="A27" s="3">
        <v>25</v>
      </c>
      <c r="B27" s="5">
        <v>337</v>
      </c>
      <c r="C27" s="7" t="s">
        <v>131</v>
      </c>
      <c r="D27" s="7" t="s">
        <v>132</v>
      </c>
      <c r="E27" s="7" t="s">
        <v>1353</v>
      </c>
      <c r="F27" s="7">
        <v>34</v>
      </c>
      <c r="G27" s="7">
        <v>3</v>
      </c>
      <c r="H27" s="7">
        <v>1051</v>
      </c>
      <c r="I27" s="7">
        <v>1056</v>
      </c>
      <c r="J27" s="7" t="s">
        <v>133</v>
      </c>
      <c r="K27" s="7">
        <v>2014</v>
      </c>
      <c r="L27" s="7" t="s">
        <v>1582</v>
      </c>
      <c r="M27" s="25" t="s">
        <v>2399</v>
      </c>
      <c r="N27" s="7"/>
      <c r="O27" s="5" t="s">
        <v>1585</v>
      </c>
      <c r="P27" s="5" t="s">
        <v>1584</v>
      </c>
      <c r="Q27" s="7" t="s">
        <v>718</v>
      </c>
      <c r="R27" s="7" t="s">
        <v>719</v>
      </c>
      <c r="S27" s="7" t="s">
        <v>719</v>
      </c>
      <c r="T27" s="231" t="s">
        <v>1117</v>
      </c>
      <c r="U27" s="7"/>
      <c r="V27" s="7"/>
      <c r="W27" s="7" t="s">
        <v>1948</v>
      </c>
      <c r="X27" s="7" t="s">
        <v>1156</v>
      </c>
      <c r="Y27" s="7"/>
      <c r="Z27" s="7"/>
      <c r="AA27" s="7"/>
      <c r="AB27" s="7"/>
      <c r="AC27" s="5">
        <f t="shared" ref="AC27" si="15">TINV(AD27,AE27)</f>
        <v>2.4156385575416852</v>
      </c>
      <c r="AD27" s="7">
        <v>1.6E-2</v>
      </c>
      <c r="AE27" s="7">
        <v>611</v>
      </c>
      <c r="AF27" s="7"/>
      <c r="AG27" s="7"/>
      <c r="AH27" s="7"/>
      <c r="AI27" s="7"/>
      <c r="AJ27" s="7"/>
      <c r="AK27" s="7"/>
      <c r="AL27" s="7"/>
      <c r="AM27" s="7"/>
      <c r="AN27" s="7"/>
      <c r="AO27" s="7"/>
      <c r="AP27" s="7"/>
      <c r="AQ27" s="7"/>
      <c r="AR27" s="7"/>
      <c r="AS27" s="7"/>
      <c r="AT27" s="7"/>
      <c r="AU27" s="7"/>
      <c r="AV27" s="7"/>
      <c r="AW27" s="7"/>
      <c r="AX27" s="21">
        <f t="shared" ref="AX27" si="16">(AC27*2)/(SQRT(AE27))</f>
        <v>0.1954525512121362</v>
      </c>
      <c r="AY27" s="7"/>
    </row>
    <row r="28" spans="1:51" s="2" customFormat="1" ht="105" x14ac:dyDescent="0.2">
      <c r="A28" s="75">
        <v>26</v>
      </c>
      <c r="B28" s="5">
        <v>355</v>
      </c>
      <c r="C28" s="5" t="s">
        <v>142</v>
      </c>
      <c r="D28" s="5" t="s">
        <v>143</v>
      </c>
      <c r="E28" s="5" t="s">
        <v>1600</v>
      </c>
      <c r="F28" s="5">
        <v>80</v>
      </c>
      <c r="G28" s="5">
        <v>4</v>
      </c>
      <c r="H28" s="5">
        <v>1090</v>
      </c>
      <c r="I28" s="5">
        <v>1100</v>
      </c>
      <c r="J28" s="5" t="s">
        <v>144</v>
      </c>
      <c r="K28" s="5">
        <v>2013</v>
      </c>
      <c r="L28" s="5" t="s">
        <v>2354</v>
      </c>
      <c r="M28" s="5" t="s">
        <v>1590</v>
      </c>
      <c r="N28" s="5"/>
      <c r="O28" s="5" t="s">
        <v>1591</v>
      </c>
      <c r="P28" s="5"/>
      <c r="Q28" s="5" t="s">
        <v>1593</v>
      </c>
      <c r="R28" s="5" t="s">
        <v>1594</v>
      </c>
      <c r="S28" s="5" t="s">
        <v>736</v>
      </c>
      <c r="T28" s="5"/>
      <c r="U28" s="5"/>
      <c r="V28" s="5"/>
      <c r="W28" s="5" t="s">
        <v>1592</v>
      </c>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row>
    <row r="29" spans="1:51" ht="135" x14ac:dyDescent="0.2">
      <c r="A29" s="3">
        <v>27</v>
      </c>
      <c r="B29" s="5">
        <v>363</v>
      </c>
      <c r="C29" s="7" t="s">
        <v>150</v>
      </c>
      <c r="D29" s="7" t="s">
        <v>151</v>
      </c>
      <c r="E29" s="7" t="s">
        <v>1528</v>
      </c>
      <c r="F29" s="5">
        <v>154</v>
      </c>
      <c r="G29" s="5">
        <v>11</v>
      </c>
      <c r="H29" s="5">
        <v>2266</v>
      </c>
      <c r="I29" s="5">
        <v>2276</v>
      </c>
      <c r="J29" s="5" t="s">
        <v>152</v>
      </c>
      <c r="K29" s="5">
        <v>2013</v>
      </c>
      <c r="L29" s="5" t="s">
        <v>1605</v>
      </c>
      <c r="M29" s="5" t="s">
        <v>1603</v>
      </c>
      <c r="N29" s="5" t="s">
        <v>494</v>
      </c>
      <c r="O29" s="5" t="s">
        <v>1877</v>
      </c>
      <c r="P29" s="5"/>
      <c r="Q29" s="5" t="s">
        <v>740</v>
      </c>
      <c r="R29" s="5" t="s">
        <v>1604</v>
      </c>
      <c r="S29" s="5"/>
      <c r="T29" s="5"/>
      <c r="U29" s="7"/>
      <c r="V29" s="7"/>
      <c r="W29" s="7" t="s">
        <v>2212</v>
      </c>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row>
    <row r="30" spans="1:51" ht="105" customHeight="1" x14ac:dyDescent="0.2">
      <c r="A30" s="3">
        <v>28</v>
      </c>
      <c r="B30" s="5">
        <v>368</v>
      </c>
      <c r="C30" s="7" t="s">
        <v>154</v>
      </c>
      <c r="D30" s="7" t="s">
        <v>155</v>
      </c>
      <c r="E30" s="7" t="s">
        <v>1355</v>
      </c>
      <c r="F30" s="5">
        <v>74</v>
      </c>
      <c r="G30" s="5">
        <v>8</v>
      </c>
      <c r="H30" s="5">
        <v>607</v>
      </c>
      <c r="I30" s="5">
        <v>614</v>
      </c>
      <c r="J30" s="5" t="s">
        <v>156</v>
      </c>
      <c r="K30" s="5">
        <v>2013</v>
      </c>
      <c r="L30" s="5">
        <v>414</v>
      </c>
      <c r="M30" s="5" t="s">
        <v>1608</v>
      </c>
      <c r="N30" s="5" t="s">
        <v>494</v>
      </c>
      <c r="O30" s="5" t="s">
        <v>1609</v>
      </c>
      <c r="P30" s="5"/>
      <c r="Q30" s="5" t="s">
        <v>1611</v>
      </c>
      <c r="R30" s="5" t="s">
        <v>2355</v>
      </c>
      <c r="S30" s="5"/>
      <c r="T30" s="5"/>
      <c r="U30" s="7"/>
      <c r="V30" s="7"/>
      <c r="W30" s="5" t="s">
        <v>2213</v>
      </c>
      <c r="X30" s="5"/>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row>
    <row r="31" spans="1:51" ht="233" customHeight="1" x14ac:dyDescent="0.2">
      <c r="A31" s="3">
        <v>29</v>
      </c>
      <c r="B31" s="5">
        <v>393</v>
      </c>
      <c r="C31" s="7" t="s">
        <v>171</v>
      </c>
      <c r="D31" s="7" t="s">
        <v>172</v>
      </c>
      <c r="E31" s="7" t="s">
        <v>1336</v>
      </c>
      <c r="F31" s="5">
        <v>19</v>
      </c>
      <c r="G31" s="5">
        <v>7</v>
      </c>
      <c r="H31" s="5">
        <v>913</v>
      </c>
      <c r="I31" s="5">
        <v>923</v>
      </c>
      <c r="J31" s="5" t="s">
        <v>173</v>
      </c>
      <c r="K31" s="5">
        <v>2013</v>
      </c>
      <c r="L31" s="5" t="s">
        <v>1949</v>
      </c>
      <c r="M31" s="5" t="s">
        <v>1616</v>
      </c>
      <c r="N31" s="5"/>
      <c r="O31" s="5" t="s">
        <v>1617</v>
      </c>
      <c r="P31" s="5"/>
      <c r="Q31" s="5" t="s">
        <v>1618</v>
      </c>
      <c r="R31" s="5" t="s">
        <v>2406</v>
      </c>
      <c r="S31" s="5"/>
      <c r="T31" s="5"/>
      <c r="U31" s="7"/>
      <c r="V31" s="7"/>
      <c r="W31" s="5" t="s">
        <v>2214</v>
      </c>
      <c r="X31" s="5" t="s">
        <v>1950</v>
      </c>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row>
    <row r="32" spans="1:51" ht="171" x14ac:dyDescent="0.2">
      <c r="A32" s="3">
        <v>30</v>
      </c>
      <c r="B32" s="5">
        <v>435</v>
      </c>
      <c r="C32" s="7" t="s">
        <v>175</v>
      </c>
      <c r="D32" s="7" t="s">
        <v>176</v>
      </c>
      <c r="E32" s="7" t="s">
        <v>1336</v>
      </c>
      <c r="F32" s="5">
        <v>18</v>
      </c>
      <c r="G32" s="5">
        <v>5</v>
      </c>
      <c r="H32" s="5">
        <v>607</v>
      </c>
      <c r="I32" s="5">
        <v>613</v>
      </c>
      <c r="J32" s="5" t="s">
        <v>177</v>
      </c>
      <c r="K32" s="5">
        <v>2013</v>
      </c>
      <c r="L32" s="5" t="s">
        <v>2357</v>
      </c>
      <c r="M32" s="5" t="s">
        <v>1951</v>
      </c>
      <c r="N32" s="5" t="s">
        <v>1624</v>
      </c>
      <c r="O32" s="5" t="s">
        <v>1625</v>
      </c>
      <c r="P32" s="5"/>
      <c r="Q32" s="5" t="s">
        <v>641</v>
      </c>
      <c r="R32" s="5" t="s">
        <v>640</v>
      </c>
      <c r="S32" s="5"/>
      <c r="T32" s="5"/>
      <c r="U32" s="7"/>
      <c r="V32" s="7"/>
      <c r="W32" s="5" t="s">
        <v>1626</v>
      </c>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row>
    <row r="33" spans="1:51" s="4" customFormat="1" ht="168" x14ac:dyDescent="0.2">
      <c r="A33" s="234" t="s">
        <v>2351</v>
      </c>
      <c r="B33" s="5"/>
      <c r="C33" s="7"/>
      <c r="D33" s="7"/>
      <c r="E33" s="7"/>
      <c r="F33" s="5"/>
      <c r="G33" s="5"/>
      <c r="H33" s="5"/>
      <c r="I33" s="5"/>
      <c r="J33" s="5"/>
      <c r="K33" s="5"/>
      <c r="L33" s="5"/>
      <c r="M33" s="5"/>
      <c r="N33" s="5"/>
      <c r="O33" s="5"/>
      <c r="P33" s="5"/>
      <c r="Q33" s="5"/>
      <c r="R33" s="5"/>
      <c r="S33" s="5"/>
      <c r="T33" s="5"/>
      <c r="U33" s="7"/>
      <c r="V33" s="7"/>
      <c r="W33" s="5"/>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row>
    <row r="34" spans="1:51" ht="75" x14ac:dyDescent="0.2">
      <c r="A34" s="3">
        <v>35</v>
      </c>
      <c r="B34" s="5">
        <v>447</v>
      </c>
      <c r="C34" s="7" t="s">
        <v>179</v>
      </c>
      <c r="D34" s="7" t="s">
        <v>180</v>
      </c>
      <c r="E34" s="7"/>
      <c r="F34" s="5">
        <v>25</v>
      </c>
      <c r="G34" s="5">
        <v>4</v>
      </c>
      <c r="H34" s="5">
        <v>571</v>
      </c>
      <c r="I34" s="5">
        <v>579</v>
      </c>
      <c r="J34" s="5"/>
      <c r="K34" s="5">
        <v>2013</v>
      </c>
      <c r="L34" s="5"/>
      <c r="M34" s="5"/>
      <c r="N34" s="5"/>
      <c r="O34" s="5"/>
      <c r="P34" s="5"/>
      <c r="Q34" s="5"/>
      <c r="R34" s="5"/>
      <c r="S34" s="5"/>
      <c r="T34" s="5"/>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row>
    <row r="35" spans="1:51" ht="75" x14ac:dyDescent="0.2">
      <c r="A35" s="3">
        <v>36</v>
      </c>
      <c r="B35" s="5">
        <v>456</v>
      </c>
      <c r="C35" s="7" t="s">
        <v>182</v>
      </c>
      <c r="D35" s="7" t="s">
        <v>183</v>
      </c>
      <c r="E35" s="7"/>
      <c r="F35" s="5">
        <v>154</v>
      </c>
      <c r="G35" s="5">
        <v>3</v>
      </c>
      <c r="H35" s="5">
        <v>377</v>
      </c>
      <c r="I35" s="5">
        <v>394</v>
      </c>
      <c r="J35" s="5" t="s">
        <v>184</v>
      </c>
      <c r="K35" s="5">
        <v>2013</v>
      </c>
      <c r="L35" s="5"/>
      <c r="M35" s="5"/>
      <c r="N35" s="5"/>
      <c r="O35" s="5"/>
      <c r="P35" s="5"/>
      <c r="Q35" s="5"/>
      <c r="R35" s="5"/>
      <c r="S35" s="5"/>
      <c r="T35" s="5"/>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row>
    <row r="36" spans="1:51" ht="105" x14ac:dyDescent="0.2">
      <c r="A36" s="3">
        <v>37</v>
      </c>
      <c r="B36" s="5">
        <v>457</v>
      </c>
      <c r="C36" s="7" t="s">
        <v>186</v>
      </c>
      <c r="D36" s="7" t="s">
        <v>187</v>
      </c>
      <c r="E36" s="7"/>
      <c r="F36" s="5">
        <v>154</v>
      </c>
      <c r="G36" s="5">
        <v>3</v>
      </c>
      <c r="H36" s="5">
        <v>427</v>
      </c>
      <c r="I36" s="5">
        <v>433</v>
      </c>
      <c r="J36" s="5" t="s">
        <v>188</v>
      </c>
      <c r="K36" s="5">
        <v>2013</v>
      </c>
      <c r="L36" s="5"/>
      <c r="M36" s="5"/>
      <c r="N36" s="5"/>
      <c r="O36" s="5"/>
      <c r="P36" s="5"/>
      <c r="Q36" s="5"/>
      <c r="R36" s="5"/>
      <c r="S36" s="5"/>
      <c r="T36" s="5"/>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row>
    <row r="37" spans="1:51" ht="75" x14ac:dyDescent="0.2">
      <c r="A37" s="3">
        <v>39</v>
      </c>
      <c r="B37" s="5">
        <v>459</v>
      </c>
      <c r="C37" s="7" t="s">
        <v>190</v>
      </c>
      <c r="D37" s="7" t="s">
        <v>191</v>
      </c>
      <c r="E37" s="7"/>
      <c r="F37" s="5">
        <v>73</v>
      </c>
      <c r="G37" s="5">
        <v>5</v>
      </c>
      <c r="H37" s="5">
        <v>422</v>
      </c>
      <c r="I37" s="5">
        <v>429</v>
      </c>
      <c r="J37" s="5" t="s">
        <v>1952</v>
      </c>
      <c r="K37" s="5">
        <v>2013</v>
      </c>
      <c r="L37" s="5"/>
      <c r="M37" s="5"/>
      <c r="N37" s="5"/>
      <c r="O37" s="5"/>
      <c r="P37" s="5"/>
      <c r="Q37" s="5"/>
      <c r="R37" s="5"/>
      <c r="S37" s="5"/>
      <c r="T37" s="5"/>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row>
    <row r="38" spans="1:51" ht="105" x14ac:dyDescent="0.2">
      <c r="A38" s="3">
        <v>39</v>
      </c>
      <c r="B38" s="5">
        <v>471</v>
      </c>
      <c r="C38" s="7" t="s">
        <v>193</v>
      </c>
      <c r="D38" s="7" t="s">
        <v>194</v>
      </c>
      <c r="E38" s="7"/>
      <c r="F38" s="5">
        <v>19</v>
      </c>
      <c r="G38" s="5">
        <v>2</v>
      </c>
      <c r="H38" s="5">
        <v>255</v>
      </c>
      <c r="I38" s="5">
        <v>263</v>
      </c>
      <c r="J38" s="5" t="s">
        <v>1953</v>
      </c>
      <c r="K38" s="5">
        <v>2013</v>
      </c>
      <c r="L38" s="5"/>
      <c r="M38" s="5"/>
      <c r="N38" s="5"/>
      <c r="O38" s="5"/>
      <c r="P38" s="5"/>
      <c r="Q38" s="5"/>
      <c r="R38" s="5"/>
      <c r="S38" s="5"/>
      <c r="T38" s="5"/>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row>
    <row r="39" spans="1:51" ht="105" x14ac:dyDescent="0.2">
      <c r="A39" s="3">
        <v>40</v>
      </c>
      <c r="B39" s="5">
        <v>476</v>
      </c>
      <c r="C39" s="5" t="s">
        <v>198</v>
      </c>
      <c r="D39" s="5" t="s">
        <v>199</v>
      </c>
      <c r="E39" s="5"/>
      <c r="F39" s="5">
        <v>76</v>
      </c>
      <c r="G39" s="5">
        <v>9</v>
      </c>
      <c r="H39" s="5" t="s">
        <v>200</v>
      </c>
      <c r="I39" s="5" t="s">
        <v>201</v>
      </c>
      <c r="J39" s="5"/>
      <c r="K39" s="5">
        <v>2011</v>
      </c>
      <c r="L39" s="5"/>
      <c r="M39" s="5"/>
      <c r="N39" s="5"/>
      <c r="O39" s="5"/>
      <c r="P39" s="5"/>
      <c r="Q39" s="5"/>
      <c r="R39" s="5"/>
      <c r="S39" s="5"/>
      <c r="T39" s="5"/>
      <c r="U39" s="5"/>
      <c r="V39" s="5"/>
      <c r="W39" s="5"/>
      <c r="X39" s="5"/>
      <c r="Y39" s="5"/>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row>
    <row r="40" spans="1:51" ht="135" x14ac:dyDescent="0.2">
      <c r="A40" s="3">
        <v>41</v>
      </c>
      <c r="B40" s="5">
        <v>476</v>
      </c>
      <c r="C40" s="7" t="s">
        <v>203</v>
      </c>
      <c r="D40" s="7" t="s">
        <v>204</v>
      </c>
      <c r="E40" s="7"/>
      <c r="F40" s="5">
        <v>33</v>
      </c>
      <c r="G40" s="5">
        <v>1</v>
      </c>
      <c r="H40" s="5">
        <v>296</v>
      </c>
      <c r="I40" s="5" t="s">
        <v>205</v>
      </c>
      <c r="J40" s="5" t="s">
        <v>206</v>
      </c>
      <c r="K40" s="5">
        <v>2013</v>
      </c>
      <c r="L40" s="5"/>
      <c r="M40" s="5"/>
      <c r="N40" s="5"/>
      <c r="O40" s="5"/>
      <c r="P40" s="5"/>
      <c r="Q40" s="5"/>
      <c r="R40" s="5"/>
      <c r="S40" s="5"/>
      <c r="T40" s="5"/>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row>
    <row r="41" spans="1:51" ht="75" x14ac:dyDescent="0.2">
      <c r="A41" s="3">
        <v>42</v>
      </c>
      <c r="B41" s="5">
        <v>479</v>
      </c>
      <c r="C41" s="7" t="s">
        <v>208</v>
      </c>
      <c r="D41" s="7" t="s">
        <v>209</v>
      </c>
      <c r="E41" s="7"/>
      <c r="F41" s="5">
        <v>90</v>
      </c>
      <c r="G41" s="5">
        <v>1</v>
      </c>
      <c r="H41" s="5">
        <v>92</v>
      </c>
      <c r="I41" s="5">
        <v>99</v>
      </c>
      <c r="J41" s="5" t="s">
        <v>1954</v>
      </c>
      <c r="K41" s="5">
        <v>2013</v>
      </c>
      <c r="L41" s="5"/>
      <c r="M41" s="5"/>
      <c r="N41" s="5"/>
      <c r="O41" s="5"/>
      <c r="P41" s="5"/>
      <c r="Q41" s="5"/>
      <c r="R41" s="5"/>
      <c r="S41" s="5"/>
      <c r="T41" s="5"/>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ht="45" x14ac:dyDescent="0.2">
      <c r="A42" s="3">
        <v>43</v>
      </c>
      <c r="B42" s="5">
        <v>493</v>
      </c>
      <c r="C42" s="7" t="s">
        <v>212</v>
      </c>
      <c r="D42" s="7" t="s">
        <v>213</v>
      </c>
      <c r="E42" s="7"/>
      <c r="F42" s="5">
        <v>32</v>
      </c>
      <c r="G42" s="5">
        <v>50</v>
      </c>
      <c r="H42" s="5">
        <v>19227</v>
      </c>
      <c r="I42" s="5">
        <v>19233</v>
      </c>
      <c r="J42" s="5" t="s">
        <v>214</v>
      </c>
      <c r="K42" s="5">
        <v>2012</v>
      </c>
      <c r="L42" s="5"/>
      <c r="M42" s="5"/>
      <c r="N42" s="5"/>
      <c r="O42" s="5"/>
      <c r="P42" s="5"/>
      <c r="Q42" s="5"/>
      <c r="R42" s="5"/>
      <c r="S42" s="5"/>
      <c r="T42" s="5"/>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row>
    <row r="43" spans="1:51" ht="60" x14ac:dyDescent="0.2">
      <c r="A43" s="3">
        <v>44</v>
      </c>
      <c r="B43" s="5">
        <v>496</v>
      </c>
      <c r="C43" s="5" t="s">
        <v>216</v>
      </c>
      <c r="D43" s="5" t="s">
        <v>217</v>
      </c>
      <c r="E43" s="5"/>
      <c r="F43" s="5">
        <v>17</v>
      </c>
      <c r="G43" s="5">
        <v>11</v>
      </c>
      <c r="H43" s="5">
        <v>1096</v>
      </c>
      <c r="I43" s="5">
        <v>1092</v>
      </c>
      <c r="J43" s="5" t="s">
        <v>1955</v>
      </c>
      <c r="K43" s="5">
        <v>2012</v>
      </c>
      <c r="L43" s="5"/>
      <c r="M43" s="5"/>
      <c r="N43" s="5"/>
      <c r="O43" s="5"/>
      <c r="P43" s="5"/>
      <c r="Q43" s="5"/>
      <c r="R43" s="5"/>
      <c r="S43" s="5"/>
      <c r="T43" s="5"/>
      <c r="U43" s="5"/>
      <c r="V43" s="5"/>
      <c r="W43" s="5"/>
      <c r="X43" s="5"/>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row>
    <row r="44" spans="1:51" ht="45" x14ac:dyDescent="0.2">
      <c r="A44" s="3">
        <v>45</v>
      </c>
      <c r="B44" s="5">
        <v>499</v>
      </c>
      <c r="C44" s="7" t="s">
        <v>220</v>
      </c>
      <c r="D44" s="7" t="s">
        <v>221</v>
      </c>
      <c r="E44" s="7"/>
      <c r="F44" s="5">
        <v>79</v>
      </c>
      <c r="G44" s="5">
        <v>19</v>
      </c>
      <c r="H44" s="5">
        <v>1961</v>
      </c>
      <c r="I44" s="5">
        <v>1969</v>
      </c>
      <c r="J44" s="5" t="s">
        <v>1956</v>
      </c>
      <c r="K44" s="5">
        <v>2012</v>
      </c>
      <c r="L44" s="5"/>
      <c r="M44" s="5"/>
      <c r="N44" s="5"/>
      <c r="O44" s="5"/>
      <c r="P44" s="5"/>
      <c r="Q44" s="5"/>
      <c r="R44" s="5"/>
      <c r="S44" s="5"/>
      <c r="T44" s="5"/>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row>
    <row r="45" spans="1:51" ht="105" x14ac:dyDescent="0.2">
      <c r="A45" s="3">
        <v>46</v>
      </c>
      <c r="B45" s="5">
        <v>500</v>
      </c>
      <c r="C45" s="7" t="s">
        <v>224</v>
      </c>
      <c r="D45" s="7" t="s">
        <v>225</v>
      </c>
      <c r="E45" s="7"/>
      <c r="F45" s="5">
        <v>72</v>
      </c>
      <c r="G45" s="5">
        <v>9</v>
      </c>
      <c r="H45" s="5">
        <v>759</v>
      </c>
      <c r="I45" s="5">
        <v>765</v>
      </c>
      <c r="J45" s="5" t="s">
        <v>226</v>
      </c>
      <c r="K45" s="5">
        <v>2012</v>
      </c>
      <c r="L45" s="5"/>
      <c r="M45" s="5"/>
      <c r="N45" s="5"/>
      <c r="O45" s="5"/>
      <c r="P45" s="5"/>
      <c r="Q45" s="5"/>
      <c r="R45" s="5"/>
      <c r="S45" s="5"/>
      <c r="T45" s="5"/>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row>
    <row r="46" spans="1:51" ht="120" x14ac:dyDescent="0.2">
      <c r="A46" s="3">
        <v>47</v>
      </c>
      <c r="B46" s="5">
        <v>504</v>
      </c>
      <c r="C46" s="7" t="s">
        <v>228</v>
      </c>
      <c r="D46" s="7" t="s">
        <v>229</v>
      </c>
      <c r="E46" s="7"/>
      <c r="F46" s="5">
        <v>72</v>
      </c>
      <c r="G46" s="5">
        <v>9</v>
      </c>
      <c r="H46" s="5">
        <v>677</v>
      </c>
      <c r="I46" s="5">
        <v>693</v>
      </c>
      <c r="J46" s="5" t="s">
        <v>230</v>
      </c>
      <c r="K46" s="5">
        <v>2012</v>
      </c>
      <c r="L46" s="5"/>
      <c r="M46" s="5"/>
      <c r="N46" s="5"/>
      <c r="O46" s="5"/>
      <c r="P46" s="5"/>
      <c r="Q46" s="5"/>
      <c r="R46" s="5"/>
      <c r="S46" s="5"/>
      <c r="T46" s="5"/>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row>
    <row r="47" spans="1:51" ht="75" x14ac:dyDescent="0.2">
      <c r="A47" s="3">
        <v>49</v>
      </c>
      <c r="B47" s="5">
        <v>511</v>
      </c>
      <c r="C47" s="5" t="s">
        <v>232</v>
      </c>
      <c r="D47" s="5" t="s">
        <v>233</v>
      </c>
      <c r="E47" s="7"/>
      <c r="F47" s="5">
        <v>17</v>
      </c>
      <c r="G47" s="5">
        <v>10</v>
      </c>
      <c r="H47" s="5">
        <v>1007</v>
      </c>
      <c r="I47" s="5">
        <v>1016</v>
      </c>
      <c r="J47" s="5" t="s">
        <v>1957</v>
      </c>
      <c r="K47" s="5">
        <v>2012</v>
      </c>
      <c r="L47" s="5"/>
      <c r="M47" s="5"/>
      <c r="N47" s="5"/>
      <c r="O47" s="5"/>
      <c r="P47" s="5"/>
      <c r="Q47" s="5"/>
      <c r="R47" s="5"/>
      <c r="S47" s="5"/>
      <c r="T47" s="5"/>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row>
    <row r="48" spans="1:51" ht="120" x14ac:dyDescent="0.2">
      <c r="A48" s="3">
        <v>49</v>
      </c>
      <c r="B48" s="5">
        <v>513</v>
      </c>
      <c r="C48" s="7" t="s">
        <v>236</v>
      </c>
      <c r="D48" s="7" t="s">
        <v>237</v>
      </c>
      <c r="E48" s="7"/>
      <c r="F48" s="5">
        <v>72</v>
      </c>
      <c r="G48" s="5">
        <v>3</v>
      </c>
      <c r="H48" s="5">
        <v>324</v>
      </c>
      <c r="I48" s="5">
        <v>334</v>
      </c>
      <c r="J48" s="5" t="s">
        <v>238</v>
      </c>
      <c r="K48" s="5">
        <v>2012</v>
      </c>
      <c r="L48" s="5"/>
      <c r="M48" s="5"/>
      <c r="N48" s="5"/>
      <c r="O48" s="5"/>
      <c r="P48" s="5"/>
      <c r="Q48" s="5"/>
      <c r="R48" s="5"/>
      <c r="S48" s="5"/>
      <c r="T48" s="5"/>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row>
    <row r="49" spans="1:51" ht="330" x14ac:dyDescent="0.2">
      <c r="A49" s="3">
        <v>50</v>
      </c>
      <c r="B49" s="5">
        <v>520</v>
      </c>
      <c r="C49" s="7" t="s">
        <v>239</v>
      </c>
      <c r="D49" s="7" t="s">
        <v>240</v>
      </c>
      <c r="E49" s="7"/>
      <c r="F49" s="5">
        <v>17</v>
      </c>
      <c r="G49" s="5">
        <v>9</v>
      </c>
      <c r="H49" s="5">
        <v>906</v>
      </c>
      <c r="I49" s="5">
        <v>917</v>
      </c>
      <c r="J49" s="5" t="s">
        <v>1958</v>
      </c>
      <c r="K49" s="5">
        <v>2012</v>
      </c>
      <c r="L49" s="5"/>
      <c r="M49" s="5"/>
      <c r="N49" s="5"/>
      <c r="O49" s="5"/>
      <c r="P49" s="5"/>
      <c r="Q49" s="5"/>
      <c r="R49" s="5"/>
      <c r="S49" s="5"/>
      <c r="T49" s="5"/>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row>
    <row r="50" spans="1:51" ht="60" x14ac:dyDescent="0.2">
      <c r="A50" s="3">
        <v>51</v>
      </c>
      <c r="B50" s="5">
        <v>526</v>
      </c>
      <c r="C50" s="7" t="s">
        <v>243</v>
      </c>
      <c r="D50" s="7" t="s">
        <v>244</v>
      </c>
      <c r="E50" s="7"/>
      <c r="F50" s="5">
        <v>17</v>
      </c>
      <c r="G50" s="5">
        <v>9</v>
      </c>
      <c r="H50" s="5">
        <v>909</v>
      </c>
      <c r="I50" s="5">
        <v>917</v>
      </c>
      <c r="J50" s="5" t="s">
        <v>1959</v>
      </c>
      <c r="K50" s="5">
        <v>2012</v>
      </c>
      <c r="L50" s="5"/>
      <c r="M50" s="5"/>
      <c r="N50" s="5"/>
      <c r="O50" s="5"/>
      <c r="P50" s="5"/>
      <c r="Q50" s="5"/>
      <c r="R50" s="5"/>
      <c r="S50" s="5"/>
      <c r="T50" s="5"/>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row>
    <row r="51" spans="1:51" ht="60" x14ac:dyDescent="0.2">
      <c r="A51" s="3">
        <v>52</v>
      </c>
      <c r="B51" s="5">
        <v>529</v>
      </c>
      <c r="C51" s="7" t="s">
        <v>247</v>
      </c>
      <c r="D51" s="7" t="s">
        <v>1960</v>
      </c>
      <c r="E51" s="7"/>
      <c r="F51" s="5">
        <v>72</v>
      </c>
      <c r="G51" s="5">
        <v>3</v>
      </c>
      <c r="H51" s="5">
        <v>175</v>
      </c>
      <c r="I51" s="5">
        <v>191</v>
      </c>
      <c r="J51" s="5" t="s">
        <v>249</v>
      </c>
      <c r="K51" s="5">
        <v>2012</v>
      </c>
      <c r="L51" s="5"/>
      <c r="M51" s="5"/>
      <c r="N51" s="5"/>
      <c r="O51" s="5"/>
      <c r="P51" s="5"/>
      <c r="Q51" s="5"/>
      <c r="R51" s="5"/>
      <c r="S51" s="5"/>
      <c r="T51" s="5"/>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row>
    <row r="52" spans="1:51" ht="75" x14ac:dyDescent="0.2">
      <c r="A52" s="3">
        <v>53</v>
      </c>
      <c r="B52" s="5">
        <v>529</v>
      </c>
      <c r="C52" s="7" t="s">
        <v>251</v>
      </c>
      <c r="D52" s="7" t="s">
        <v>252</v>
      </c>
      <c r="E52" s="7"/>
      <c r="F52" s="5">
        <v>153</v>
      </c>
      <c r="G52" s="5">
        <v>9</v>
      </c>
      <c r="H52" s="5">
        <v>1610</v>
      </c>
      <c r="I52" s="5">
        <v>1619</v>
      </c>
      <c r="J52" s="5" t="s">
        <v>253</v>
      </c>
      <c r="K52" s="5">
        <v>2012</v>
      </c>
      <c r="L52" s="5"/>
      <c r="M52" s="5"/>
      <c r="N52" s="5"/>
      <c r="O52" s="5"/>
      <c r="P52" s="5"/>
      <c r="Q52" s="5"/>
      <c r="R52" s="5"/>
      <c r="S52" s="5"/>
      <c r="T52" s="5"/>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row>
    <row r="53" spans="1:51" ht="60" x14ac:dyDescent="0.2">
      <c r="A53" s="3">
        <v>54</v>
      </c>
      <c r="B53" s="5">
        <v>531</v>
      </c>
      <c r="C53" s="7" t="s">
        <v>255</v>
      </c>
      <c r="D53" s="7" t="s">
        <v>256</v>
      </c>
      <c r="E53" s="7"/>
      <c r="F53" s="5">
        <v>32</v>
      </c>
      <c r="G53" s="5">
        <v>27</v>
      </c>
      <c r="H53" s="5">
        <v>9344</v>
      </c>
      <c r="I53" s="5">
        <v>9350</v>
      </c>
      <c r="J53" s="5" t="s">
        <v>257</v>
      </c>
      <c r="K53" s="5">
        <v>2012</v>
      </c>
      <c r="L53" s="5"/>
      <c r="M53" s="5"/>
      <c r="N53" s="5"/>
      <c r="O53" s="5"/>
      <c r="P53" s="5"/>
      <c r="Q53" s="5"/>
      <c r="R53" s="5"/>
      <c r="S53" s="5"/>
      <c r="T53" s="5"/>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row>
    <row r="54" spans="1:51" ht="135" x14ac:dyDescent="0.2">
      <c r="A54" s="3">
        <v>55</v>
      </c>
      <c r="B54" s="5">
        <v>539</v>
      </c>
      <c r="C54" s="7" t="s">
        <v>259</v>
      </c>
      <c r="D54" s="7" t="s">
        <v>260</v>
      </c>
      <c r="E54" s="7"/>
      <c r="F54" s="5">
        <v>17</v>
      </c>
      <c r="G54" s="5">
        <v>6</v>
      </c>
      <c r="H54" s="5">
        <v>604</v>
      </c>
      <c r="I54" s="5">
        <v>611</v>
      </c>
      <c r="J54" s="5" t="s">
        <v>1961</v>
      </c>
      <c r="K54" s="5">
        <v>2012</v>
      </c>
      <c r="L54" s="5"/>
      <c r="M54" s="5"/>
      <c r="N54" s="5"/>
      <c r="O54" s="5"/>
      <c r="P54" s="5"/>
      <c r="Q54" s="5"/>
      <c r="R54" s="5"/>
      <c r="S54" s="5"/>
      <c r="T54" s="5"/>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ht="45" x14ac:dyDescent="0.2">
      <c r="A55" s="3">
        <v>56</v>
      </c>
      <c r="B55" s="5">
        <v>546</v>
      </c>
      <c r="C55" s="7" t="s">
        <v>263</v>
      </c>
      <c r="D55" s="7" t="s">
        <v>264</v>
      </c>
      <c r="E55" s="7"/>
      <c r="F55" s="5">
        <v>24</v>
      </c>
      <c r="G55" s="5">
        <v>5</v>
      </c>
      <c r="H55" s="5">
        <v>1069</v>
      </c>
      <c r="I55" s="5">
        <v>1076</v>
      </c>
      <c r="J55" s="5"/>
      <c r="K55" s="5">
        <v>2012</v>
      </c>
      <c r="L55" s="5"/>
      <c r="M55" s="5"/>
      <c r="N55" s="5"/>
      <c r="O55" s="5"/>
      <c r="P55" s="5"/>
      <c r="Q55" s="5"/>
      <c r="R55" s="5"/>
      <c r="S55" s="5"/>
      <c r="T55" s="5"/>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row>
    <row r="56" spans="1:51" ht="60" x14ac:dyDescent="0.2">
      <c r="A56" s="3">
        <v>57</v>
      </c>
      <c r="B56" s="5">
        <v>549</v>
      </c>
      <c r="C56" s="7" t="s">
        <v>266</v>
      </c>
      <c r="D56" s="7" t="s">
        <v>267</v>
      </c>
      <c r="E56" s="7"/>
      <c r="F56" s="5">
        <v>17</v>
      </c>
      <c r="G56" s="5">
        <v>5</v>
      </c>
      <c r="H56" s="5">
        <v>511</v>
      </c>
      <c r="I56" s="5">
        <v>519</v>
      </c>
      <c r="J56" s="5" t="s">
        <v>1962</v>
      </c>
      <c r="K56" s="5">
        <v>2012</v>
      </c>
      <c r="L56" s="5"/>
      <c r="M56" s="5"/>
      <c r="N56" s="5"/>
      <c r="O56" s="5"/>
      <c r="P56" s="5"/>
      <c r="Q56" s="5"/>
      <c r="R56" s="5"/>
      <c r="S56" s="5"/>
      <c r="T56" s="5"/>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row>
    <row r="57" spans="1:51" ht="60" x14ac:dyDescent="0.2">
      <c r="A57" s="3">
        <v>59</v>
      </c>
      <c r="B57" s="5">
        <v>551</v>
      </c>
      <c r="C57" s="7" t="s">
        <v>270</v>
      </c>
      <c r="D57" s="7" t="s">
        <v>271</v>
      </c>
      <c r="E57" s="7"/>
      <c r="F57" s="5">
        <v>17</v>
      </c>
      <c r="G57" s="5">
        <v>5</v>
      </c>
      <c r="H57" s="5">
        <v>559</v>
      </c>
      <c r="I57" s="5">
        <v>566</v>
      </c>
      <c r="J57" s="5" t="s">
        <v>1963</v>
      </c>
      <c r="K57" s="5">
        <v>2012</v>
      </c>
      <c r="L57" s="5"/>
      <c r="M57" s="5"/>
      <c r="N57" s="5"/>
      <c r="O57" s="5"/>
      <c r="P57" s="5"/>
      <c r="Q57" s="5"/>
      <c r="R57" s="5"/>
      <c r="S57" s="5"/>
      <c r="T57" s="5"/>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row>
    <row r="58" spans="1:51" ht="60" x14ac:dyDescent="0.2">
      <c r="A58" s="3">
        <v>59</v>
      </c>
      <c r="B58" s="5">
        <v>604</v>
      </c>
      <c r="C58" s="7" t="s">
        <v>274</v>
      </c>
      <c r="D58" s="7" t="s">
        <v>275</v>
      </c>
      <c r="E58" s="7"/>
      <c r="F58" s="5">
        <v>17</v>
      </c>
      <c r="G58" s="5">
        <v>3</v>
      </c>
      <c r="H58" s="5">
        <v>315</v>
      </c>
      <c r="I58" s="5">
        <v>324</v>
      </c>
      <c r="J58" s="5" t="s">
        <v>1964</v>
      </c>
      <c r="K58" s="5">
        <v>2012</v>
      </c>
      <c r="L58" s="5"/>
      <c r="M58" s="5"/>
      <c r="N58" s="5"/>
      <c r="O58" s="5"/>
      <c r="P58" s="5"/>
      <c r="Q58" s="5"/>
      <c r="R58" s="5"/>
      <c r="S58" s="5"/>
      <c r="T58" s="5"/>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row>
    <row r="59" spans="1:51" ht="75" x14ac:dyDescent="0.2">
      <c r="A59" s="3">
        <v>60</v>
      </c>
      <c r="B59" s="5">
        <v>607</v>
      </c>
      <c r="C59" s="7" t="s">
        <v>278</v>
      </c>
      <c r="D59" s="7" t="s">
        <v>279</v>
      </c>
      <c r="E59" s="7"/>
      <c r="F59" s="5">
        <v>71</v>
      </c>
      <c r="G59" s="5">
        <v>5</v>
      </c>
      <c r="H59" s="5">
        <v>419</v>
      </c>
      <c r="I59" s="5">
        <v>426</v>
      </c>
      <c r="J59" s="5" t="s">
        <v>280</v>
      </c>
      <c r="K59" s="5">
        <v>2012</v>
      </c>
      <c r="L59" s="5"/>
      <c r="M59" s="5"/>
      <c r="N59" s="5"/>
      <c r="O59" s="5"/>
      <c r="P59" s="5"/>
      <c r="Q59" s="5"/>
      <c r="R59" s="5"/>
      <c r="S59" s="5"/>
      <c r="T59" s="5"/>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row>
    <row r="60" spans="1:51" ht="90" x14ac:dyDescent="0.2">
      <c r="A60" s="3">
        <v>61</v>
      </c>
      <c r="B60" s="5">
        <v>609</v>
      </c>
      <c r="C60" s="7" t="s">
        <v>282</v>
      </c>
      <c r="D60" s="7" t="s">
        <v>283</v>
      </c>
      <c r="E60" s="7"/>
      <c r="F60" s="5">
        <v>71</v>
      </c>
      <c r="G60" s="5">
        <v>5</v>
      </c>
      <c r="H60" s="5">
        <v>451</v>
      </c>
      <c r="I60" s="5">
        <v>457</v>
      </c>
      <c r="J60" s="5" t="s">
        <v>284</v>
      </c>
      <c r="K60" s="5">
        <v>2012</v>
      </c>
      <c r="L60" s="5"/>
      <c r="M60" s="5"/>
      <c r="N60" s="5"/>
      <c r="O60" s="5"/>
      <c r="P60" s="5"/>
      <c r="Q60" s="5"/>
      <c r="R60" s="5"/>
      <c r="S60" s="5"/>
      <c r="T60" s="5"/>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row>
    <row r="61" spans="1:51" ht="105" x14ac:dyDescent="0.2">
      <c r="A61" s="3">
        <v>62</v>
      </c>
      <c r="B61" s="5">
        <v>614</v>
      </c>
      <c r="C61" s="7" t="s">
        <v>286</v>
      </c>
      <c r="D61" s="7" t="s">
        <v>287</v>
      </c>
      <c r="E61" s="7"/>
      <c r="F61" s="5">
        <v>17</v>
      </c>
      <c r="G61" s="5">
        <v>2</v>
      </c>
      <c r="H61" s="5">
        <v>223</v>
      </c>
      <c r="I61" s="5">
        <v>233</v>
      </c>
      <c r="J61" s="5" t="s">
        <v>1965</v>
      </c>
      <c r="K61" s="5">
        <v>2012</v>
      </c>
      <c r="L61" s="5"/>
      <c r="M61" s="5"/>
      <c r="N61" s="5"/>
      <c r="O61" s="5"/>
      <c r="P61" s="5"/>
      <c r="Q61" s="5"/>
      <c r="R61" s="5"/>
      <c r="S61" s="5"/>
      <c r="T61" s="5"/>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row>
    <row r="62" spans="1:51" ht="60" x14ac:dyDescent="0.2">
      <c r="A62" s="3">
        <v>63</v>
      </c>
      <c r="B62" s="5">
        <v>615</v>
      </c>
      <c r="C62" s="7" t="s">
        <v>290</v>
      </c>
      <c r="D62" s="7" t="s">
        <v>1966</v>
      </c>
      <c r="E62" s="7"/>
      <c r="F62" s="5">
        <v>17</v>
      </c>
      <c r="G62" s="5">
        <v>2</v>
      </c>
      <c r="H62" s="5">
        <v>119</v>
      </c>
      <c r="I62" s="5">
        <v>119</v>
      </c>
      <c r="J62" s="5" t="s">
        <v>1967</v>
      </c>
      <c r="K62" s="5">
        <v>2012</v>
      </c>
      <c r="L62" s="5"/>
      <c r="M62" s="5"/>
      <c r="N62" s="5"/>
      <c r="O62" s="5"/>
      <c r="P62" s="5"/>
      <c r="Q62" s="5"/>
      <c r="R62" s="5"/>
      <c r="S62" s="5"/>
      <c r="T62" s="5"/>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row>
    <row r="63" spans="1:51" ht="75" x14ac:dyDescent="0.2">
      <c r="A63" s="3">
        <v>64</v>
      </c>
      <c r="B63" s="5">
        <v>627</v>
      </c>
      <c r="C63" s="7" t="s">
        <v>294</v>
      </c>
      <c r="D63" s="7" t="s">
        <v>295</v>
      </c>
      <c r="E63" s="7"/>
      <c r="F63" s="5">
        <v>79</v>
      </c>
      <c r="G63" s="5">
        <v>4</v>
      </c>
      <c r="H63" s="5">
        <v>232</v>
      </c>
      <c r="I63" s="5">
        <v>240</v>
      </c>
      <c r="J63" s="5" t="s">
        <v>1968</v>
      </c>
      <c r="K63" s="5">
        <v>2012</v>
      </c>
      <c r="L63" s="5"/>
      <c r="M63" s="5"/>
      <c r="N63" s="5"/>
      <c r="O63" s="5"/>
      <c r="P63" s="5"/>
      <c r="Q63" s="5"/>
      <c r="R63" s="5"/>
      <c r="S63" s="5"/>
      <c r="T63" s="5"/>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row>
    <row r="64" spans="1:51" ht="225" x14ac:dyDescent="0.2">
      <c r="A64" s="3">
        <v>65</v>
      </c>
      <c r="B64" s="5">
        <v>654</v>
      </c>
      <c r="C64" s="7" t="s">
        <v>298</v>
      </c>
      <c r="D64" s="7" t="s">
        <v>299</v>
      </c>
      <c r="E64" s="7"/>
      <c r="F64" s="5">
        <v>70</v>
      </c>
      <c r="G64" s="5">
        <v>6</v>
      </c>
      <c r="H64" s="5">
        <v>519</v>
      </c>
      <c r="I64" s="5">
        <v>527</v>
      </c>
      <c r="J64" s="5" t="s">
        <v>300</v>
      </c>
      <c r="K64" s="5">
        <v>2011</v>
      </c>
      <c r="L64" s="5"/>
      <c r="M64" s="5"/>
      <c r="N64" s="5"/>
      <c r="O64" s="5"/>
      <c r="P64" s="5"/>
      <c r="Q64" s="5"/>
      <c r="R64" s="5"/>
      <c r="S64" s="5"/>
      <c r="T64" s="5"/>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row>
    <row r="65" spans="1:51" ht="180" x14ac:dyDescent="0.2">
      <c r="A65" s="3">
        <v>66</v>
      </c>
      <c r="B65" s="5">
        <v>661</v>
      </c>
      <c r="C65" s="7" t="s">
        <v>302</v>
      </c>
      <c r="D65" s="7" t="s">
        <v>303</v>
      </c>
      <c r="E65" s="7"/>
      <c r="F65" s="5">
        <v>16</v>
      </c>
      <c r="G65" s="5">
        <v>9</v>
      </c>
      <c r="H65" s="5">
        <v>939</v>
      </c>
      <c r="I65" s="5">
        <v>949</v>
      </c>
      <c r="J65" s="5" t="s">
        <v>1969</v>
      </c>
      <c r="K65" s="5">
        <v>2011</v>
      </c>
      <c r="L65" s="5"/>
      <c r="M65" s="5"/>
      <c r="N65" s="5"/>
      <c r="O65" s="5"/>
      <c r="P65" s="5"/>
      <c r="Q65" s="5"/>
      <c r="R65" s="5"/>
      <c r="S65" s="5"/>
      <c r="T65" s="5"/>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row>
    <row r="66" spans="1:51" ht="45" x14ac:dyDescent="0.2">
      <c r="A66" s="3">
        <v>67</v>
      </c>
      <c r="B66" s="5">
        <v>663</v>
      </c>
      <c r="C66" s="7" t="s">
        <v>306</v>
      </c>
      <c r="D66" s="7" t="s">
        <v>307</v>
      </c>
      <c r="E66" s="7"/>
      <c r="F66" s="5">
        <v>16</v>
      </c>
      <c r="G66" s="5">
        <v>9</v>
      </c>
      <c r="H66" s="5">
        <v>917</v>
      </c>
      <c r="I66" s="5">
        <v>926</v>
      </c>
      <c r="J66" s="5" t="s">
        <v>1970</v>
      </c>
      <c r="K66" s="5">
        <v>2011</v>
      </c>
      <c r="L66" s="5"/>
      <c r="M66" s="5"/>
      <c r="N66" s="5"/>
      <c r="O66" s="5"/>
      <c r="P66" s="5"/>
      <c r="Q66" s="5"/>
      <c r="R66" s="5"/>
      <c r="S66" s="5"/>
      <c r="T66" s="5"/>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row>
    <row r="67" spans="1:51" ht="60" x14ac:dyDescent="0.2">
      <c r="A67" s="3">
        <v>69</v>
      </c>
      <c r="B67" s="5">
        <v>666</v>
      </c>
      <c r="C67" s="7" t="s">
        <v>310</v>
      </c>
      <c r="D67" s="7" t="s">
        <v>311</v>
      </c>
      <c r="E67" s="7"/>
      <c r="F67" s="5">
        <v>31</v>
      </c>
      <c r="G67" s="5">
        <v>32</v>
      </c>
      <c r="H67" s="5">
        <v>11629</v>
      </c>
      <c r="I67" s="5">
        <v>11632</v>
      </c>
      <c r="J67" s="5" t="s">
        <v>312</v>
      </c>
      <c r="K67" s="5">
        <v>2011</v>
      </c>
      <c r="L67" s="5"/>
      <c r="M67" s="5"/>
      <c r="N67" s="5"/>
      <c r="O67" s="5"/>
      <c r="P67" s="5"/>
      <c r="Q67" s="5"/>
      <c r="R67" s="5"/>
      <c r="S67" s="5"/>
      <c r="T67" s="5"/>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ht="60" x14ac:dyDescent="0.2">
      <c r="A68" s="3">
        <v>69</v>
      </c>
      <c r="B68" s="5">
        <v>669</v>
      </c>
      <c r="C68" s="7" t="s">
        <v>314</v>
      </c>
      <c r="D68" s="7" t="s">
        <v>315</v>
      </c>
      <c r="E68" s="7"/>
      <c r="F68" s="5">
        <v>16</v>
      </c>
      <c r="G68" s="5">
        <v>9</v>
      </c>
      <c r="H68" s="5">
        <v>960</v>
      </c>
      <c r="I68" s="5">
        <v>966</v>
      </c>
      <c r="J68" s="5" t="s">
        <v>1971</v>
      </c>
      <c r="K68" s="5">
        <v>2011</v>
      </c>
      <c r="L68" s="5"/>
      <c r="M68" s="5"/>
      <c r="N68" s="5"/>
      <c r="O68" s="5"/>
      <c r="P68" s="5"/>
      <c r="Q68" s="5"/>
      <c r="R68" s="5"/>
      <c r="S68" s="5"/>
      <c r="T68" s="5"/>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row>
    <row r="69" spans="1:51" ht="60" x14ac:dyDescent="0.2">
      <c r="A69" s="3">
        <v>70</v>
      </c>
      <c r="B69" s="5">
        <v>670</v>
      </c>
      <c r="C69" s="7" t="s">
        <v>318</v>
      </c>
      <c r="D69" s="7" t="s">
        <v>319</v>
      </c>
      <c r="E69" s="7"/>
      <c r="F69" s="5">
        <v>70</v>
      </c>
      <c r="G69" s="5">
        <v>3</v>
      </c>
      <c r="H69" s="5">
        <v>222</v>
      </c>
      <c r="I69" s="5">
        <v>229</v>
      </c>
      <c r="J69" s="5" t="s">
        <v>320</v>
      </c>
      <c r="K69" s="5">
        <v>2011</v>
      </c>
      <c r="L69" s="5"/>
      <c r="M69" s="5"/>
      <c r="N69" s="5"/>
      <c r="O69" s="5"/>
      <c r="P69" s="5"/>
      <c r="Q69" s="5"/>
      <c r="R69" s="5"/>
      <c r="S69" s="5"/>
      <c r="T69" s="5"/>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row>
    <row r="70" spans="1:51" ht="75" x14ac:dyDescent="0.2">
      <c r="A70" s="3">
        <v>71</v>
      </c>
      <c r="B70" s="5">
        <v>671</v>
      </c>
      <c r="C70" s="7" t="s">
        <v>322</v>
      </c>
      <c r="D70" s="7" t="s">
        <v>323</v>
      </c>
      <c r="E70" s="7"/>
      <c r="F70" s="5">
        <v>70</v>
      </c>
      <c r="G70" s="5">
        <v>3</v>
      </c>
      <c r="H70" s="5">
        <v>237</v>
      </c>
      <c r="I70" s="5">
        <v>245</v>
      </c>
      <c r="J70" s="5" t="s">
        <v>324</v>
      </c>
      <c r="K70" s="5">
        <v>2011</v>
      </c>
      <c r="L70" s="5"/>
      <c r="M70" s="5"/>
      <c r="N70" s="5"/>
      <c r="O70" s="5"/>
      <c r="P70" s="5"/>
      <c r="Q70" s="5"/>
      <c r="R70" s="5"/>
      <c r="S70" s="5"/>
      <c r="T70" s="5"/>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row>
    <row r="71" spans="1:51" ht="60" x14ac:dyDescent="0.2">
      <c r="A71" s="3">
        <v>72</v>
      </c>
      <c r="B71" s="5">
        <v>673</v>
      </c>
      <c r="C71" s="7" t="s">
        <v>326</v>
      </c>
      <c r="D71" s="7" t="s">
        <v>327</v>
      </c>
      <c r="E71" s="7"/>
      <c r="F71" s="5">
        <v>70</v>
      </c>
      <c r="G71" s="5">
        <v>2</v>
      </c>
      <c r="H71" s="5">
        <v>152</v>
      </c>
      <c r="I71" s="5">
        <v>159</v>
      </c>
      <c r="J71" s="5" t="s">
        <v>328</v>
      </c>
      <c r="K71" s="5">
        <v>2011</v>
      </c>
      <c r="L71" s="5"/>
      <c r="M71" s="5"/>
      <c r="N71" s="5"/>
      <c r="O71" s="5"/>
      <c r="P71" s="5"/>
      <c r="Q71" s="5"/>
      <c r="R71" s="5"/>
      <c r="S71" s="5"/>
      <c r="T71" s="5"/>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row>
    <row r="72" spans="1:51" ht="30" x14ac:dyDescent="0.2">
      <c r="A72" s="3">
        <v>73</v>
      </c>
      <c r="B72" s="5">
        <v>696</v>
      </c>
      <c r="C72" s="7" t="s">
        <v>330</v>
      </c>
      <c r="D72" s="7" t="s">
        <v>331</v>
      </c>
      <c r="E72" s="7"/>
      <c r="F72" s="5">
        <v>16</v>
      </c>
      <c r="G72" s="5">
        <v>6</v>
      </c>
      <c r="H72" s="5">
        <v>620</v>
      </c>
      <c r="I72" s="5">
        <v>625</v>
      </c>
      <c r="J72" s="5" t="s">
        <v>1972</v>
      </c>
      <c r="K72" s="5">
        <v>2011</v>
      </c>
      <c r="L72" s="5"/>
      <c r="M72" s="5"/>
      <c r="N72" s="5"/>
      <c r="O72" s="5"/>
      <c r="P72" s="5"/>
      <c r="Q72" s="5"/>
      <c r="R72" s="5"/>
      <c r="S72" s="5"/>
      <c r="T72" s="5"/>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row>
    <row r="73" spans="1:51" x14ac:dyDescent="0.2">
      <c r="B73" s="2"/>
      <c r="F73" s="2"/>
      <c r="G73" s="2"/>
      <c r="H73" s="2"/>
      <c r="I73" s="2"/>
      <c r="J73" s="2"/>
      <c r="K73" s="2"/>
      <c r="L73" s="2"/>
      <c r="M73" s="2"/>
      <c r="N73" s="2"/>
      <c r="O73" s="2"/>
      <c r="P73" s="2"/>
      <c r="Q73" s="2"/>
      <c r="R73" s="2"/>
      <c r="S73" s="2"/>
      <c r="T73" s="2"/>
    </row>
    <row r="74" spans="1:51" x14ac:dyDescent="0.2">
      <c r="B74" s="2"/>
      <c r="F74" s="2"/>
      <c r="G74" s="2"/>
      <c r="H74" s="2"/>
      <c r="I74" s="2"/>
      <c r="J74" s="2"/>
      <c r="K74" s="2"/>
      <c r="L74" s="2"/>
      <c r="M74" s="2"/>
      <c r="N74" s="2"/>
      <c r="O74" s="2"/>
      <c r="P74" s="2"/>
      <c r="Q74" s="2"/>
      <c r="R74" s="2"/>
      <c r="S74" s="2"/>
      <c r="T74" s="2"/>
    </row>
    <row r="75" spans="1:51" x14ac:dyDescent="0.2">
      <c r="B75" s="2"/>
      <c r="F75" s="2"/>
      <c r="G75" s="2"/>
      <c r="H75" s="2"/>
      <c r="I75" s="2"/>
      <c r="J75" s="2"/>
      <c r="K75" s="2"/>
      <c r="L75" s="2"/>
      <c r="M75" s="2"/>
      <c r="N75" s="2"/>
      <c r="O75" s="2"/>
      <c r="P75" s="2"/>
      <c r="Q75" s="2"/>
      <c r="R75" s="2"/>
      <c r="S75" s="2"/>
      <c r="T75" s="2"/>
    </row>
    <row r="76" spans="1:51" x14ac:dyDescent="0.2">
      <c r="B76" s="2"/>
    </row>
    <row r="77" spans="1:51" x14ac:dyDescent="0.2">
      <c r="B77" s="2"/>
    </row>
    <row r="78" spans="1:51" x14ac:dyDescent="0.2">
      <c r="B78" s="2"/>
    </row>
    <row r="79" spans="1:51" x14ac:dyDescent="0.2">
      <c r="B79" s="2"/>
    </row>
    <row r="80" spans="1:51" x14ac:dyDescent="0.2">
      <c r="B80" s="2"/>
    </row>
    <row r="81" spans="2:2" x14ac:dyDescent="0.2">
      <c r="B81" s="2"/>
    </row>
    <row r="82" spans="2:2" x14ac:dyDescent="0.2">
      <c r="B82" s="2"/>
    </row>
    <row r="83" spans="2:2" x14ac:dyDescent="0.2">
      <c r="B83" s="2"/>
    </row>
  </sheetData>
  <hyperlinks>
    <hyperlink ref="T4" r:id="rId1" display="http://snpedia.com/index.php/Rs1800955"/>
    <hyperlink ref="T5" r:id="rId2" display="http://snpedia.com/index.php/Rs4680"/>
    <hyperlink ref="T6" r:id="rId3" display="http://snpedia.com/index.php/Rs2267735"/>
    <hyperlink ref="T13" r:id="rId4"/>
    <hyperlink ref="T15" r:id="rId5"/>
    <hyperlink ref="T16" r:id="rId6"/>
    <hyperlink ref="T17" r:id="rId7"/>
    <hyperlink ref="T18" r:id="rId8"/>
    <hyperlink ref="T24" r:id="rId9"/>
    <hyperlink ref="T26" r:id="rId10"/>
    <hyperlink ref="T25" r:id="rId11"/>
    <hyperlink ref="T27" r:id="rId12"/>
    <hyperlink ref="W27" r:id="rId13" location="ref-20" display="http://www.jneurosci.org/content/34/3/1051.full - ref-20"/>
    <hyperlink ref="X31" r:id="rId14" location="fig4" display="http://www.nature.com/mp/journal/v18/n7/full/mp201272a.html - fig4"/>
    <hyperlink ref="T12" r:id="rId15"/>
  </hyperlinks>
  <pageMargins left="0.7" right="0.7" top="0.75" bottom="0.75" header="0.3" footer="0.3"/>
  <pageSetup paperSize="9" orientation="portrait" r:id="rId16"/>
  <drawing r:id="rId1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8"/>
  <sheetViews>
    <sheetView workbookViewId="0">
      <pane xSplit="1" ySplit="1" topLeftCell="W2" activePane="bottomRight" state="frozen"/>
      <selection activeCell="L12" sqref="L12"/>
      <selection pane="topRight" activeCell="L12" sqref="L12"/>
      <selection pane="bottomLeft" activeCell="L12" sqref="L12"/>
      <selection pane="bottomRight" activeCell="Z5" sqref="Z5"/>
    </sheetView>
  </sheetViews>
  <sheetFormatPr baseColWidth="10" defaultColWidth="8.83203125" defaultRowHeight="15" x14ac:dyDescent="0.2"/>
  <cols>
    <col min="4" max="4" width="15.83203125" customWidth="1"/>
    <col min="5" max="5" width="5.1640625" customWidth="1"/>
    <col min="6" max="6" width="4.33203125" style="165" customWidth="1"/>
    <col min="7" max="8" width="11.5" customWidth="1"/>
    <col min="9" max="9" width="28.83203125" customWidth="1"/>
    <col min="10" max="10" width="15.5" customWidth="1"/>
    <col min="12" max="13" width="14.1640625" customWidth="1"/>
    <col min="14" max="14" width="14.83203125" customWidth="1"/>
    <col min="15" max="15" width="26.33203125" customWidth="1"/>
    <col min="17" max="17" width="29.83203125" customWidth="1"/>
    <col min="18" max="18" width="16.6640625" style="64" customWidth="1"/>
    <col min="21" max="23" width="30.5" customWidth="1"/>
    <col min="24" max="24" width="36" style="64" customWidth="1"/>
    <col min="25" max="25" width="79.33203125" customWidth="1"/>
    <col min="26" max="26" width="66.33203125" customWidth="1"/>
  </cols>
  <sheetData>
    <row r="1" spans="1:26" ht="80" customHeight="1" x14ac:dyDescent="0.2">
      <c r="A1" s="82" t="s">
        <v>1338</v>
      </c>
      <c r="B1" s="82" t="s">
        <v>0</v>
      </c>
      <c r="C1" s="82" t="s">
        <v>1470</v>
      </c>
      <c r="D1" s="82" t="s">
        <v>1335</v>
      </c>
      <c r="E1" s="82" t="s">
        <v>1530</v>
      </c>
      <c r="F1" s="186"/>
      <c r="G1" s="34" t="s">
        <v>1768</v>
      </c>
      <c r="H1" s="34" t="s">
        <v>1770</v>
      </c>
      <c r="I1" s="34" t="s">
        <v>1870</v>
      </c>
      <c r="J1" s="34" t="s">
        <v>1865</v>
      </c>
      <c r="K1" s="34" t="s">
        <v>1894</v>
      </c>
      <c r="L1" s="34" t="s">
        <v>1771</v>
      </c>
      <c r="M1" s="34" t="s">
        <v>1806</v>
      </c>
      <c r="N1" s="34" t="s">
        <v>1807</v>
      </c>
      <c r="O1" s="34" t="s">
        <v>1871</v>
      </c>
      <c r="P1" s="34" t="s">
        <v>1864</v>
      </c>
      <c r="Q1" s="34" t="s">
        <v>1834</v>
      </c>
      <c r="R1" s="34" t="s">
        <v>1833</v>
      </c>
      <c r="S1" s="34" t="s">
        <v>2056</v>
      </c>
      <c r="T1" s="34" t="s">
        <v>1814</v>
      </c>
      <c r="U1" s="173" t="s">
        <v>1863</v>
      </c>
      <c r="V1" s="173" t="s">
        <v>1902</v>
      </c>
      <c r="W1" s="34" t="s">
        <v>1893</v>
      </c>
      <c r="X1" s="34" t="s">
        <v>1892</v>
      </c>
      <c r="Y1" s="34" t="s">
        <v>1901</v>
      </c>
      <c r="Z1" s="34" t="s">
        <v>2198</v>
      </c>
    </row>
    <row r="2" spans="1:26" ht="142" customHeight="1" x14ac:dyDescent="0.2">
      <c r="A2" s="82">
        <v>1</v>
      </c>
      <c r="B2" s="82">
        <f>overview_1!$H$68</f>
        <v>0</v>
      </c>
      <c r="C2" s="82">
        <f>overview_1!$B$15</f>
        <v>0.141081316183089</v>
      </c>
      <c r="D2" s="7" t="s">
        <v>1336</v>
      </c>
      <c r="E2" s="82">
        <v>1</v>
      </c>
      <c r="F2" s="186" t="s">
        <v>1339</v>
      </c>
      <c r="G2" s="82">
        <f t="shared" ref="G2:G31" ca="1" si="0">INDIRECT("overview_"&amp;A2&amp;"!$B$29")</f>
        <v>8</v>
      </c>
      <c r="H2" s="82">
        <f t="shared" ref="H2:H22" ca="1" si="1">INDIRECT("overview_"&amp;$A2&amp;"!$B$30")</f>
        <v>3</v>
      </c>
      <c r="I2" s="82">
        <f t="shared" ref="I2:I22" ca="1" si="2">INDIRECT("overview_"&amp;$A2&amp;"!$B$31")</f>
        <v>1</v>
      </c>
      <c r="J2" s="82" t="str">
        <f t="shared" ref="J2:J7" ca="1" si="3">H2&amp;I2</f>
        <v>31</v>
      </c>
      <c r="K2" s="82">
        <f t="shared" ref="K2:K22" ca="1" si="4">INDIRECT("overview_"&amp;$A2&amp;"!$B$27")</f>
        <v>2</v>
      </c>
      <c r="L2" s="82">
        <f t="shared" ref="L2:L31" ca="1" si="5">INDIRECT("overview_"&amp;$A2&amp;"!$B$29")</f>
        <v>8</v>
      </c>
      <c r="M2" s="82">
        <f t="shared" ref="M2:M31" ca="1" si="6">INDIRECT("overview_"&amp;$A2&amp;"!$B$33")</f>
        <v>4</v>
      </c>
      <c r="N2" s="82">
        <f t="shared" ref="N2:N31" ca="1" si="7">INDIRECT("overview_"&amp;$A2&amp;"!$B$34")</f>
        <v>2</v>
      </c>
      <c r="O2" s="82">
        <f t="shared" ref="O2:O31" ca="1" si="8">INDIRECT("overview_"&amp;$A2&amp;"!$B$35")</f>
        <v>1</v>
      </c>
      <c r="P2" s="82" t="str">
        <f t="shared" ref="P2:P7" ca="1" si="9">N2&amp;O2</f>
        <v>21</v>
      </c>
      <c r="Q2" s="82" t="str">
        <f t="shared" ref="Q2:Q31" ca="1" si="10">INDIRECT("overview_"&amp;$A2&amp;"!$B$36")</f>
        <v>n/a</v>
      </c>
      <c r="R2" s="34" t="str">
        <f t="shared" ref="R2:R31" ca="1" si="11">INDIRECT("overview_"&amp;$A2&amp;"!$B$37")</f>
        <v>n/a</v>
      </c>
      <c r="S2" s="82">
        <f ca="1">INDIRECT("overview_"&amp;$A2&amp;"!$B$39")</f>
        <v>0</v>
      </c>
      <c r="T2" s="82">
        <f ca="1">INDIRECT("overview_"&amp;$A2&amp;"!$B$39")</f>
        <v>0</v>
      </c>
      <c r="U2" s="82" t="str">
        <f t="shared" ref="U2:U31" ca="1" si="12">INDIRECT("overview_"&amp;$A2&amp;"!$B$40")</f>
        <v>n/a</v>
      </c>
      <c r="V2" s="82">
        <f t="shared" ref="V2:V31" ca="1" si="13">INDIRECT("overview_"&amp;$A2&amp;"!$B$7")</f>
        <v>2</v>
      </c>
      <c r="W2" s="187" t="str">
        <f t="shared" ref="W2:W31" ca="1" si="14">INDIRECT("overview_"&amp;$A2&amp;"!$B$41")</f>
        <v xml:space="preserve">To control for multiple testing in the discovery sample, Bonferroni correction was used: analyses of eight SNPs, a total of four subscales, and two sexes separately, yielding 64 independent tests. </v>
      </c>
      <c r="X2" s="63" t="str">
        <f t="shared" ref="X2:X31" ca="1" si="15">INDIRECT("overview_"&amp;$A2&amp;"!$B$42")</f>
        <v>One result described in terms of Cohen's d.</v>
      </c>
      <c r="Y2" t="str">
        <f ca="1">G2&amp;" polymorphisms x "&amp;K2&amp;" genetic models x "&amp; M2&amp; " behavioural phenotypes x "&amp;T2&amp; " neuro phenotypes x "&amp;V2&amp;" subgroups"</f>
        <v>8 polymorphisms x 2 genetic models x 4 behavioural phenotypes x 0 neuro phenotypes x 2 subgroups</v>
      </c>
      <c r="Z2" s="206" t="str">
        <f ca="1">INDIRECT("overview_"&amp;$A2&amp;"!$B$37")</f>
        <v>n/a</v>
      </c>
    </row>
    <row r="3" spans="1:26" ht="142" customHeight="1" x14ac:dyDescent="0.2">
      <c r="A3" s="82">
        <v>2</v>
      </c>
      <c r="B3" s="82">
        <f>overview_2!$H$8</f>
        <v>195</v>
      </c>
      <c r="C3" s="82">
        <f>overview_2!$B$15</f>
        <v>0.15880139519748426</v>
      </c>
      <c r="D3" s="7" t="s">
        <v>1349</v>
      </c>
      <c r="E3" s="82">
        <v>2</v>
      </c>
      <c r="F3" s="186"/>
      <c r="G3" s="82">
        <f t="shared" ca="1" si="0"/>
        <v>3</v>
      </c>
      <c r="H3" s="82">
        <f t="shared" ca="1" si="1"/>
        <v>3</v>
      </c>
      <c r="I3" s="82">
        <f t="shared" ca="1" si="2"/>
        <v>3</v>
      </c>
      <c r="J3" s="82" t="str">
        <f t="shared" ca="1" si="3"/>
        <v>33</v>
      </c>
      <c r="K3" s="82">
        <f t="shared" ca="1" si="4"/>
        <v>1</v>
      </c>
      <c r="L3" s="82">
        <f t="shared" ca="1" si="5"/>
        <v>3</v>
      </c>
      <c r="M3" s="82">
        <f t="shared" ca="1" si="6"/>
        <v>5</v>
      </c>
      <c r="N3" s="82">
        <f t="shared" ca="1" si="7"/>
        <v>1</v>
      </c>
      <c r="O3" s="82">
        <f t="shared" ca="1" si="8"/>
        <v>3</v>
      </c>
      <c r="P3" s="82" t="str">
        <f t="shared" ca="1" si="9"/>
        <v>13</v>
      </c>
      <c r="Q3" s="82" t="str">
        <f t="shared" ca="1" si="10"/>
        <v>n/a</v>
      </c>
      <c r="R3" s="34" t="str">
        <f t="shared" ca="1" si="11"/>
        <v>n/a</v>
      </c>
      <c r="S3" s="82">
        <v>0</v>
      </c>
      <c r="T3" s="82" t="str">
        <f t="shared" ref="T3:T31" ca="1" si="16">INDIRECT("overview_"&amp;$A3&amp;"!$B$39")</f>
        <v>n/a</v>
      </c>
      <c r="U3" s="82">
        <f t="shared" ca="1" si="12"/>
        <v>5</v>
      </c>
      <c r="V3" s="82">
        <f t="shared" ca="1" si="13"/>
        <v>1</v>
      </c>
      <c r="W3" s="187" t="str">
        <f t="shared" ca="1" si="14"/>
        <v>None reported (Model-fitting approach - SEM with bootstrapping)</v>
      </c>
      <c r="X3" s="34" t="str">
        <f t="shared" ca="1" si="15"/>
        <v>No</v>
      </c>
      <c r="Y3" t="str">
        <f t="shared" ref="Y3:Y31" ca="1" si="17">G3&amp;" polymorphisms x "&amp;K3&amp;" genetic models x "&amp; M3&amp; " behavioural phenotypes x "&amp;T3&amp; " neuro phenotypes x "&amp;V3&amp;" subgroups"</f>
        <v>3 polymorphisms x 1 genetic models x 5 behavioural phenotypes x n/a neuro phenotypes x 1 subgroups</v>
      </c>
      <c r="Z3" s="206" t="str">
        <f ca="1">INDIRECT("overview_"&amp;$A3&amp;"!$B$37")</f>
        <v>n/a</v>
      </c>
    </row>
    <row r="4" spans="1:26" ht="142" customHeight="1" x14ac:dyDescent="0.2">
      <c r="A4" s="82">
        <v>3</v>
      </c>
      <c r="B4" s="82">
        <v>8</v>
      </c>
      <c r="C4" s="82">
        <f>overview_3!$B$15</f>
        <v>0.33858432300086005</v>
      </c>
      <c r="D4" s="7" t="s">
        <v>1353</v>
      </c>
      <c r="E4" s="82">
        <v>3</v>
      </c>
      <c r="F4" s="186"/>
      <c r="G4" s="82">
        <f t="shared" ca="1" si="0"/>
        <v>2</v>
      </c>
      <c r="H4" s="82">
        <f t="shared" ca="1" si="1"/>
        <v>1</v>
      </c>
      <c r="I4" s="82">
        <f t="shared" ca="1" si="2"/>
        <v>0</v>
      </c>
      <c r="J4" s="82" t="str">
        <f t="shared" ca="1" si="3"/>
        <v>10</v>
      </c>
      <c r="K4" s="82">
        <f t="shared" ca="1" si="4"/>
        <v>1</v>
      </c>
      <c r="L4" s="82">
        <f t="shared" ca="1" si="5"/>
        <v>2</v>
      </c>
      <c r="M4" s="82">
        <f t="shared" ca="1" si="6"/>
        <v>7</v>
      </c>
      <c r="N4" s="82">
        <f t="shared" ca="1" si="7"/>
        <v>2</v>
      </c>
      <c r="O4" s="82">
        <f t="shared" ca="1" si="8"/>
        <v>0</v>
      </c>
      <c r="P4" s="82" t="str">
        <f t="shared" ca="1" si="9"/>
        <v>20</v>
      </c>
      <c r="Q4" s="82" t="str">
        <f t="shared" ca="1" si="10"/>
        <v>n/a</v>
      </c>
      <c r="R4" s="34" t="str">
        <f t="shared" ca="1" si="11"/>
        <v>n/a</v>
      </c>
      <c r="S4" s="82">
        <v>0</v>
      </c>
      <c r="T4" s="82">
        <f t="shared" ca="1" si="16"/>
        <v>0</v>
      </c>
      <c r="U4" s="82" t="str">
        <f t="shared" ca="1" si="12"/>
        <v>n/a</v>
      </c>
      <c r="V4" s="82">
        <f ca="1">INDIRECT("overview_"&amp;$A4&amp;"!$B$7")</f>
        <v>1</v>
      </c>
      <c r="W4" s="187" t="str">
        <f t="shared" ca="1" si="14"/>
        <v>None reported</v>
      </c>
      <c r="X4" s="63" t="str">
        <f t="shared" ca="1" si="15"/>
        <v>Table 3, effect size as regression coefficients</v>
      </c>
      <c r="Y4" t="str">
        <f t="shared" ca="1" si="17"/>
        <v>2 polymorphisms x 1 genetic models x 7 behavioural phenotypes x 0 neuro phenotypes x 1 subgroups</v>
      </c>
      <c r="Z4" s="206" t="str">
        <f t="shared" ref="Z4:Z31" ca="1" si="18">INDIRECT("overview_"&amp;$A4&amp;"!$B$37")</f>
        <v>n/a</v>
      </c>
    </row>
    <row r="5" spans="1:26" ht="142" customHeight="1" x14ac:dyDescent="0.2">
      <c r="A5" s="82">
        <v>4</v>
      </c>
      <c r="B5" s="82">
        <f>overview_4!$H$8</f>
        <v>24</v>
      </c>
      <c r="C5" s="82">
        <f>overview_4!$B$15</f>
        <v>0.56155639493501763</v>
      </c>
      <c r="D5" s="7" t="s">
        <v>1355</v>
      </c>
      <c r="E5" s="82">
        <v>4</v>
      </c>
      <c r="F5" s="186"/>
      <c r="G5" s="82">
        <f t="shared" ca="1" si="0"/>
        <v>1</v>
      </c>
      <c r="H5" s="82">
        <f t="shared" ca="1" si="1"/>
        <v>0</v>
      </c>
      <c r="I5" s="82">
        <f t="shared" ca="1" si="2"/>
        <v>5</v>
      </c>
      <c r="J5" s="82" t="str">
        <f t="shared" ca="1" si="3"/>
        <v>05</v>
      </c>
      <c r="K5" s="82">
        <f t="shared" ca="1" si="4"/>
        <v>1</v>
      </c>
      <c r="L5" s="82">
        <f t="shared" ca="1" si="5"/>
        <v>1</v>
      </c>
      <c r="M5" s="82">
        <f t="shared" ca="1" si="6"/>
        <v>7</v>
      </c>
      <c r="N5" s="82">
        <f t="shared" ca="1" si="7"/>
        <v>2</v>
      </c>
      <c r="O5" s="82">
        <f t="shared" ca="1" si="8"/>
        <v>0</v>
      </c>
      <c r="P5" s="82" t="str">
        <f t="shared" ca="1" si="9"/>
        <v>20</v>
      </c>
      <c r="Q5" s="82" t="str">
        <f t="shared" ca="1" si="10"/>
        <v xml:space="preserve">fMRI BOLD response; Functional data analysis (volume preprocessing, single subject and group analyses) for both studies performed using SPM8. Using the general linear model fixed effects analyses were conducted for each phase independently with the phase-dependent experimental conditions. ROI based on a priori hypotheses: hippocampus and amygdala. </v>
      </c>
      <c r="R5" s="34" t="str">
        <f t="shared" ca="1" si="11"/>
        <v>Discovery: peak voxel FWE corrected for the ROI. Replication: peak voxel FWE corrected for 6-mm sphere around peak voxel from discovery study</v>
      </c>
      <c r="S5" s="82">
        <v>0</v>
      </c>
      <c r="T5" s="82">
        <f t="shared" ca="1" si="16"/>
        <v>2</v>
      </c>
      <c r="U5" s="82">
        <f t="shared" ca="1" si="12"/>
        <v>0</v>
      </c>
      <c r="V5" s="82">
        <f t="shared" ca="1" si="13"/>
        <v>2</v>
      </c>
      <c r="W5" s="187" t="str">
        <f t="shared" ca="1" si="14"/>
        <v>None reported</v>
      </c>
      <c r="X5" s="34" t="str">
        <f t="shared" ca="1" si="15"/>
        <v>task specific activation in fMRI described as effect size, but scale unclear</v>
      </c>
      <c r="Y5" t="str">
        <f t="shared" ca="1" si="17"/>
        <v>1 polymorphisms x 1 genetic models x 7 behavioural phenotypes x 2 neuro phenotypes x 2 subgroups</v>
      </c>
      <c r="Z5" s="206" t="str">
        <f t="shared" ca="1" si="18"/>
        <v>Discovery: peak voxel FWE corrected for the ROI. Replication: peak voxel FWE corrected for 6-mm sphere around peak voxel from discovery study</v>
      </c>
    </row>
    <row r="6" spans="1:26" ht="142" customHeight="1" x14ac:dyDescent="0.2">
      <c r="A6" s="82">
        <v>5</v>
      </c>
      <c r="B6" s="82">
        <f>overview_5!$H$8</f>
        <v>3088</v>
      </c>
      <c r="C6" s="82">
        <f>overview_5!$B$15</f>
        <v>6.220800885867471E-2</v>
      </c>
      <c r="D6" s="7" t="s">
        <v>1336</v>
      </c>
      <c r="E6" s="82">
        <v>1</v>
      </c>
      <c r="F6" s="186"/>
      <c r="G6" s="82">
        <f t="shared" ca="1" si="0"/>
        <v>50</v>
      </c>
      <c r="H6" s="82">
        <f t="shared" ca="1" si="1"/>
        <v>1</v>
      </c>
      <c r="I6" s="82">
        <f t="shared" ca="1" si="2"/>
        <v>1</v>
      </c>
      <c r="J6" s="82" t="str">
        <f t="shared" ca="1" si="3"/>
        <v>11</v>
      </c>
      <c r="K6" s="82">
        <f t="shared" ca="1" si="4"/>
        <v>3</v>
      </c>
      <c r="L6" s="82">
        <f t="shared" ca="1" si="5"/>
        <v>50</v>
      </c>
      <c r="M6" s="82">
        <f t="shared" ca="1" si="6"/>
        <v>1</v>
      </c>
      <c r="N6" s="82">
        <f t="shared" ca="1" si="7"/>
        <v>0</v>
      </c>
      <c r="O6" s="82">
        <f t="shared" ca="1" si="8"/>
        <v>5</v>
      </c>
      <c r="P6" s="82" t="str">
        <f t="shared" ca="1" si="9"/>
        <v>05</v>
      </c>
      <c r="Q6" s="82" t="str">
        <f t="shared" ca="1" si="10"/>
        <v>n/a</v>
      </c>
      <c r="R6" s="34" t="str">
        <f t="shared" ca="1" si="11"/>
        <v>n/a</v>
      </c>
      <c r="S6" s="82">
        <v>0</v>
      </c>
      <c r="T6" s="82">
        <f t="shared" ca="1" si="16"/>
        <v>0</v>
      </c>
      <c r="U6" s="82" t="str">
        <f t="shared" ca="1" si="12"/>
        <v>n/a</v>
      </c>
      <c r="V6" s="82">
        <f t="shared" ca="1" si="13"/>
        <v>2</v>
      </c>
      <c r="W6" s="187" t="str">
        <f t="shared" ca="1" si="14"/>
        <v>Bonferroni corrections were used to select significant association results for all analyses.</v>
      </c>
      <c r="X6" s="34" t="str">
        <f t="shared" ca="1" si="15"/>
        <v>no</v>
      </c>
      <c r="Y6" t="str">
        <f t="shared" ca="1" si="17"/>
        <v>50 polymorphisms x 3 genetic models x 1 behavioural phenotypes x 0 neuro phenotypes x 2 subgroups</v>
      </c>
      <c r="Z6" s="206" t="str">
        <f t="shared" ca="1" si="18"/>
        <v>n/a</v>
      </c>
    </row>
    <row r="7" spans="1:26" ht="142" customHeight="1" x14ac:dyDescent="0.2">
      <c r="A7" s="82">
        <v>6</v>
      </c>
      <c r="B7" s="82"/>
      <c r="C7" s="82"/>
      <c r="D7" s="7" t="s">
        <v>1355</v>
      </c>
      <c r="E7" s="82">
        <v>4</v>
      </c>
      <c r="F7" s="186"/>
      <c r="G7" s="82">
        <f t="shared" ca="1" si="0"/>
        <v>1</v>
      </c>
      <c r="H7" s="82">
        <f t="shared" ca="1" si="1"/>
        <v>0</v>
      </c>
      <c r="I7" s="82">
        <f t="shared" ca="1" si="2"/>
        <v>5</v>
      </c>
      <c r="J7" s="82" t="str">
        <f t="shared" ca="1" si="3"/>
        <v>05</v>
      </c>
      <c r="K7" s="82">
        <f t="shared" ca="1" si="4"/>
        <v>1</v>
      </c>
      <c r="L7" s="82">
        <f t="shared" ca="1" si="5"/>
        <v>1</v>
      </c>
      <c r="M7" s="82">
        <f t="shared" ca="1" si="6"/>
        <v>1</v>
      </c>
      <c r="N7" s="82">
        <f t="shared" ca="1" si="7"/>
        <v>0</v>
      </c>
      <c r="O7" s="82">
        <f t="shared" ca="1" si="8"/>
        <v>5</v>
      </c>
      <c r="P7" s="82" t="str">
        <f t="shared" ca="1" si="9"/>
        <v>05</v>
      </c>
      <c r="Q7" s="82" t="str">
        <f t="shared" ca="1" si="10"/>
        <v>fMRI during experiments with threat conditions; SPM; Reactions to threat and safe cues  contrasted in each subject to index threat-related responses.  Single subject contrast maps were then subjected to random effects analyses. Exploratory study 1 confirmed with replication sample 2</v>
      </c>
      <c r="R7" s="34" t="str">
        <f t="shared" ca="1" si="11"/>
        <v>Sample 1 (Selected result): Contrasts to threat and safe cues were constructed in each subject to index threat-related responses. Single subject contrast maps subjected to random effects analyses. Whole-brain results thresholded at a cluster threshold of p &lt; .05 FWE corrected for multiple comparisons according to random field theory implemented in SPM (p &lt; .001 cluster forming threshold). In sample 2, used ROI giving significant genotype effects in sample 1 (dmPFC and insula) that showed a genotype effect in sample 1. In this way, effects in sample 1 were validated by the data from the same regions in sample 2.These clusters of interest defined using a cluster-defining threshold of .005 uncorrected</v>
      </c>
      <c r="S7" s="82">
        <v>1</v>
      </c>
      <c r="T7" s="82">
        <f t="shared" ca="1" si="16"/>
        <v>2</v>
      </c>
      <c r="U7" s="82">
        <f t="shared" ca="1" si="12"/>
        <v>0</v>
      </c>
      <c r="V7" s="82">
        <f t="shared" ca="1" si="13"/>
        <v>1</v>
      </c>
      <c r="W7" s="187" t="str">
        <f t="shared" ca="1" si="14"/>
        <v xml:space="preserve">None reported. </v>
      </c>
      <c r="X7" s="34" t="str">
        <f t="shared" ca="1" si="15"/>
        <v>no</v>
      </c>
      <c r="Y7" t="str">
        <f t="shared" ca="1" si="17"/>
        <v>1 polymorphisms x 1 genetic models x 1 behavioural phenotypes x 2 neuro phenotypes x 1 subgroups</v>
      </c>
      <c r="Z7" s="206" t="str">
        <f t="shared" ca="1" si="18"/>
        <v>Sample 1 (Selected result): Contrasts to threat and safe cues were constructed in each subject to index threat-related responses. Single subject contrast maps subjected to random effects analyses. Whole-brain results thresholded at a cluster threshold of p &lt; .05 FWE corrected for multiple comparisons according to random field theory implemented in SPM (p &lt; .001 cluster forming threshold). In sample 2, used ROI giving significant genotype effects in sample 1 (dmPFC and insula) that showed a genotype effect in sample 1. In this way, effects in sample 1 were validated by the data from the same regions in sample 2.These clusters of interest defined using a cluster-defining threshold of .005 uncorrected</v>
      </c>
    </row>
    <row r="8" spans="1:26" ht="142" customHeight="1" x14ac:dyDescent="0.2">
      <c r="A8" s="82">
        <v>7</v>
      </c>
      <c r="B8" s="82">
        <f>overview_7!$H$6</f>
        <v>136</v>
      </c>
      <c r="C8" s="82">
        <f>overview_7!$B$15</f>
        <v>0.18093942975542232</v>
      </c>
      <c r="D8" s="5" t="s">
        <v>1528</v>
      </c>
      <c r="E8" s="82">
        <v>5</v>
      </c>
      <c r="F8" s="186"/>
      <c r="G8" s="82">
        <f t="shared" ca="1" si="0"/>
        <v>9</v>
      </c>
      <c r="H8" s="82">
        <f t="shared" ca="1" si="1"/>
        <v>1</v>
      </c>
      <c r="I8" s="82">
        <f t="shared" ca="1" si="2"/>
        <v>2</v>
      </c>
      <c r="J8" s="82" t="str">
        <f ca="1">H9&amp;I9</f>
        <v>20</v>
      </c>
      <c r="K8" s="82">
        <f t="shared" ca="1" si="4"/>
        <v>1</v>
      </c>
      <c r="L8" s="82">
        <f t="shared" ca="1" si="5"/>
        <v>9</v>
      </c>
      <c r="M8" s="82">
        <f t="shared" ca="1" si="6"/>
        <v>5</v>
      </c>
      <c r="N8" s="82">
        <f t="shared" ca="1" si="7"/>
        <v>1</v>
      </c>
      <c r="O8" s="82">
        <f t="shared" ca="1" si="8"/>
        <v>0</v>
      </c>
      <c r="P8" s="82" t="str">
        <f ca="1">N9&amp;O9</f>
        <v>10</v>
      </c>
      <c r="Q8" s="82" t="str">
        <f t="shared" ca="1" si="10"/>
        <v>n/a</v>
      </c>
      <c r="R8" s="34" t="str">
        <f t="shared" ca="1" si="11"/>
        <v>n/a</v>
      </c>
      <c r="S8" s="82">
        <f ca="1">INDIRECT("overview_"&amp;$A8&amp;"!$B$39")</f>
        <v>0</v>
      </c>
      <c r="T8" s="82">
        <f t="shared" ca="1" si="16"/>
        <v>0</v>
      </c>
      <c r="U8" s="82" t="str">
        <f t="shared" ca="1" si="12"/>
        <v>n/a</v>
      </c>
      <c r="V8" s="82">
        <f t="shared" ca="1" si="13"/>
        <v>1</v>
      </c>
      <c r="W8" s="187" t="str">
        <f t="shared" ca="1" si="14"/>
        <v xml:space="preserve">We used spectral decomposition to estimate the number of effectively independent SNPs tested after accounting for the LD between neighboring SNPs, to generate a P value threshold to retain an experiment-wide alpha value of P = 0.008512. </v>
      </c>
      <c r="X8" s="34" t="str">
        <f t="shared" ca="1" si="15"/>
        <v>no</v>
      </c>
      <c r="Y8" t="str">
        <f t="shared" ca="1" si="17"/>
        <v>9 polymorphisms x 1 genetic models x 5 behavioural phenotypes x 0 neuro phenotypes x 1 subgroups</v>
      </c>
      <c r="Z8" s="206" t="str">
        <f t="shared" ca="1" si="18"/>
        <v>n/a</v>
      </c>
    </row>
    <row r="9" spans="1:26" ht="142" customHeight="1" x14ac:dyDescent="0.2">
      <c r="A9" s="82">
        <v>8</v>
      </c>
      <c r="B9" s="82">
        <f>overview_8!$H$8</f>
        <v>4602</v>
      </c>
      <c r="C9" s="82">
        <f>overview_8!$B$15</f>
        <v>0.22</v>
      </c>
      <c r="D9" s="7" t="s">
        <v>1336</v>
      </c>
      <c r="E9" s="82">
        <v>1</v>
      </c>
      <c r="F9" s="186"/>
      <c r="G9" s="82">
        <f ca="1">INDIRECT("overview_"&amp;A9&amp;"!$B$29")</f>
        <v>9</v>
      </c>
      <c r="H9" s="82">
        <f t="shared" ca="1" si="1"/>
        <v>2</v>
      </c>
      <c r="I9" s="82">
        <f t="shared" ca="1" si="2"/>
        <v>0</v>
      </c>
      <c r="J9" s="82" t="str">
        <f t="shared" ref="J9:J17" ca="1" si="19">H9&amp;I9</f>
        <v>20</v>
      </c>
      <c r="K9" s="82">
        <f t="shared" ca="1" si="4"/>
        <v>1</v>
      </c>
      <c r="L9" s="82">
        <f t="shared" ca="1" si="5"/>
        <v>9</v>
      </c>
      <c r="M9" s="82">
        <f t="shared" ca="1" si="6"/>
        <v>10</v>
      </c>
      <c r="N9" s="82">
        <f t="shared" ca="1" si="7"/>
        <v>1</v>
      </c>
      <c r="O9" s="82">
        <f t="shared" ca="1" si="8"/>
        <v>0</v>
      </c>
      <c r="P9" s="82" t="str">
        <f t="shared" ref="P9:P17" ca="1" si="20">N9&amp;O9</f>
        <v>10</v>
      </c>
      <c r="Q9" s="82" t="str">
        <f t="shared" ca="1" si="10"/>
        <v>n/a</v>
      </c>
      <c r="R9" s="34" t="str">
        <f t="shared" ca="1" si="11"/>
        <v>n/a</v>
      </c>
      <c r="S9" s="82">
        <f ca="1">INDIRECT("overview_"&amp;$A9&amp;"!$B$39")</f>
        <v>0</v>
      </c>
      <c r="T9" s="82">
        <f t="shared" ca="1" si="16"/>
        <v>0</v>
      </c>
      <c r="U9" s="82" t="str">
        <f t="shared" ca="1" si="12"/>
        <v>n/a</v>
      </c>
      <c r="V9" s="82">
        <f t="shared" ca="1" si="13"/>
        <v>1</v>
      </c>
      <c r="W9" s="187" t="str">
        <f t="shared" ca="1" si="14"/>
        <v xml:space="preserve">Based on previous findings for LOAD, we had strong prior evidence for all of our hypotheses, so we did not adjust for multiple comparisons; a P- value &lt; 0.05 was considered statistically significant </v>
      </c>
      <c r="X9" s="63" t="str">
        <f t="shared" ca="1" si="15"/>
        <v xml:space="preserve">estimated effects computed from the models are standardized betas </v>
      </c>
      <c r="Y9" t="str">
        <f t="shared" ca="1" si="17"/>
        <v>9 polymorphisms x 1 genetic models x 10 behavioural phenotypes x 0 neuro phenotypes x 1 subgroups</v>
      </c>
      <c r="Z9" s="206" t="str">
        <f t="shared" ca="1" si="18"/>
        <v>n/a</v>
      </c>
    </row>
    <row r="10" spans="1:26" ht="142" customHeight="1" x14ac:dyDescent="0.2">
      <c r="A10" s="82">
        <v>9</v>
      </c>
      <c r="B10" s="82">
        <f>overview_9!$H$8</f>
        <v>528</v>
      </c>
      <c r="C10" s="82">
        <f>overview_9!$B$15</f>
        <v>0.10428762298163216</v>
      </c>
      <c r="D10" s="7" t="s">
        <v>1336</v>
      </c>
      <c r="E10" s="82">
        <v>1</v>
      </c>
      <c r="F10" s="186"/>
      <c r="G10" s="82">
        <f t="shared" ca="1" si="0"/>
        <v>1</v>
      </c>
      <c r="H10" s="82">
        <f t="shared" ca="1" si="1"/>
        <v>0</v>
      </c>
      <c r="I10" s="82">
        <f t="shared" ca="1" si="2"/>
        <v>5</v>
      </c>
      <c r="J10" s="82" t="str">
        <f t="shared" ca="1" si="19"/>
        <v>05</v>
      </c>
      <c r="K10" s="82">
        <f t="shared" ca="1" si="4"/>
        <v>1</v>
      </c>
      <c r="L10" s="82">
        <f t="shared" ca="1" si="5"/>
        <v>1</v>
      </c>
      <c r="M10" s="82">
        <f t="shared" ca="1" si="6"/>
        <v>14</v>
      </c>
      <c r="N10" s="82">
        <f t="shared" ca="1" si="7"/>
        <v>1</v>
      </c>
      <c r="O10" s="82">
        <f t="shared" ca="1" si="8"/>
        <v>1</v>
      </c>
      <c r="P10" s="82" t="str">
        <f t="shared" ca="1" si="20"/>
        <v>11</v>
      </c>
      <c r="Q10" s="82" t="str">
        <f t="shared" ca="1" si="10"/>
        <v>n/a</v>
      </c>
      <c r="R10" s="34" t="str">
        <f t="shared" ca="1" si="11"/>
        <v>n/a</v>
      </c>
      <c r="S10" s="82">
        <f ca="1">INDIRECT("overview_"&amp;$A10&amp;"!$B$39")</f>
        <v>0</v>
      </c>
      <c r="T10" s="82">
        <f t="shared" ca="1" si="16"/>
        <v>0</v>
      </c>
      <c r="U10" s="82" t="str">
        <f t="shared" ca="1" si="12"/>
        <v>n/a</v>
      </c>
      <c r="V10" s="82">
        <f t="shared" ca="1" si="13"/>
        <v>1</v>
      </c>
      <c r="W10" s="187" t="str">
        <f t="shared" ca="1" si="14"/>
        <v>p value of 0.01 was used instead of 0.05 to balance the risk of type I and type II errors, due to the large number of statistical tests performed.</v>
      </c>
      <c r="X10" s="34" t="str">
        <f t="shared" ca="1" si="15"/>
        <v>Standardised β-values shown (ES not explicitly mentioned)</v>
      </c>
      <c r="Y10" t="str">
        <f t="shared" ca="1" si="17"/>
        <v>1 polymorphisms x 1 genetic models x 14 behavioural phenotypes x 0 neuro phenotypes x 1 subgroups</v>
      </c>
      <c r="Z10" s="206" t="str">
        <f t="shared" ca="1" si="18"/>
        <v>n/a</v>
      </c>
    </row>
    <row r="11" spans="1:26" ht="142" customHeight="1" x14ac:dyDescent="0.2">
      <c r="A11" s="82">
        <v>10</v>
      </c>
      <c r="B11" s="82">
        <f>overview_10!$H$8</f>
        <v>32</v>
      </c>
      <c r="C11" s="82">
        <f>overview_10!$B$15</f>
        <v>0.66002656042496677</v>
      </c>
      <c r="D11" s="7" t="s">
        <v>1353</v>
      </c>
      <c r="E11" s="82">
        <v>3</v>
      </c>
      <c r="F11" s="186"/>
      <c r="G11" s="82">
        <f t="shared" ca="1" si="0"/>
        <v>1</v>
      </c>
      <c r="H11" s="82">
        <f t="shared" ca="1" si="1"/>
        <v>0</v>
      </c>
      <c r="I11" s="82">
        <f t="shared" ca="1" si="2"/>
        <v>5</v>
      </c>
      <c r="J11" s="82" t="str">
        <f t="shared" ca="1" si="19"/>
        <v>05</v>
      </c>
      <c r="K11" s="82">
        <f t="shared" ca="1" si="4"/>
        <v>1</v>
      </c>
      <c r="L11" s="82">
        <f t="shared" ca="1" si="5"/>
        <v>1</v>
      </c>
      <c r="M11" s="82">
        <f t="shared" ca="1" si="6"/>
        <v>19</v>
      </c>
      <c r="N11" s="82">
        <f t="shared" ca="1" si="7"/>
        <v>2</v>
      </c>
      <c r="O11" s="82">
        <f t="shared" ca="1" si="8"/>
        <v>1</v>
      </c>
      <c r="P11" s="82" t="str">
        <f t="shared" ca="1" si="20"/>
        <v>21</v>
      </c>
      <c r="Q11" s="82" t="str">
        <f t="shared" ca="1" si="10"/>
        <v>fMRI to taste or 2 types of  odour vs baseline. First eigenvariate time course extracted and subjected to bootstrap analysis. Also dynamic causal modeling for R hemisphere only.</v>
      </c>
      <c r="R11" s="34" t="str">
        <f t="shared" ca="1" si="11"/>
        <v xml:space="preserve">t-map threshold was set at p uncorrected &lt; 0.005 and a 5-voxel cluster size. Unpredicted responses were considered significant at a peak-level p &lt; 0.05 familywise error (FWE) corrected across the entire brain for multiple comparisons; none were identified. For predicted responses, a region of interest (ROI) approach was used. ROIs included 3 regions of amygdala plus caudate. Peaks in ROI analyses were considered significant at a peak level of p  &lt; 0.05 FWE corrected across the total number of voxels across the ROI. </v>
      </c>
      <c r="S11" s="82">
        <v>1</v>
      </c>
      <c r="T11" s="82">
        <f t="shared" ca="1" si="16"/>
        <v>4</v>
      </c>
      <c r="U11" s="82">
        <f t="shared" ca="1" si="12"/>
        <v>0</v>
      </c>
      <c r="V11" s="82">
        <f t="shared" ca="1" si="13"/>
        <v>1</v>
      </c>
      <c r="W11" s="187" t="str">
        <f t="shared" ca="1" si="14"/>
        <v xml:space="preserve">To correct for multiple comparisons, an alpha level of 0.05/9 (.0055) was used as the threshold for significance for internal state analyses (9 time points) and an alpha level of 0.05 /0 (.005) was used as the threshold for significance for perceptual ratings data (5 perceptual qualities per stimulus, 2 types of stimuli). </v>
      </c>
      <c r="X11" s="34" t="str">
        <f t="shared" ca="1" si="15"/>
        <v>no</v>
      </c>
      <c r="Y11" t="str">
        <f t="shared" ca="1" si="17"/>
        <v>1 polymorphisms x 1 genetic models x 19 behavioural phenotypes x 4 neuro phenotypes x 1 subgroups</v>
      </c>
      <c r="Z11" s="206" t="str">
        <f t="shared" ca="1" si="18"/>
        <v xml:space="preserve">t-map threshold was set at p uncorrected &lt; 0.005 and a 5-voxel cluster size. Unpredicted responses were considered significant at a peak-level p &lt; 0.05 familywise error (FWE) corrected across the entire brain for multiple comparisons; none were identified. For predicted responses, a region of interest (ROI) approach was used. ROIs included 3 regions of amygdala plus caudate. Peaks in ROI analyses were considered significant at a peak level of p  &lt; 0.05 FWE corrected across the total number of voxels across the ROI. </v>
      </c>
    </row>
    <row r="12" spans="1:26" ht="142" customHeight="1" x14ac:dyDescent="0.2">
      <c r="A12" s="82">
        <v>11</v>
      </c>
      <c r="B12" s="82">
        <f>overview_11!$H$8</f>
        <v>721</v>
      </c>
      <c r="C12" s="82">
        <f>overview_11!$B$15</f>
        <v>0.17038222910265771</v>
      </c>
      <c r="D12" s="7" t="s">
        <v>1336</v>
      </c>
      <c r="E12" s="82">
        <v>1</v>
      </c>
      <c r="F12" s="186"/>
      <c r="G12" s="82">
        <f t="shared" ca="1" si="0"/>
        <v>1</v>
      </c>
      <c r="H12" s="82">
        <f t="shared" ca="1" si="1"/>
        <v>0</v>
      </c>
      <c r="I12" s="82">
        <f t="shared" ca="1" si="2"/>
        <v>5</v>
      </c>
      <c r="J12" s="82" t="str">
        <f t="shared" ca="1" si="19"/>
        <v>05</v>
      </c>
      <c r="K12" s="82">
        <f t="shared" ca="1" si="4"/>
        <v>1</v>
      </c>
      <c r="L12" s="82">
        <f t="shared" ca="1" si="5"/>
        <v>1</v>
      </c>
      <c r="M12" s="82">
        <f t="shared" ca="1" si="6"/>
        <v>1</v>
      </c>
      <c r="N12" s="82">
        <f t="shared" ca="1" si="7"/>
        <v>0</v>
      </c>
      <c r="O12" s="82">
        <f t="shared" ca="1" si="8"/>
        <v>5</v>
      </c>
      <c r="P12" s="82" t="str">
        <f t="shared" ca="1" si="20"/>
        <v>05</v>
      </c>
      <c r="Q12" s="82" t="str">
        <f t="shared" ca="1" si="10"/>
        <v xml:space="preserve">Voxel-based morphometry (VBM9) in both samples to measure local gray matter volume. A region-of-interest (ROI) approach: focus on bilateral hippocampus (including the parahippocampal gyrus). Also DTI for white matter structure in subset. Limbic responsiveness measured with fMRI during facial emotion processing for a subset. Also G x E and G x G analyses. </v>
      </c>
      <c r="R12" s="34" t="str">
        <f t="shared" ca="1" si="11"/>
        <v>For DTI and fMRI  used uncorrected, lenient statistical thresholds for (P &lt; 0.01, k = 10 for the bilateral hippocampus, and P &lt; 0.005, k = 30 for the entire brain) to detect small statistical effects. For the DTI analysis, three hippocampus- related fiber tracts (fornix, cingulum and uncinate fasciculus) were added to the hippocampus mask.  Structural MRI: to control for multiple statistical testing within ROI, maintained cluster-level false positive detection rate at p &lt; .05, using a voxel-level threshold of p &lt;.01 with a cluster extent (k) empirically determined by Monte Carlo simulation. Also did exploratory whole-brain analyses at a lenient, exploratory threshold (p &lt; .001, cluster size k=100)</v>
      </c>
      <c r="S12" s="82">
        <v>1</v>
      </c>
      <c r="T12" s="82">
        <f t="shared" ca="1" si="16"/>
        <v>3</v>
      </c>
      <c r="U12" s="82">
        <f t="shared" ca="1" si="12"/>
        <v>1</v>
      </c>
      <c r="V12" s="82">
        <f t="shared" ca="1" si="13"/>
        <v>1</v>
      </c>
      <c r="W12" s="187" t="str">
        <f t="shared" ca="1" si="14"/>
        <v>Not needed except for neuro measures</v>
      </c>
      <c r="X12" s="34" t="str">
        <f t="shared" ca="1" si="15"/>
        <v>no</v>
      </c>
      <c r="Y12" t="str">
        <f t="shared" ca="1" si="17"/>
        <v>1 polymorphisms x 1 genetic models x 1 behavioural phenotypes x 3 neuro phenotypes x 1 subgroups</v>
      </c>
      <c r="Z12" s="206" t="str">
        <f t="shared" ca="1" si="18"/>
        <v>For DTI and fMRI  used uncorrected, lenient statistical thresholds for (P &lt; 0.01, k = 10 for the bilateral hippocampus, and P &lt; 0.005, k = 30 for the entire brain) to detect small statistical effects. For the DTI analysis, three hippocampus- related fiber tracts (fornix, cingulum and uncinate fasciculus) were added to the hippocampus mask.  Structural MRI: to control for multiple statistical testing within ROI, maintained cluster-level false positive detection rate at p &lt; .05, using a voxel-level threshold of p &lt;.01 with a cluster extent (k) empirically determined by Monte Carlo simulation. Also did exploratory whole-brain analyses at a lenient, exploratory threshold (p &lt; .001, cluster size k=100)</v>
      </c>
    </row>
    <row r="13" spans="1:26" ht="142" customHeight="1" x14ac:dyDescent="0.2">
      <c r="A13" s="82">
        <v>12</v>
      </c>
      <c r="B13" s="82">
        <f>overview_12!$H$8</f>
        <v>3421</v>
      </c>
      <c r="C13" s="82">
        <f>overview_12!$B$15</f>
        <v>5.2088785039844189E-2</v>
      </c>
      <c r="D13" s="7" t="s">
        <v>1529</v>
      </c>
      <c r="E13" s="82">
        <v>6</v>
      </c>
      <c r="F13" s="186"/>
      <c r="G13" s="82">
        <f t="shared" ca="1" si="0"/>
        <v>36</v>
      </c>
      <c r="H13" s="82">
        <f t="shared" ca="1" si="1"/>
        <v>3</v>
      </c>
      <c r="I13" s="82">
        <f t="shared" ca="1" si="2"/>
        <v>1</v>
      </c>
      <c r="J13" s="82" t="str">
        <f t="shared" ca="1" si="19"/>
        <v>31</v>
      </c>
      <c r="K13" s="82">
        <f t="shared" ca="1" si="4"/>
        <v>1</v>
      </c>
      <c r="L13" s="82">
        <f t="shared" ca="1" si="5"/>
        <v>36</v>
      </c>
      <c r="M13" s="82">
        <f t="shared" ca="1" si="6"/>
        <v>1</v>
      </c>
      <c r="N13" s="82">
        <f t="shared" ca="1" si="7"/>
        <v>0</v>
      </c>
      <c r="O13" s="82">
        <f t="shared" ca="1" si="8"/>
        <v>5</v>
      </c>
      <c r="P13" s="82" t="str">
        <f t="shared" ca="1" si="20"/>
        <v>05</v>
      </c>
      <c r="Q13" s="82" t="str">
        <f t="shared" ca="1" si="10"/>
        <v>n/a</v>
      </c>
      <c r="R13" s="34" t="str">
        <f t="shared" ca="1" si="11"/>
        <v>n/a</v>
      </c>
      <c r="S13" s="82">
        <v>0</v>
      </c>
      <c r="T13" s="82">
        <f t="shared" ca="1" si="16"/>
        <v>0</v>
      </c>
      <c r="U13" s="82" t="str">
        <f t="shared" ca="1" si="12"/>
        <v>n/a</v>
      </c>
      <c r="V13" s="82">
        <f t="shared" ca="1" si="13"/>
        <v>1</v>
      </c>
      <c r="W13" s="187" t="str">
        <f t="shared" ca="1" si="14"/>
        <v>To address the multiple hypothesis testing burden, we corrected for the number of independent haplotypes being tested in the TREM region.  Sequential approach: "Where we observed a genetic variant significantly associated with NP pathology, we then assessed the association between that variant and 5 secondary phenotypes, DP, amyloid, NFT, tau, and global cognitive decline, using a secondary Bonferroni-corrected significance threshold of p &lt; 0.01 "</v>
      </c>
      <c r="X13" s="63" t="str">
        <f t="shared" ca="1" si="15"/>
        <v>Table 2 shows effect sizes as regression coefficient</v>
      </c>
      <c r="Y13" t="str">
        <f t="shared" ca="1" si="17"/>
        <v>36 polymorphisms x 1 genetic models x 1 behavioural phenotypes x 0 neuro phenotypes x 1 subgroups</v>
      </c>
      <c r="Z13" s="206" t="str">
        <f t="shared" ca="1" si="18"/>
        <v>n/a</v>
      </c>
    </row>
    <row r="14" spans="1:26" ht="142" customHeight="1" x14ac:dyDescent="0.2">
      <c r="A14" s="82">
        <v>13</v>
      </c>
      <c r="B14" s="82">
        <f>overview_13!$H$8</f>
        <v>193</v>
      </c>
      <c r="C14" s="82">
        <f>overview_13!$B$15</f>
        <v>0.18876479599548945</v>
      </c>
      <c r="D14" s="7" t="s">
        <v>1349</v>
      </c>
      <c r="E14" s="82">
        <v>2</v>
      </c>
      <c r="F14" s="186"/>
      <c r="G14" s="82">
        <f t="shared" ca="1" si="0"/>
        <v>1</v>
      </c>
      <c r="H14" s="82">
        <f t="shared" ca="1" si="1"/>
        <v>0</v>
      </c>
      <c r="I14" s="82">
        <f t="shared" ca="1" si="2"/>
        <v>5</v>
      </c>
      <c r="J14" s="82" t="str">
        <f t="shared" ca="1" si="19"/>
        <v>05</v>
      </c>
      <c r="K14" s="82">
        <f t="shared" ca="1" si="4"/>
        <v>1</v>
      </c>
      <c r="L14" s="82">
        <f t="shared" ca="1" si="5"/>
        <v>1</v>
      </c>
      <c r="M14" s="82">
        <f t="shared" ca="1" si="6"/>
        <v>15</v>
      </c>
      <c r="N14" s="82">
        <f t="shared" ca="1" si="7"/>
        <v>2</v>
      </c>
      <c r="O14" s="82">
        <f t="shared" ca="1" si="8"/>
        <v>0</v>
      </c>
      <c r="P14" s="82" t="str">
        <f t="shared" ca="1" si="20"/>
        <v>20</v>
      </c>
      <c r="Q14" s="82" t="str">
        <f t="shared" ca="1" si="10"/>
        <v>n/a</v>
      </c>
      <c r="R14" s="34" t="str">
        <f t="shared" ca="1" si="11"/>
        <v>n/a</v>
      </c>
      <c r="S14" s="82">
        <v>0</v>
      </c>
      <c r="T14" s="82">
        <f t="shared" ca="1" si="16"/>
        <v>0</v>
      </c>
      <c r="U14" s="82" t="str">
        <f t="shared" ca="1" si="12"/>
        <v>n/a</v>
      </c>
      <c r="V14" s="82">
        <f t="shared" ca="1" si="13"/>
        <v>1</v>
      </c>
      <c r="W14" s="187" t="str">
        <f t="shared" ca="1" si="14"/>
        <v>None reported</v>
      </c>
      <c r="X14" s="34" t="str">
        <f t="shared" ca="1" si="15"/>
        <v>no</v>
      </c>
      <c r="Y14" t="str">
        <f t="shared" ca="1" si="17"/>
        <v>1 polymorphisms x 1 genetic models x 15 behavioural phenotypes x 0 neuro phenotypes x 1 subgroups</v>
      </c>
      <c r="Z14" s="206" t="str">
        <f t="shared" ca="1" si="18"/>
        <v>n/a</v>
      </c>
    </row>
    <row r="15" spans="1:26" ht="142" customHeight="1" x14ac:dyDescent="0.2">
      <c r="A15" s="82">
        <v>14</v>
      </c>
      <c r="B15" s="82">
        <f>overview_14!$H$8</f>
        <v>187</v>
      </c>
      <c r="C15" s="82">
        <f>overview_14!$B$15</f>
        <v>0.33082751730192467</v>
      </c>
      <c r="D15" s="7" t="s">
        <v>1355</v>
      </c>
      <c r="E15" s="82">
        <v>4</v>
      </c>
      <c r="F15" s="186"/>
      <c r="G15" s="82">
        <f t="shared" ca="1" si="0"/>
        <v>1</v>
      </c>
      <c r="H15" s="82">
        <f t="shared" ca="1" si="1"/>
        <v>0</v>
      </c>
      <c r="I15" s="82">
        <f t="shared" ca="1" si="2"/>
        <v>5</v>
      </c>
      <c r="J15" s="82" t="str">
        <f t="shared" ca="1" si="19"/>
        <v>05</v>
      </c>
      <c r="K15" s="82">
        <f t="shared" ca="1" si="4"/>
        <v>1</v>
      </c>
      <c r="L15" s="82">
        <f t="shared" ca="1" si="5"/>
        <v>1</v>
      </c>
      <c r="M15" s="82">
        <f t="shared" ca="1" si="6"/>
        <v>1</v>
      </c>
      <c r="N15" s="82">
        <f t="shared" ca="1" si="7"/>
        <v>0</v>
      </c>
      <c r="O15" s="82">
        <f t="shared" ca="1" si="8"/>
        <v>5</v>
      </c>
      <c r="P15" s="82" t="str">
        <f t="shared" ca="1" si="20"/>
        <v>05</v>
      </c>
      <c r="Q15" s="82" t="str">
        <f t="shared" ca="1" si="10"/>
        <v>fMRI for episodic memory: recall phase of memory task  compared to comparison task within a priori ROI:  hippocampus and pgACC.  Used SPM8</v>
      </c>
      <c r="R15" s="34" t="str">
        <f t="shared" ca="1" si="11"/>
        <v>FWE corrected for multiple comparisons across region of interest., p &lt; .05</v>
      </c>
      <c r="S15" s="82">
        <v>1</v>
      </c>
      <c r="T15" s="82">
        <f t="shared" ca="1" si="16"/>
        <v>3</v>
      </c>
      <c r="U15" s="82">
        <f t="shared" ca="1" si="12"/>
        <v>0</v>
      </c>
      <c r="V15" s="82">
        <f t="shared" ca="1" si="13"/>
        <v>3</v>
      </c>
      <c r="W15" s="187" t="str">
        <f t="shared" ca="1" si="14"/>
        <v>Only reported adjustments for neuro measures</v>
      </c>
      <c r="X15" s="34" t="str">
        <f t="shared" ca="1" si="15"/>
        <v>Not reported: graphs show 'size of effect' but on arbitrary scale</v>
      </c>
      <c r="Y15" t="str">
        <f t="shared" ca="1" si="17"/>
        <v>1 polymorphisms x 1 genetic models x 1 behavioural phenotypes x 3 neuro phenotypes x 3 subgroups</v>
      </c>
      <c r="Z15" s="206" t="str">
        <f t="shared" ca="1" si="18"/>
        <v>FWE corrected for multiple comparisons across region of interest., p &lt; .05</v>
      </c>
    </row>
    <row r="16" spans="1:26" ht="142" customHeight="1" x14ac:dyDescent="0.2">
      <c r="A16" s="82">
        <v>15</v>
      </c>
      <c r="B16" s="82">
        <f>overview_15!$H$8</f>
        <v>4424</v>
      </c>
      <c r="C16" s="82">
        <f>overview_15!$B$15</f>
        <v>5.3851648071345036E-2</v>
      </c>
      <c r="D16" s="7" t="s">
        <v>1355</v>
      </c>
      <c r="E16" s="82">
        <v>4</v>
      </c>
      <c r="F16" s="186"/>
      <c r="G16" s="82">
        <f t="shared" ca="1" si="0"/>
        <v>1</v>
      </c>
      <c r="H16" s="82">
        <f t="shared" ca="1" si="1"/>
        <v>0</v>
      </c>
      <c r="I16" s="82">
        <f t="shared" ca="1" si="2"/>
        <v>5</v>
      </c>
      <c r="J16" s="82" t="str">
        <f t="shared" ca="1" si="19"/>
        <v>05</v>
      </c>
      <c r="K16" s="82">
        <f t="shared" ca="1" si="4"/>
        <v>1</v>
      </c>
      <c r="L16" s="82">
        <f t="shared" ca="1" si="5"/>
        <v>1</v>
      </c>
      <c r="M16" s="82">
        <f t="shared" ca="1" si="6"/>
        <v>1</v>
      </c>
      <c r="N16" s="82">
        <f t="shared" ca="1" si="7"/>
        <v>0</v>
      </c>
      <c r="O16" s="82">
        <f t="shared" ca="1" si="8"/>
        <v>5</v>
      </c>
      <c r="P16" s="82" t="str">
        <f t="shared" ca="1" si="20"/>
        <v>05</v>
      </c>
      <c r="Q16" s="82" t="str">
        <f t="shared" ca="1" si="10"/>
        <v>structural MRI, with automated segmentation by Freesurfer for most regions; manual segmentation for anterior commissure</v>
      </c>
      <c r="R16" s="34" t="str">
        <f t="shared" ca="1" si="11"/>
        <v xml:space="preserve">Sidak corrected significance level to maintain α = .05 for testing 156 correlated outcomes (mean correlation ρ = .25) was determined at p 1.14 ^10-3 </v>
      </c>
      <c r="S16" s="82">
        <v>1</v>
      </c>
      <c r="T16" s="82">
        <f t="shared" ca="1" si="16"/>
        <v>156</v>
      </c>
      <c r="U16" s="82">
        <f t="shared" ca="1" si="12"/>
        <v>2</v>
      </c>
      <c r="V16" s="82">
        <f t="shared" ca="1" si="13"/>
        <v>1</v>
      </c>
      <c r="W16" s="187" t="str">
        <f t="shared" ca="1" si="14"/>
        <v>Corrections for multiple contrasts in imaging</v>
      </c>
      <c r="X16" s="34" t="str">
        <f t="shared" ca="1" si="15"/>
        <v>reports unstandardized betas and R2</v>
      </c>
      <c r="Y16" t="str">
        <f t="shared" ca="1" si="17"/>
        <v>1 polymorphisms x 1 genetic models x 1 behavioural phenotypes x 156 neuro phenotypes x 1 subgroups</v>
      </c>
      <c r="Z16" s="206" t="str">
        <f t="shared" ca="1" si="18"/>
        <v xml:space="preserve">Sidak corrected significance level to maintain α = .05 for testing 156 correlated outcomes (mean correlation ρ = .25) was determined at p 1.14 ^10-3 </v>
      </c>
    </row>
    <row r="17" spans="1:26" ht="142" customHeight="1" x14ac:dyDescent="0.2">
      <c r="A17" s="82">
        <v>16</v>
      </c>
      <c r="B17" s="82">
        <f>overview_16!$H$8</f>
        <v>3873</v>
      </c>
      <c r="C17" s="82">
        <f>overview_16!$B$15</f>
        <v>5.4869660274705065E-2</v>
      </c>
      <c r="D17" s="7" t="s">
        <v>1336</v>
      </c>
      <c r="E17" s="82">
        <v>1</v>
      </c>
      <c r="F17" s="186"/>
      <c r="G17" s="82">
        <f t="shared" ca="1" si="0"/>
        <v>1</v>
      </c>
      <c r="H17" s="82">
        <f t="shared" ca="1" si="1"/>
        <v>0</v>
      </c>
      <c r="I17" s="82">
        <f t="shared" ca="1" si="2"/>
        <v>5</v>
      </c>
      <c r="J17" s="82" t="str">
        <f t="shared" ca="1" si="19"/>
        <v>05</v>
      </c>
      <c r="K17" s="82">
        <f t="shared" ca="1" si="4"/>
        <v>1</v>
      </c>
      <c r="L17" s="82">
        <f t="shared" ca="1" si="5"/>
        <v>1</v>
      </c>
      <c r="M17" s="82">
        <f t="shared" ca="1" si="6"/>
        <v>2</v>
      </c>
      <c r="N17" s="82">
        <f t="shared" ca="1" si="7"/>
        <v>1</v>
      </c>
      <c r="O17" s="82">
        <f t="shared" ca="1" si="8"/>
        <v>5</v>
      </c>
      <c r="P17" s="82" t="str">
        <f t="shared" ca="1" si="20"/>
        <v>15</v>
      </c>
      <c r="Q17" s="82" t="str">
        <f t="shared" ca="1" si="10"/>
        <v>n/a</v>
      </c>
      <c r="R17" s="34" t="str">
        <f t="shared" ca="1" si="11"/>
        <v>n/a</v>
      </c>
      <c r="S17" s="82">
        <v>0</v>
      </c>
      <c r="T17" s="82">
        <f t="shared" ca="1" si="16"/>
        <v>0</v>
      </c>
      <c r="U17" s="82" t="str">
        <f t="shared" ca="1" si="12"/>
        <v>n/a</v>
      </c>
      <c r="V17" s="82">
        <f t="shared" ca="1" si="13"/>
        <v>1</v>
      </c>
      <c r="W17" s="187" t="str">
        <f t="shared" ca="1" si="14"/>
        <v>Scheffe ́ correction for multiple comparisons (but for other associations; not needed for specific genetic hypothesis)</v>
      </c>
      <c r="X17" s="34" t="str">
        <f t="shared" ca="1" si="15"/>
        <v>data as odds ratios</v>
      </c>
      <c r="Y17" t="str">
        <f t="shared" ca="1" si="17"/>
        <v>1 polymorphisms x 1 genetic models x 2 behavioural phenotypes x 0 neuro phenotypes x 1 subgroups</v>
      </c>
      <c r="Z17" s="206" t="str">
        <f t="shared" ca="1" si="18"/>
        <v>n/a</v>
      </c>
    </row>
    <row r="18" spans="1:26" ht="142" customHeight="1" x14ac:dyDescent="0.2">
      <c r="A18" s="82">
        <v>17</v>
      </c>
      <c r="B18" s="82">
        <f>overview_17!$H$8</f>
        <v>381</v>
      </c>
      <c r="C18" s="82">
        <f>overview_17!$B$15</f>
        <v>0.20337743160068528</v>
      </c>
      <c r="D18" s="5" t="s">
        <v>1336</v>
      </c>
      <c r="E18" s="82">
        <v>1</v>
      </c>
      <c r="F18" s="186"/>
      <c r="G18" s="82">
        <f t="shared" ca="1" si="0"/>
        <v>107</v>
      </c>
      <c r="H18" s="82">
        <f t="shared" ca="1" si="1"/>
        <v>1</v>
      </c>
      <c r="I18" s="82">
        <f t="shared" ca="1" si="2"/>
        <v>3</v>
      </c>
      <c r="J18" s="82" t="str">
        <f ca="1">H19&amp;I19</f>
        <v>13</v>
      </c>
      <c r="K18" s="82">
        <f t="shared" ca="1" si="4"/>
        <v>1</v>
      </c>
      <c r="L18" s="82">
        <f t="shared" ca="1" si="5"/>
        <v>107</v>
      </c>
      <c r="M18" s="82">
        <f t="shared" ca="1" si="6"/>
        <v>2</v>
      </c>
      <c r="N18" s="82">
        <f t="shared" ca="1" si="7"/>
        <v>3</v>
      </c>
      <c r="O18" s="82">
        <f t="shared" ca="1" si="8"/>
        <v>3</v>
      </c>
      <c r="P18" s="82" t="str">
        <f ca="1">N19&amp;O19</f>
        <v>33</v>
      </c>
      <c r="Q18" s="82" t="str">
        <f t="shared" ca="1" si="10"/>
        <v>n/a</v>
      </c>
      <c r="R18" s="34" t="str">
        <f t="shared" ca="1" si="11"/>
        <v>n/a</v>
      </c>
      <c r="S18" s="82">
        <v>0</v>
      </c>
      <c r="T18" s="82">
        <f t="shared" ca="1" si="16"/>
        <v>0</v>
      </c>
      <c r="U18" s="82" t="str">
        <f t="shared" ca="1" si="12"/>
        <v>n/a</v>
      </c>
      <c r="V18" s="82">
        <f t="shared" ca="1" si="13"/>
        <v>1</v>
      </c>
      <c r="W18" s="187" t="str">
        <f t="shared" ca="1" si="14"/>
        <v xml:space="preserve">Used a single-step Monte- Carlo permutation method to test for genetic associations with our cognitive variables </v>
      </c>
      <c r="X18" s="34" t="str">
        <f t="shared" ca="1" si="15"/>
        <v>No (except in context of power analysis)</v>
      </c>
      <c r="Y18" t="str">
        <f t="shared" ca="1" si="17"/>
        <v>107 polymorphisms x 1 genetic models x 2 behavioural phenotypes x 0 neuro phenotypes x 1 subgroups</v>
      </c>
      <c r="Z18" s="206" t="str">
        <f t="shared" ca="1" si="18"/>
        <v>n/a</v>
      </c>
    </row>
    <row r="19" spans="1:26" ht="142" customHeight="1" x14ac:dyDescent="0.2">
      <c r="A19" s="82">
        <v>18</v>
      </c>
      <c r="B19" s="82">
        <f>overview_19!$H$8</f>
        <v>423</v>
      </c>
      <c r="C19" s="82">
        <f>overview_19!$B$15</f>
        <v>0.18033307699310666</v>
      </c>
      <c r="D19" s="5" t="s">
        <v>1355</v>
      </c>
      <c r="E19" s="82">
        <v>4</v>
      </c>
      <c r="F19" s="186"/>
      <c r="G19" s="82">
        <f t="shared" ca="1" si="0"/>
        <v>23</v>
      </c>
      <c r="H19" s="82">
        <f t="shared" ca="1" si="1"/>
        <v>1</v>
      </c>
      <c r="I19" s="82">
        <f t="shared" ca="1" si="2"/>
        <v>3</v>
      </c>
      <c r="J19" s="82" t="str">
        <f t="shared" ref="J19:J31" ca="1" si="21">H19&amp;I19</f>
        <v>13</v>
      </c>
      <c r="K19" s="82">
        <f t="shared" ca="1" si="4"/>
        <v>1</v>
      </c>
      <c r="L19" s="82">
        <f t="shared" ca="1" si="5"/>
        <v>23</v>
      </c>
      <c r="M19" s="82">
        <f t="shared" ca="1" si="6"/>
        <v>4</v>
      </c>
      <c r="N19" s="82">
        <f t="shared" ca="1" si="7"/>
        <v>3</v>
      </c>
      <c r="O19" s="82">
        <f t="shared" ca="1" si="8"/>
        <v>3</v>
      </c>
      <c r="P19" s="82" t="str">
        <f t="shared" ref="P19:P27" ca="1" si="22">N19&amp;O19</f>
        <v>33</v>
      </c>
      <c r="Q19" s="82" t="str">
        <f t="shared" ca="1" si="10"/>
        <v>fMRI to angry faces vs control condition (Also tested ambiguous faces but not reported here); ROIs were L and R amygdala and L and R ventral striatum</v>
      </c>
      <c r="R19" s="34" t="str">
        <f t="shared" ca="1" si="11"/>
        <v xml:space="preserve">Functional regions of interest in amygdala and VS. For each univariate analysis the mean contrast values within the ROI were used as the dependent measure. </v>
      </c>
      <c r="S19" s="82">
        <v>1</v>
      </c>
      <c r="T19" s="82">
        <f t="shared" ca="1" si="16"/>
        <v>4</v>
      </c>
      <c r="U19" s="82">
        <f t="shared" ca="1" si="12"/>
        <v>3</v>
      </c>
      <c r="V19" s="82">
        <f t="shared" ca="1" si="13"/>
        <v>1</v>
      </c>
      <c r="W19" s="187" t="str">
        <f t="shared" ca="1" si="14"/>
        <v xml:space="preserve">Gene-wide significance was empirically determined with permutations that corrected for 23 SNPs (accounting for LD structure), 4 ROIs, &amp; N tests (main effects of SNPs, G E interactions). </v>
      </c>
      <c r="X19" s="34" t="str">
        <f t="shared" ca="1" si="15"/>
        <v>no</v>
      </c>
      <c r="Y19" t="str">
        <f t="shared" ca="1" si="17"/>
        <v>23 polymorphisms x 1 genetic models x 4 behavioural phenotypes x 4 neuro phenotypes x 1 subgroups</v>
      </c>
      <c r="Z19" s="206" t="str">
        <f t="shared" ca="1" si="18"/>
        <v xml:space="preserve">Functional regions of interest in amygdala and VS. For each univariate analysis the mean contrast values within the ROI were used as the dependent measure. </v>
      </c>
    </row>
    <row r="20" spans="1:26" ht="142" customHeight="1" x14ac:dyDescent="0.2">
      <c r="A20" s="82">
        <v>19</v>
      </c>
      <c r="B20" s="82">
        <f>overview_19!$H$8</f>
        <v>423</v>
      </c>
      <c r="C20" s="82">
        <f>overview_19!$B$15</f>
        <v>0.18033307699310666</v>
      </c>
      <c r="D20" s="5" t="s">
        <v>1336</v>
      </c>
      <c r="E20" s="82">
        <v>1</v>
      </c>
      <c r="F20" s="186"/>
      <c r="G20" s="82">
        <f t="shared" ca="1" si="0"/>
        <v>93</v>
      </c>
      <c r="H20" s="82">
        <f t="shared" ca="1" si="1"/>
        <v>1</v>
      </c>
      <c r="I20" s="82">
        <f t="shared" ca="1" si="2"/>
        <v>1</v>
      </c>
      <c r="J20" s="82" t="str">
        <f t="shared" ca="1" si="21"/>
        <v>11</v>
      </c>
      <c r="K20" s="82">
        <f t="shared" ca="1" si="4"/>
        <v>1</v>
      </c>
      <c r="L20" s="82">
        <f t="shared" ca="1" si="5"/>
        <v>93</v>
      </c>
      <c r="M20" s="82">
        <f t="shared" ca="1" si="6"/>
        <v>1</v>
      </c>
      <c r="N20" s="82">
        <f t="shared" ca="1" si="7"/>
        <v>0</v>
      </c>
      <c r="O20" s="82">
        <f t="shared" ca="1" si="8"/>
        <v>5</v>
      </c>
      <c r="P20" s="82" t="str">
        <f t="shared" ca="1" si="22"/>
        <v>05</v>
      </c>
      <c r="Q20" s="82" t="str">
        <f t="shared" ca="1" si="10"/>
        <v>n/a</v>
      </c>
      <c r="R20" s="34" t="str">
        <f t="shared" ca="1" si="11"/>
        <v>n/a</v>
      </c>
      <c r="S20" s="82">
        <v>0</v>
      </c>
      <c r="T20" s="82">
        <f t="shared" ca="1" si="16"/>
        <v>0</v>
      </c>
      <c r="U20" s="82" t="str">
        <f t="shared" ca="1" si="12"/>
        <v>n/a</v>
      </c>
      <c r="V20" s="82">
        <f t="shared" ca="1" si="13"/>
        <v>1</v>
      </c>
      <c r="W20" s="187" t="str">
        <f t="shared" ca="1" si="14"/>
        <v xml:space="preserve">to select SNPs from the discovery cohort findings to test in the replication cohort, we used a strict Bonferroni correction (P&lt; .0042) </v>
      </c>
      <c r="X20" s="34" t="str">
        <f t="shared" ca="1" si="15"/>
        <v>data reported as odds ratios</v>
      </c>
      <c r="Y20" t="str">
        <f t="shared" ca="1" si="17"/>
        <v>93 polymorphisms x 1 genetic models x 1 behavioural phenotypes x 0 neuro phenotypes x 1 subgroups</v>
      </c>
      <c r="Z20" s="206" t="str">
        <f t="shared" ca="1" si="18"/>
        <v>n/a</v>
      </c>
    </row>
    <row r="21" spans="1:26" ht="142" customHeight="1" x14ac:dyDescent="0.2">
      <c r="A21" s="82">
        <v>20</v>
      </c>
      <c r="B21" s="82">
        <f>overview_20!$H$8</f>
        <v>38</v>
      </c>
      <c r="C21" s="82">
        <f>overview_20!$B$15</f>
        <v>0.37014165169068081</v>
      </c>
      <c r="D21" s="7" t="s">
        <v>1349</v>
      </c>
      <c r="E21" s="82">
        <v>2</v>
      </c>
      <c r="F21" s="186"/>
      <c r="G21" s="82">
        <f t="shared" ca="1" si="0"/>
        <v>1</v>
      </c>
      <c r="H21" s="82">
        <f t="shared" ca="1" si="1"/>
        <v>0</v>
      </c>
      <c r="I21" s="82">
        <f t="shared" ca="1" si="2"/>
        <v>5</v>
      </c>
      <c r="J21" s="82" t="str">
        <f t="shared" ca="1" si="21"/>
        <v>05</v>
      </c>
      <c r="K21" s="82">
        <f t="shared" ca="1" si="4"/>
        <v>1</v>
      </c>
      <c r="L21" s="82">
        <f t="shared" ca="1" si="5"/>
        <v>1</v>
      </c>
      <c r="M21" s="82">
        <f t="shared" ca="1" si="6"/>
        <v>14</v>
      </c>
      <c r="N21" s="82">
        <f t="shared" ca="1" si="7"/>
        <v>2</v>
      </c>
      <c r="O21" s="82">
        <f t="shared" ca="1" si="8"/>
        <v>0</v>
      </c>
      <c r="P21" s="82" t="str">
        <f t="shared" ca="1" si="22"/>
        <v>20</v>
      </c>
      <c r="Q21" s="82" t="str">
        <f t="shared" ca="1" si="10"/>
        <v>fMRI BOLD with anatomical ROI masks for the bilateral dACC and amygdala based on anatomy rather than activation. Also examined visual cortex as control area where no activation predicted. First conducted separate random effects between-group general linear model analyses for the three bilateral ROIs, followed by separate analyses for the relevant ROIs in each hemisphere. Effect sizes for the BOLD data were calculated from the exported parameter estimates.</v>
      </c>
      <c r="R21" s="34" t="str">
        <f t="shared" ca="1" si="11"/>
        <v xml:space="preserve">All statistical tests are two-tailed, α = .05,  except for correlations where directional hypothesis that greater activation should correlate with heightened anger control </v>
      </c>
      <c r="S21" s="82">
        <v>1</v>
      </c>
      <c r="T21" s="82">
        <f t="shared" ca="1" si="16"/>
        <v>6</v>
      </c>
      <c r="U21" s="82">
        <f t="shared" ca="1" si="12"/>
        <v>0</v>
      </c>
      <c r="V21" s="82">
        <f t="shared" ca="1" si="13"/>
        <v>1</v>
      </c>
      <c r="W21" s="187" t="str">
        <f t="shared" ca="1" si="14"/>
        <v>None reported</v>
      </c>
      <c r="X21" s="34" t="str">
        <f t="shared" ca="1" si="15"/>
        <v>no</v>
      </c>
      <c r="Y21" t="str">
        <f t="shared" ca="1" si="17"/>
        <v>1 polymorphisms x 1 genetic models x 14 behavioural phenotypes x 6 neuro phenotypes x 1 subgroups</v>
      </c>
      <c r="Z21" s="206" t="str">
        <f t="shared" ca="1" si="18"/>
        <v xml:space="preserve">All statistical tests are two-tailed, α = .05,  except for correlations where directional hypothesis that greater activation should correlate with heightened anger control </v>
      </c>
    </row>
    <row r="22" spans="1:26" ht="142" customHeight="1" x14ac:dyDescent="0.2">
      <c r="A22" s="82">
        <v>21</v>
      </c>
      <c r="B22" s="82">
        <f>overview_21!$H$8</f>
        <v>600</v>
      </c>
      <c r="C22" s="82">
        <f>overview_21!$B$15</f>
        <v>9.2999999999999999E-2</v>
      </c>
      <c r="D22" s="7" t="s">
        <v>1546</v>
      </c>
      <c r="E22" s="82">
        <v>7</v>
      </c>
      <c r="F22" s="186"/>
      <c r="G22" s="82">
        <f t="shared" ca="1" si="0"/>
        <v>1</v>
      </c>
      <c r="H22" s="82">
        <f t="shared" ca="1" si="1"/>
        <v>0</v>
      </c>
      <c r="I22" s="82">
        <f t="shared" ca="1" si="2"/>
        <v>5</v>
      </c>
      <c r="J22" s="82" t="str">
        <f t="shared" ca="1" si="21"/>
        <v>05</v>
      </c>
      <c r="K22" s="82">
        <f t="shared" ca="1" si="4"/>
        <v>1</v>
      </c>
      <c r="L22" s="82">
        <f t="shared" ca="1" si="5"/>
        <v>1</v>
      </c>
      <c r="M22" s="82">
        <f t="shared" ca="1" si="6"/>
        <v>1</v>
      </c>
      <c r="N22" s="82">
        <f t="shared" ca="1" si="7"/>
        <v>0</v>
      </c>
      <c r="O22" s="82">
        <f t="shared" ca="1" si="8"/>
        <v>5</v>
      </c>
      <c r="P22" s="82" t="str">
        <f t="shared" ca="1" si="22"/>
        <v>05</v>
      </c>
      <c r="Q22" s="82" t="str">
        <f t="shared" ca="1" si="10"/>
        <v>MRI PET to measure uptake of Pittsburgh compound (measure of brain metabolism) in different brain regions.</v>
      </c>
      <c r="R22" s="34" t="str">
        <f t="shared" ca="1" si="11"/>
        <v xml:space="preserve"> Analysis 2: differences in regional FDG by APOE e4 carrier status after accounting for age, sex, and PiB; uncorrected p values and corrected for FDR reported</v>
      </c>
      <c r="S22" s="82">
        <v>1</v>
      </c>
      <c r="T22" s="82">
        <f t="shared" ca="1" si="16"/>
        <v>64</v>
      </c>
      <c r="U22" s="82">
        <f t="shared" ca="1" si="12"/>
        <v>2</v>
      </c>
      <c r="V22" s="82">
        <f t="shared" ca="1" si="13"/>
        <v>1</v>
      </c>
      <c r="W22" s="187" t="str">
        <f t="shared" ca="1" si="14"/>
        <v>None needed except for neuro measures</v>
      </c>
      <c r="X22" s="34" t="str">
        <f t="shared" ca="1" si="15"/>
        <v>no</v>
      </c>
      <c r="Y22" t="str">
        <f t="shared" ca="1" si="17"/>
        <v>1 polymorphisms x 1 genetic models x 1 behavioural phenotypes x 64 neuro phenotypes x 1 subgroups</v>
      </c>
      <c r="Z22" s="206" t="str">
        <f t="shared" ca="1" si="18"/>
        <v xml:space="preserve"> Analysis 2: differences in regional FDG by APOE e4 carrier status after accounting for age, sex, and PiB; uncorrected p values and corrected for FDR reported</v>
      </c>
    </row>
    <row r="23" spans="1:26" ht="142" customHeight="1" x14ac:dyDescent="0.2">
      <c r="A23" s="82">
        <v>22</v>
      </c>
      <c r="B23" s="82">
        <f>overview_22!$H$8</f>
        <v>282</v>
      </c>
      <c r="C23" s="82">
        <f>overview_22!$B$15</f>
        <v>0.17674960498889997</v>
      </c>
      <c r="D23" s="7" t="s">
        <v>1564</v>
      </c>
      <c r="E23" s="82">
        <v>9</v>
      </c>
      <c r="F23" s="186"/>
      <c r="G23" s="82">
        <f t="shared" ca="1" si="0"/>
        <v>10</v>
      </c>
      <c r="H23" s="82">
        <v>2</v>
      </c>
      <c r="I23" s="34">
        <v>1</v>
      </c>
      <c r="J23" s="82" t="str">
        <f t="shared" si="21"/>
        <v>21</v>
      </c>
      <c r="K23" s="82" t="s">
        <v>1895</v>
      </c>
      <c r="L23" s="82">
        <f t="shared" ca="1" si="5"/>
        <v>10</v>
      </c>
      <c r="M23" s="82">
        <f t="shared" ca="1" si="6"/>
        <v>1</v>
      </c>
      <c r="N23" s="82">
        <f t="shared" ca="1" si="7"/>
        <v>0</v>
      </c>
      <c r="O23" s="82">
        <f t="shared" ca="1" si="8"/>
        <v>5</v>
      </c>
      <c r="P23" s="82" t="str">
        <f t="shared" ca="1" si="22"/>
        <v>05</v>
      </c>
      <c r="Q23" s="82" t="str">
        <f t="shared" ca="1" si="10"/>
        <v xml:space="preserve">Structural MRI: Brain tissue was classified as GM, unmyelinated WM, myelinated WM (mWM), and CSF using an automatic, atlas-moderated expectation maximization segmentation tool </v>
      </c>
      <c r="R23" s="34" t="str">
        <f t="shared" ca="1" si="11"/>
        <v>Cluster-based inference: P-value for each contiguous cluster on the basis of its size/mass to test whether a ROI size was significant or not using a conservative level of P &lt; 0.001. N neurophenotypes unclear: 0-11 for each of 13 genetic contrasts. Estimated at 5 or quantitative comparisons</v>
      </c>
      <c r="S23" s="82">
        <v>1</v>
      </c>
      <c r="T23" s="82">
        <f t="shared" ca="1" si="16"/>
        <v>5</v>
      </c>
      <c r="U23" s="82">
        <f t="shared" ca="1" si="12"/>
        <v>4</v>
      </c>
      <c r="V23" s="82">
        <f t="shared" ca="1" si="13"/>
        <v>1</v>
      </c>
      <c r="W23" s="187" t="str">
        <f t="shared" ca="1" si="14"/>
        <v xml:space="preserve">Tests were conducted at a significance level of 0.005 (0.05/10; Bonferroni corrected for the number of genetic tests conducted). We did not perform additional corrections for the number of phenotypes examined.  </v>
      </c>
      <c r="X23" s="34" t="str">
        <f t="shared" ca="1" si="15"/>
        <v>no</v>
      </c>
      <c r="Y23" t="str">
        <f t="shared" ca="1" si="17"/>
        <v>10 polymorphisms x 1? genetic models x 1 behavioural phenotypes x 5 neuro phenotypes x 1 subgroups</v>
      </c>
      <c r="Z23" s="206" t="str">
        <f t="shared" ca="1" si="18"/>
        <v>Cluster-based inference: P-value for each contiguous cluster on the basis of its size/mass to test whether a ROI size was significant or not using a conservative level of P &lt; 0.001. N neurophenotypes unclear: 0-11 for each of 13 genetic contrasts. Estimated at 5 or quantitative comparisons</v>
      </c>
    </row>
    <row r="24" spans="1:26" ht="142" customHeight="1" x14ac:dyDescent="0.2">
      <c r="A24" s="82">
        <v>23</v>
      </c>
      <c r="B24" s="82">
        <f>overview_23!$H$8</f>
        <v>66</v>
      </c>
      <c r="C24" s="82">
        <f>overview_23!$B$15</f>
        <v>0.40180172704680395</v>
      </c>
      <c r="D24" s="7" t="s">
        <v>1355</v>
      </c>
      <c r="E24" s="82">
        <v>4</v>
      </c>
      <c r="F24" s="186"/>
      <c r="G24" s="82">
        <f t="shared" ca="1" si="0"/>
        <v>1</v>
      </c>
      <c r="H24" s="82">
        <f t="shared" ref="H24:H31" ca="1" si="23">INDIRECT("overview_"&amp;$A24&amp;"!$B$30")</f>
        <v>0</v>
      </c>
      <c r="I24" s="82">
        <f ca="1">INDIRECT("overview_"&amp;$A24&amp;"!$B$31")</f>
        <v>5</v>
      </c>
      <c r="J24" s="82" t="str">
        <f t="shared" ca="1" si="21"/>
        <v>05</v>
      </c>
      <c r="K24" s="82">
        <f t="shared" ref="K24:K31" ca="1" si="24">INDIRECT("overview_"&amp;$A24&amp;"!$B$27")</f>
        <v>1</v>
      </c>
      <c r="L24" s="82">
        <f t="shared" ca="1" si="5"/>
        <v>1</v>
      </c>
      <c r="M24" s="82">
        <f t="shared" ca="1" si="6"/>
        <v>7</v>
      </c>
      <c r="N24" s="82">
        <f t="shared" ca="1" si="7"/>
        <v>2</v>
      </c>
      <c r="O24" s="82">
        <f t="shared" ca="1" si="8"/>
        <v>0</v>
      </c>
      <c r="P24" s="82" t="str">
        <f t="shared" ca="1" si="22"/>
        <v>20</v>
      </c>
      <c r="Q24" s="82" t="str">
        <f t="shared" ca="1" si="10"/>
        <v>BOLD fMRI during encoding and retrieval of aversive and neutral scences; Condition effects at each voxel for each subject were created using a t-statistic in SPM5, producing statistical images of significantly-activated brain regions for the following contrasts of interest: neutral encoding &gt; baseline and neutral retrieval &gt; baseline. Gives So 2 conditions (encoding vs retrieval) for 4 ROIs (L &amp; R hippocampus and parahippocampal gyrus)</v>
      </c>
      <c r="R24" s="34" t="str">
        <f t="shared" ca="1" si="11"/>
        <v xml:space="preserve">Significance for the pure effects of both age and WWC1 genotypes inside the HF was set at an alpha of .05. The threshold for significance outside the HF (whole brain) was set at an alpha of .05. False discovery rate (FDR) for multiple comparisons was used in both of these analyses. </v>
      </c>
      <c r="S24" s="82">
        <v>1</v>
      </c>
      <c r="T24" s="82">
        <f t="shared" ca="1" si="16"/>
        <v>4</v>
      </c>
      <c r="U24" s="82">
        <f t="shared" ca="1" si="12"/>
        <v>2</v>
      </c>
      <c r="V24" s="82">
        <f t="shared" ca="1" si="13"/>
        <v>2</v>
      </c>
      <c r="W24" s="187">
        <f t="shared" ca="1" si="14"/>
        <v>0</v>
      </c>
      <c r="X24" s="34" t="str">
        <f t="shared" ca="1" si="15"/>
        <v>no</v>
      </c>
      <c r="Y24" t="str">
        <f t="shared" ca="1" si="17"/>
        <v>1 polymorphisms x 1 genetic models x 7 behavioural phenotypes x 4 neuro phenotypes x 2 subgroups</v>
      </c>
      <c r="Z24" s="206" t="str">
        <f t="shared" ca="1" si="18"/>
        <v xml:space="preserve">Significance for the pure effects of both age and WWC1 genotypes inside the HF was set at an alpha of .05. The threshold for significance outside the HF (whole brain) was set at an alpha of .05. False discovery rate (FDR) for multiple comparisons was used in both of these analyses. </v>
      </c>
    </row>
    <row r="25" spans="1:26" ht="142" customHeight="1" x14ac:dyDescent="0.2">
      <c r="A25" s="82">
        <v>24</v>
      </c>
      <c r="B25" s="82">
        <f>overview_24!$H$8</f>
        <v>176</v>
      </c>
      <c r="C25" s="82">
        <f>overview_24!$B$15</f>
        <v>0.24464638046414378</v>
      </c>
      <c r="D25" s="5" t="s">
        <v>1336</v>
      </c>
      <c r="E25" s="82">
        <v>1</v>
      </c>
      <c r="F25" s="186"/>
      <c r="G25" s="82">
        <f t="shared" ca="1" si="0"/>
        <v>2</v>
      </c>
      <c r="H25" s="82">
        <f t="shared" ca="1" si="23"/>
        <v>3</v>
      </c>
      <c r="I25" s="34">
        <v>0</v>
      </c>
      <c r="J25" s="82" t="str">
        <f t="shared" ca="1" si="21"/>
        <v>30</v>
      </c>
      <c r="K25" s="82">
        <f t="shared" ca="1" si="24"/>
        <v>4</v>
      </c>
      <c r="L25" s="82">
        <f t="shared" ca="1" si="5"/>
        <v>2</v>
      </c>
      <c r="M25" s="82">
        <f t="shared" ca="1" si="6"/>
        <v>1</v>
      </c>
      <c r="N25" s="82">
        <f t="shared" ca="1" si="7"/>
        <v>0</v>
      </c>
      <c r="O25" s="82">
        <f t="shared" ca="1" si="8"/>
        <v>5</v>
      </c>
      <c r="P25" s="82" t="str">
        <f t="shared" ca="1" si="22"/>
        <v>05</v>
      </c>
      <c r="Q25" s="82" t="str">
        <f t="shared" ca="1" si="10"/>
        <v>fMRI BOLD activation during working memory task; analysed with SPM5. For each individual, first-level contrasts were created by contrasting the working memory 2- back with the control 0-back. These individual contrast images were examined for genetic interaction via multiple regressions</v>
      </c>
      <c r="R25" s="34" t="str">
        <f t="shared" ca="1" si="11"/>
        <v>Statistical significance determined using 2-tailed t-tests within SPM5 at uncorrected whole-brain threshold of P &lt; 0.001 and small volume correction</v>
      </c>
      <c r="S25" s="82">
        <v>1</v>
      </c>
      <c r="T25" s="82">
        <f t="shared" ca="1" si="16"/>
        <v>1</v>
      </c>
      <c r="U25" s="82">
        <f t="shared" ca="1" si="12"/>
        <v>5</v>
      </c>
      <c r="V25" s="82">
        <f t="shared" ca="1" si="13"/>
        <v>1</v>
      </c>
      <c r="W25" s="187" t="str">
        <f t="shared" ca="1" si="14"/>
        <v>None mentioned? (This paper hard to evaluate)</v>
      </c>
      <c r="X25" s="34" t="str">
        <f t="shared" ca="1" si="15"/>
        <v>no</v>
      </c>
      <c r="Y25" t="str">
        <f t="shared" ca="1" si="17"/>
        <v>2 polymorphisms x 4 genetic models x 1 behavioural phenotypes x 1 neuro phenotypes x 1 subgroups</v>
      </c>
      <c r="Z25" s="206" t="str">
        <f t="shared" ca="1" si="18"/>
        <v>Statistical significance determined using 2-tailed t-tests within SPM5 at uncorrected whole-brain threshold of P &lt; 0.001 and small volume correction</v>
      </c>
    </row>
    <row r="26" spans="1:26" ht="142" customHeight="1" x14ac:dyDescent="0.2">
      <c r="A26" s="82">
        <v>25</v>
      </c>
      <c r="B26" s="82">
        <f>overview_25!$H$8</f>
        <v>410</v>
      </c>
      <c r="C26" s="82">
        <f>overview_25!$B$15</f>
        <v>0.27720875076810847</v>
      </c>
      <c r="D26" s="5" t="s">
        <v>1353</v>
      </c>
      <c r="E26" s="82">
        <v>3</v>
      </c>
      <c r="F26" s="186"/>
      <c r="G26" s="82">
        <f t="shared" ca="1" si="0"/>
        <v>1</v>
      </c>
      <c r="H26" s="82">
        <f t="shared" ca="1" si="23"/>
        <v>0</v>
      </c>
      <c r="I26" s="82">
        <f t="shared" ref="I26:I31" ca="1" si="25">INDIRECT("overview_"&amp;$A26&amp;"!$B$31")</f>
        <v>5</v>
      </c>
      <c r="J26" s="82" t="str">
        <f t="shared" ca="1" si="21"/>
        <v>05</v>
      </c>
      <c r="K26" s="82">
        <f t="shared" ca="1" si="24"/>
        <v>1</v>
      </c>
      <c r="L26" s="82">
        <f t="shared" ca="1" si="5"/>
        <v>1</v>
      </c>
      <c r="M26" s="82">
        <f t="shared" ca="1" si="6"/>
        <v>1</v>
      </c>
      <c r="N26" s="82">
        <f t="shared" ca="1" si="7"/>
        <v>0</v>
      </c>
      <c r="O26" s="82">
        <f t="shared" ca="1" si="8"/>
        <v>5</v>
      </c>
      <c r="P26" s="82" t="str">
        <f t="shared" ca="1" si="22"/>
        <v>05</v>
      </c>
      <c r="Q26" s="82" t="str">
        <f t="shared" ca="1" si="10"/>
        <v>fMRI with n-back working memory paradigm. a priori defined anatomical mask of the right DLPFC. Effects of NRG3 genotype  examined in a summary statistic procedure using general linear models in SPM5 with random-effects group statistics. Tested for a simple main effect  using a multiple regression model with NRG3 genotype (T/T homozygotes, C allele carriers) as a covariate of interest and age, sex, and n-back task performance (percentage correct responses) as nuisance covariates. Also analysed interactions</v>
      </c>
      <c r="R26" s="34" t="str">
        <f t="shared" ca="1" si="11"/>
        <v xml:space="preserve">Significance at p &lt; 0.05 FWE corrected for multiple comparisons at the voxel level. . Outside ROI, findings  considered significant if they passed a significance threshold of p 0.05 FWE corrected for multiple comparisons across the whole brain. </v>
      </c>
      <c r="S26" s="82">
        <v>1</v>
      </c>
      <c r="T26" s="82">
        <f t="shared" ca="1" si="16"/>
        <v>1</v>
      </c>
      <c r="U26" s="82">
        <f t="shared" ca="1" si="12"/>
        <v>5</v>
      </c>
      <c r="V26" s="82">
        <f t="shared" ca="1" si="13"/>
        <v>1</v>
      </c>
      <c r="W26" s="187" t="str">
        <f t="shared" ca="1" si="14"/>
        <v>None needed except for neuro measures.</v>
      </c>
      <c r="X26" s="34" t="str">
        <f t="shared" ca="1" si="15"/>
        <v>no</v>
      </c>
      <c r="Y26" t="str">
        <f t="shared" ca="1" si="17"/>
        <v>1 polymorphisms x 1 genetic models x 1 behavioural phenotypes x 1 neuro phenotypes x 1 subgroups</v>
      </c>
      <c r="Z26" s="206" t="str">
        <f t="shared" ca="1" si="18"/>
        <v xml:space="preserve">Significance at p &lt; 0.05 FWE corrected for multiple comparisons at the voxel level. . Outside ROI, findings  considered significant if they passed a significance threshold of p 0.05 FWE corrected for multiple comparisons across the whole brain. </v>
      </c>
    </row>
    <row r="27" spans="1:26" ht="142" customHeight="1" x14ac:dyDescent="0.2">
      <c r="A27" s="82">
        <v>26</v>
      </c>
      <c r="B27" s="82">
        <f>overview_26!$H$8</f>
        <v>682</v>
      </c>
      <c r="C27" s="82">
        <f>overview_26!$B$15</f>
        <v>9.2791633586091618E-2</v>
      </c>
      <c r="D27" s="5" t="s">
        <v>1600</v>
      </c>
      <c r="E27" s="82">
        <v>9</v>
      </c>
      <c r="F27" s="186"/>
      <c r="G27" s="82">
        <f t="shared" ca="1" si="0"/>
        <v>2</v>
      </c>
      <c r="H27" s="82">
        <f t="shared" ca="1" si="23"/>
        <v>3</v>
      </c>
      <c r="I27" s="82">
        <f t="shared" ca="1" si="25"/>
        <v>0</v>
      </c>
      <c r="J27" s="82" t="str">
        <f t="shared" ca="1" si="21"/>
        <v>30</v>
      </c>
      <c r="K27" s="82">
        <f t="shared" ca="1" si="24"/>
        <v>1</v>
      </c>
      <c r="L27" s="82">
        <f t="shared" ca="1" si="5"/>
        <v>2</v>
      </c>
      <c r="M27" s="82">
        <f t="shared" ca="1" si="6"/>
        <v>3</v>
      </c>
      <c r="N27" s="82">
        <f t="shared" ca="1" si="7"/>
        <v>2</v>
      </c>
      <c r="O27" s="82">
        <f t="shared" ca="1" si="8"/>
        <v>0</v>
      </c>
      <c r="P27" s="82" t="str">
        <f t="shared" ca="1" si="22"/>
        <v>20</v>
      </c>
      <c r="Q27" s="82" t="str">
        <f t="shared" ca="1" si="10"/>
        <v>n/a</v>
      </c>
      <c r="R27" s="34" t="str">
        <f t="shared" ca="1" si="11"/>
        <v>n/a</v>
      </c>
      <c r="S27" s="82">
        <v>0</v>
      </c>
      <c r="T27" s="82">
        <f t="shared" ca="1" si="16"/>
        <v>0</v>
      </c>
      <c r="U27" s="82" t="str">
        <f t="shared" ca="1" si="12"/>
        <v>n/a</v>
      </c>
      <c r="V27" s="82">
        <f t="shared" ca="1" si="13"/>
        <v>1</v>
      </c>
      <c r="W27" s="187" t="str">
        <f t="shared" ca="1" si="14"/>
        <v>The statistical significance threshold for all tests was p = 0.05, using a Bonferroni correction where appropriate. To increase sensitivity, we did not use a Bonferroni correction for any of the control analyses</v>
      </c>
      <c r="X27" s="34" t="str">
        <f t="shared" ca="1" si="15"/>
        <v>no</v>
      </c>
      <c r="Y27" t="str">
        <f t="shared" ca="1" si="17"/>
        <v>2 polymorphisms x 1 genetic models x 3 behavioural phenotypes x 0 neuro phenotypes x 1 subgroups</v>
      </c>
      <c r="Z27" s="206" t="str">
        <f t="shared" ca="1" si="18"/>
        <v>n/a</v>
      </c>
    </row>
    <row r="28" spans="1:26" ht="142" customHeight="1" x14ac:dyDescent="0.2">
      <c r="A28" s="82">
        <v>27</v>
      </c>
      <c r="B28" s="82">
        <f>overview_27!$H$8</f>
        <v>107</v>
      </c>
      <c r="C28" s="82">
        <f>overview_27!$B$15</f>
        <v>0.39759238312644984</v>
      </c>
      <c r="D28" s="5" t="s">
        <v>1528</v>
      </c>
      <c r="E28" s="82">
        <v>5</v>
      </c>
      <c r="F28" s="186"/>
      <c r="G28" s="82">
        <f t="shared" ca="1" si="0"/>
        <v>1</v>
      </c>
      <c r="H28" s="82">
        <f t="shared" ca="1" si="23"/>
        <v>0</v>
      </c>
      <c r="I28" s="82">
        <f t="shared" ca="1" si="25"/>
        <v>5</v>
      </c>
      <c r="J28" s="82" t="str">
        <f t="shared" ca="1" si="21"/>
        <v>05</v>
      </c>
      <c r="K28" s="82">
        <f t="shared" ca="1" si="24"/>
        <v>1</v>
      </c>
      <c r="L28" s="82">
        <f t="shared" ca="1" si="5"/>
        <v>1</v>
      </c>
      <c r="M28" s="82">
        <f t="shared" ca="1" si="6"/>
        <v>3</v>
      </c>
      <c r="N28" s="82">
        <f t="shared" ca="1" si="7"/>
        <v>2</v>
      </c>
      <c r="O28" s="82">
        <f t="shared" ca="1" si="8"/>
        <v>0</v>
      </c>
      <c r="P28" s="82" t="str">
        <f ca="1">N29&amp;O29</f>
        <v>20</v>
      </c>
      <c r="Q28" s="82" t="str">
        <f t="shared" ca="1" si="10"/>
        <v>n/a</v>
      </c>
      <c r="R28" s="34" t="str">
        <f t="shared" ca="1" si="11"/>
        <v>n/a</v>
      </c>
      <c r="S28" s="82">
        <v>0</v>
      </c>
      <c r="T28" s="82">
        <f t="shared" ca="1" si="16"/>
        <v>0</v>
      </c>
      <c r="U28" s="82" t="str">
        <f t="shared" ca="1" si="12"/>
        <v>n/a</v>
      </c>
      <c r="V28" s="82">
        <f t="shared" ca="1" si="13"/>
        <v>1</v>
      </c>
      <c r="W28" s="187" t="str">
        <f t="shared" ca="1" si="14"/>
        <v>None reported. Authors reply to query:  "We did not correct for multiple testing as we only assayed 5-HTTLPR"</v>
      </c>
      <c r="X28" s="34" t="str">
        <f t="shared" ca="1" si="15"/>
        <v>no</v>
      </c>
      <c r="Y28" t="str">
        <f t="shared" ca="1" si="17"/>
        <v>1 polymorphisms x 1 genetic models x 3 behavioural phenotypes x 0 neuro phenotypes x 1 subgroups</v>
      </c>
      <c r="Z28" s="206" t="str">
        <f t="shared" ca="1" si="18"/>
        <v>n/a</v>
      </c>
    </row>
    <row r="29" spans="1:26" ht="142" customHeight="1" x14ac:dyDescent="0.2">
      <c r="A29" s="82">
        <v>28</v>
      </c>
      <c r="B29" s="82">
        <f>overview_29!$H$8</f>
        <v>81</v>
      </c>
      <c r="C29" s="82">
        <f>overview_29!$B$15</f>
        <v>0.38976798359611098</v>
      </c>
      <c r="D29" s="5" t="s">
        <v>1336</v>
      </c>
      <c r="E29" s="82">
        <v>1</v>
      </c>
      <c r="F29" s="186"/>
      <c r="G29" s="82">
        <f t="shared" ca="1" si="0"/>
        <v>1</v>
      </c>
      <c r="H29" s="82">
        <f t="shared" ca="1" si="23"/>
        <v>0</v>
      </c>
      <c r="I29" s="82">
        <f t="shared" ca="1" si="25"/>
        <v>5</v>
      </c>
      <c r="J29" s="82" t="str">
        <f t="shared" ca="1" si="21"/>
        <v>05</v>
      </c>
      <c r="K29" s="82">
        <f t="shared" ca="1" si="24"/>
        <v>1</v>
      </c>
      <c r="L29" s="82">
        <f t="shared" ca="1" si="5"/>
        <v>1</v>
      </c>
      <c r="M29" s="82">
        <f t="shared" ca="1" si="6"/>
        <v>2</v>
      </c>
      <c r="N29" s="82">
        <f t="shared" ca="1" si="7"/>
        <v>2</v>
      </c>
      <c r="O29" s="82">
        <f t="shared" ca="1" si="8"/>
        <v>0</v>
      </c>
      <c r="P29" s="82" t="str">
        <f ca="1">N29&amp;O29</f>
        <v>20</v>
      </c>
      <c r="Q29" s="82" t="str">
        <f t="shared" ca="1" si="10"/>
        <v>Structural and functional MRI in SPM8; contrasted successful Stop trials vs. successful Go trials; The normalized and smoothed single-subject contrast images were then taken to a second-level random effects analysis. Averaged beta values based on all voxels in the regions of interest were used for all analyses; ROI is ventral striatum and IFG</v>
      </c>
      <c r="R29" s="34" t="str">
        <f t="shared" ca="1" si="11"/>
        <v xml:space="preserve">Random field. pFWE-corrected &lt; 0.05). </v>
      </c>
      <c r="S29" s="82">
        <v>1</v>
      </c>
      <c r="T29" s="82">
        <f t="shared" ca="1" si="16"/>
        <v>4</v>
      </c>
      <c r="U29" s="82">
        <f t="shared" ca="1" si="12"/>
        <v>3</v>
      </c>
      <c r="V29" s="82">
        <f t="shared" ca="1" si="13"/>
        <v>2</v>
      </c>
      <c r="W29" s="187" t="str">
        <f t="shared" ca="1" si="14"/>
        <v xml:space="preserve">Permutations with 100,000 iterations were used to control for hemisphere specific tests of VS BOLD response. Where pcorrected is indicated, p values were corrected for statistical tests performed in the left and right hemisphere. </v>
      </c>
      <c r="X29" s="34" t="str">
        <f t="shared" ca="1" si="15"/>
        <v>no</v>
      </c>
      <c r="Y29" t="str">
        <f t="shared" ca="1" si="17"/>
        <v>1 polymorphisms x 1 genetic models x 2 behavioural phenotypes x 4 neuro phenotypes x 2 subgroups</v>
      </c>
      <c r="Z29" s="206" t="str">
        <f t="shared" ca="1" si="18"/>
        <v xml:space="preserve">Random field. pFWE-corrected &lt; 0.05). </v>
      </c>
    </row>
    <row r="30" spans="1:26" ht="142" customHeight="1" x14ac:dyDescent="0.2">
      <c r="A30" s="82">
        <v>29</v>
      </c>
      <c r="B30" s="82">
        <f>overview_29!$H$8</f>
        <v>81</v>
      </c>
      <c r="C30" s="82">
        <f>overview_29!$B$15</f>
        <v>0.38976798359611098</v>
      </c>
      <c r="D30" s="5" t="s">
        <v>1336</v>
      </c>
      <c r="E30" s="82">
        <v>1</v>
      </c>
      <c r="F30" s="186"/>
      <c r="G30" s="82">
        <f t="shared" ca="1" si="0"/>
        <v>1</v>
      </c>
      <c r="H30" s="82">
        <f t="shared" ca="1" si="23"/>
        <v>0</v>
      </c>
      <c r="I30" s="82">
        <f t="shared" ca="1" si="25"/>
        <v>5</v>
      </c>
      <c r="J30" s="82" t="str">
        <f t="shared" ca="1" si="21"/>
        <v>05</v>
      </c>
      <c r="K30" s="82">
        <f t="shared" ca="1" si="24"/>
        <v>1</v>
      </c>
      <c r="L30" s="82">
        <f t="shared" ca="1" si="5"/>
        <v>1</v>
      </c>
      <c r="M30" s="82">
        <f t="shared" ca="1" si="6"/>
        <v>10</v>
      </c>
      <c r="N30" s="82">
        <f t="shared" ca="1" si="7"/>
        <v>2</v>
      </c>
      <c r="O30" s="82">
        <f t="shared" ca="1" si="8"/>
        <v>0</v>
      </c>
      <c r="P30" s="82" t="str">
        <f ca="1">N30&amp;O30</f>
        <v>20</v>
      </c>
      <c r="Q30" s="82" t="str">
        <f t="shared" ca="1" si="10"/>
        <v>fMRI BOLD response to threat; sensorimotor control task;  ROI amygdala. SPM2. Habituation of amygdala response as dependent measure. Voxel-wise signal intensities were ratio-normalized to the whole-brain global mean. These pre-processed data sets were analyzed using second-level random-effects models that accounted for both scan- to-scan and participant-to-participant variability to determine task-specific regional responses.  Amygdala habituation to threat- related stimuli was calculated as the linear decrease over successive face matching blocks. Individual BOLD values from the functional amygdala clusters exhibiting habituation were extracted using the VOI tool in SPM2.</v>
      </c>
      <c r="R30" s="34" t="str">
        <f t="shared" ca="1" si="11"/>
        <v xml:space="preserve">"Analyses involving genotype were conducted using these extracted values outside of SPM2, thereby eliminating any possibility of correlations that are artificially inflated because of extraction and correlation techniques that capitalize on the same data twice". </v>
      </c>
      <c r="S30" s="82">
        <v>1</v>
      </c>
      <c r="T30" s="82">
        <f t="shared" ca="1" si="16"/>
        <v>4</v>
      </c>
      <c r="U30" s="82">
        <f t="shared" ca="1" si="12"/>
        <v>0</v>
      </c>
      <c r="V30" s="82">
        <f t="shared" ca="1" si="13"/>
        <v>1</v>
      </c>
      <c r="W30" s="187" t="str">
        <f t="shared" ca="1" si="14"/>
        <v>None reported</v>
      </c>
      <c r="X30" s="34" t="str">
        <f t="shared" ca="1" si="15"/>
        <v>no</v>
      </c>
      <c r="Y30" t="str">
        <f t="shared" ca="1" si="17"/>
        <v>1 polymorphisms x 1 genetic models x 10 behavioural phenotypes x 4 neuro phenotypes x 1 subgroups</v>
      </c>
      <c r="Z30" s="206" t="str">
        <f t="shared" ca="1" si="18"/>
        <v xml:space="preserve">"Analyses involving genotype were conducted using these extracted values outside of SPM2, thereby eliminating any possibility of correlations that are artificially inflated because of extraction and correlation techniques that capitalize on the same data twice". </v>
      </c>
    </row>
    <row r="31" spans="1:26" ht="142" customHeight="1" x14ac:dyDescent="0.2">
      <c r="A31" s="82">
        <v>30</v>
      </c>
      <c r="B31" s="82">
        <f>overview_30!$H$8</f>
        <v>1998</v>
      </c>
      <c r="C31" s="82">
        <f>overview_30!$B$15</f>
        <v>8.1156186569172534E-2</v>
      </c>
      <c r="D31" s="5" t="s">
        <v>1336</v>
      </c>
      <c r="E31" s="82">
        <v>1</v>
      </c>
      <c r="F31" s="186"/>
      <c r="G31" s="82">
        <f t="shared" ca="1" si="0"/>
        <v>1</v>
      </c>
      <c r="H31" s="82">
        <f t="shared" ca="1" si="23"/>
        <v>0</v>
      </c>
      <c r="I31" s="82">
        <f t="shared" ca="1" si="25"/>
        <v>5</v>
      </c>
      <c r="J31" s="82" t="str">
        <f t="shared" ca="1" si="21"/>
        <v>05</v>
      </c>
      <c r="K31" s="82">
        <f t="shared" ca="1" si="24"/>
        <v>1</v>
      </c>
      <c r="L31" s="82">
        <f t="shared" ca="1" si="5"/>
        <v>1</v>
      </c>
      <c r="M31" s="82">
        <f t="shared" ca="1" si="6"/>
        <v>10</v>
      </c>
      <c r="N31" s="82">
        <f t="shared" ca="1" si="7"/>
        <v>3</v>
      </c>
      <c r="O31" s="82">
        <f t="shared" ca="1" si="8"/>
        <v>1</v>
      </c>
      <c r="P31" s="82" t="str">
        <f ca="1">N31&amp;O31</f>
        <v>31</v>
      </c>
      <c r="Q31" s="82" t="str">
        <f t="shared" ca="1" si="10"/>
        <v>n/a</v>
      </c>
      <c r="R31" s="34" t="str">
        <f t="shared" ca="1" si="11"/>
        <v>n/a</v>
      </c>
      <c r="S31" s="82">
        <v>0</v>
      </c>
      <c r="T31" s="82">
        <f t="shared" ca="1" si="16"/>
        <v>0</v>
      </c>
      <c r="U31" s="82" t="str">
        <f t="shared" ca="1" si="12"/>
        <v>n/a</v>
      </c>
      <c r="V31" s="82">
        <f t="shared" ca="1" si="13"/>
        <v>2</v>
      </c>
      <c r="W31" s="187" t="str">
        <f t="shared" ca="1" si="14"/>
        <v xml:space="preserve">Finally, our results were not corrected for multiple testing. Bonferroni correction for multiple testing (32 tests) resulted in a significance level of P = 0.0016, and only the results for sense of coherence in women remained significant. Considering the inter-correlation of the nine measures assessed, we prefer to report nominal levels of significance. Our rationale for this is that in the case of inter- correlation, Bonferroni correction for multiple testing is likely to provide an inadequate reduction of the power to detect small effects. </v>
      </c>
      <c r="X31" s="34" t="str">
        <f t="shared" ca="1" si="15"/>
        <v>mentioned in context of power analysis, but not for the data reported here</v>
      </c>
      <c r="Y31" t="str">
        <f t="shared" ca="1" si="17"/>
        <v>1 polymorphisms x 1 genetic models x 10 behavioural phenotypes x 0 neuro phenotypes x 2 subgroups</v>
      </c>
      <c r="Z31" s="206" t="str">
        <f t="shared" ca="1" si="18"/>
        <v>n/a</v>
      </c>
    </row>
    <row r="33" spans="5:9" x14ac:dyDescent="0.2">
      <c r="E33" t="s">
        <v>1392</v>
      </c>
      <c r="F33" s="165">
        <v>1</v>
      </c>
      <c r="G33">
        <f ca="1">COUNTIF(G2:G31,"=1")</f>
        <v>17</v>
      </c>
      <c r="H33">
        <v>0</v>
      </c>
      <c r="I33">
        <f ca="1">COUNTIF(I2:I31,"="&amp;H33)</f>
        <v>4</v>
      </c>
    </row>
    <row r="34" spans="5:9" x14ac:dyDescent="0.2">
      <c r="H34">
        <v>1</v>
      </c>
      <c r="I34">
        <f ca="1">COUNTIF(I$2:I$31,"="&amp;H34)</f>
        <v>5</v>
      </c>
    </row>
    <row r="35" spans="5:9" x14ac:dyDescent="0.2">
      <c r="H35">
        <v>2</v>
      </c>
      <c r="I35">
        <f ca="1">COUNTIF(I$2:I$31,"="&amp;H35)</f>
        <v>1</v>
      </c>
    </row>
    <row r="36" spans="5:9" x14ac:dyDescent="0.2">
      <c r="H36">
        <v>3</v>
      </c>
      <c r="I36">
        <f ca="1">COUNTIF(I$2:I$31,"="&amp;H36)</f>
        <v>3</v>
      </c>
    </row>
    <row r="37" spans="5:9" x14ac:dyDescent="0.2">
      <c r="H37">
        <v>4</v>
      </c>
      <c r="I37">
        <f ca="1">COUNTIF(I$2:I$31,"="&amp;H37)</f>
        <v>0</v>
      </c>
    </row>
    <row r="38" spans="5:9" x14ac:dyDescent="0.2">
      <c r="H38">
        <v>5</v>
      </c>
      <c r="I38">
        <f ca="1">COUNTIF(I$2:I$31,"="&amp;H39)</f>
        <v>0</v>
      </c>
    </row>
  </sheetData>
  <sortState ref="A2:Y31">
    <sortCondition ref="A2:A31"/>
  </sortState>
  <pageMargins left="0.7" right="0.7" top="0.75" bottom="0.75" header="0.3" footer="0.3"/>
  <pageSetup paperSize="9" orientation="portrait" r:id="rId1"/>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U165"/>
  <sheetViews>
    <sheetView zoomScale="80" zoomScaleNormal="80" zoomScalePageLayoutView="80" workbookViewId="0">
      <pane xSplit="2" ySplit="2" topLeftCell="AA67" activePane="bottomRight" state="frozen"/>
      <selection activeCell="L12" sqref="L12"/>
      <selection pane="topRight" activeCell="L12" sqref="L12"/>
      <selection pane="bottomLeft" activeCell="L12" sqref="L12"/>
      <selection pane="bottomRight" activeCell="AG69" sqref="AG69"/>
    </sheetView>
  </sheetViews>
  <sheetFormatPr baseColWidth="10" defaultColWidth="9.1640625" defaultRowHeight="14" x14ac:dyDescent="0.2"/>
  <cols>
    <col min="1" max="1" width="9.1640625" style="3"/>
    <col min="2" max="2" width="9" style="4" customWidth="1"/>
    <col min="3" max="4" width="7.6640625" style="4" customWidth="1"/>
    <col min="5" max="5" width="5.83203125" style="4" customWidth="1"/>
    <col min="6" max="6" width="7" style="4" customWidth="1"/>
    <col min="7" max="7" width="18.5" style="4" customWidth="1"/>
    <col min="8" max="8" width="17" style="4" customWidth="1"/>
    <col min="9" max="9" width="16.83203125" style="4" customWidth="1"/>
    <col min="10" max="10" width="25.1640625" style="4" customWidth="1"/>
    <col min="11" max="11" width="5.5" style="4" customWidth="1"/>
    <col min="12" max="12" width="5.6640625" style="4" customWidth="1"/>
    <col min="13" max="13" width="6.1640625" style="4" customWidth="1"/>
    <col min="14" max="14" width="5.1640625" style="4" customWidth="1"/>
    <col min="15" max="15" width="7" style="4" customWidth="1"/>
    <col min="16" max="16" width="7.6640625" style="4" customWidth="1"/>
    <col min="17" max="17" width="8.83203125" style="4" customWidth="1"/>
    <col min="18" max="18" width="6.5" style="4" customWidth="1"/>
    <col min="19" max="20" width="15.83203125" style="4" customWidth="1"/>
    <col min="21" max="22" width="22.83203125" style="4" customWidth="1"/>
    <col min="23" max="23" width="31.5" style="4" customWidth="1"/>
    <col min="24" max="24" width="36.1640625" style="4" customWidth="1"/>
    <col min="25" max="25" width="27" style="4" customWidth="1"/>
    <col min="26" max="26" width="16.1640625" style="4" customWidth="1"/>
    <col min="27" max="27" width="11.5" style="4" customWidth="1"/>
    <col min="28" max="28" width="9.1640625" style="4"/>
    <col min="29" max="29" width="12.83203125" style="4" customWidth="1"/>
    <col min="30" max="30" width="34.83203125" style="4" bestFit="1" customWidth="1"/>
    <col min="31" max="31" width="35.5" style="4" customWidth="1"/>
    <col min="32" max="32" width="20.33203125" style="4" customWidth="1"/>
    <col min="33" max="34" width="27.6640625" style="4" customWidth="1"/>
    <col min="35" max="35" width="13.83203125" style="4" customWidth="1"/>
    <col min="36" max="37" width="12.5" style="4" customWidth="1"/>
    <col min="38" max="38" width="23" style="4" customWidth="1"/>
    <col min="39" max="40" width="24.6640625" style="4" customWidth="1"/>
    <col min="41" max="41" width="18.1640625" style="4" customWidth="1"/>
    <col min="42" max="42" width="14.33203125" style="4" customWidth="1"/>
    <col min="43" max="44" width="14.5" style="4" customWidth="1"/>
    <col min="45" max="45" width="47.33203125" style="4" customWidth="1"/>
    <col min="46" max="46" width="44" style="4" customWidth="1"/>
    <col min="47" max="47" width="36" style="4" customWidth="1"/>
    <col min="48" max="48" width="31.83203125" style="4" customWidth="1"/>
    <col min="49" max="49" width="8" style="4" customWidth="1"/>
    <col min="50" max="50" width="6.83203125" style="4" customWidth="1"/>
    <col min="51" max="51" width="9.33203125" style="4" customWidth="1"/>
    <col min="52" max="52" width="8.5" style="4" customWidth="1"/>
    <col min="53" max="53" width="9.33203125" style="4" customWidth="1"/>
    <col min="54" max="72" width="9.83203125" style="4" customWidth="1"/>
    <col min="73" max="122" width="23.83203125" style="4" customWidth="1"/>
    <col min="123" max="123" width="25.33203125" style="4" customWidth="1"/>
    <col min="124" max="130" width="15.5" style="4" customWidth="1"/>
    <col min="131" max="141" width="13.83203125" style="4" customWidth="1"/>
    <col min="142" max="142" width="26" style="4" customWidth="1"/>
    <col min="143" max="16384" width="9.1640625" style="4"/>
  </cols>
  <sheetData>
    <row r="1" spans="1:99" x14ac:dyDescent="0.2">
      <c r="AW1" s="30" t="s">
        <v>1309</v>
      </c>
      <c r="AX1" s="30"/>
      <c r="AY1" s="30"/>
      <c r="AZ1" s="30"/>
      <c r="BA1" s="30"/>
      <c r="BB1" s="30"/>
      <c r="BC1" s="30"/>
      <c r="BD1" s="30"/>
      <c r="BE1" s="30"/>
      <c r="BF1" s="30"/>
      <c r="BG1" s="30"/>
      <c r="BH1" s="30"/>
      <c r="BI1" s="31" t="s">
        <v>1310</v>
      </c>
      <c r="BJ1" s="31"/>
      <c r="BK1" s="31"/>
      <c r="BL1" s="31"/>
      <c r="BM1" s="31"/>
      <c r="BN1" s="31"/>
      <c r="BO1" s="31"/>
      <c r="BP1" s="31"/>
    </row>
    <row r="2" spans="1:99" ht="60" x14ac:dyDescent="0.2">
      <c r="A2" s="3" t="s">
        <v>1290</v>
      </c>
      <c r="B2" s="6" t="s">
        <v>333</v>
      </c>
      <c r="C2" s="6" t="s">
        <v>742</v>
      </c>
      <c r="D2" s="7" t="s">
        <v>743</v>
      </c>
      <c r="E2" s="7"/>
      <c r="F2" s="7" t="s">
        <v>744</v>
      </c>
      <c r="G2" s="6" t="s">
        <v>745</v>
      </c>
      <c r="H2" s="7" t="s">
        <v>746</v>
      </c>
      <c r="I2" s="6" t="s">
        <v>334</v>
      </c>
      <c r="J2" s="6" t="s">
        <v>335</v>
      </c>
      <c r="K2" s="7"/>
      <c r="L2" s="7"/>
      <c r="M2" s="6" t="s">
        <v>336</v>
      </c>
      <c r="N2" s="6" t="s">
        <v>337</v>
      </c>
      <c r="O2" s="6" t="s">
        <v>338</v>
      </c>
      <c r="P2" s="6" t="s">
        <v>339</v>
      </c>
      <c r="Q2" s="6" t="s">
        <v>340</v>
      </c>
      <c r="R2" s="6" t="s">
        <v>341</v>
      </c>
      <c r="S2" s="8" t="s">
        <v>747</v>
      </c>
      <c r="T2" s="6" t="s">
        <v>748</v>
      </c>
      <c r="U2" s="6" t="s">
        <v>749</v>
      </c>
      <c r="V2" s="6" t="s">
        <v>354</v>
      </c>
      <c r="W2" s="6" t="s">
        <v>342</v>
      </c>
      <c r="X2" s="6" t="s">
        <v>392</v>
      </c>
      <c r="Y2" s="6" t="s">
        <v>343</v>
      </c>
      <c r="Z2" s="6" t="s">
        <v>344</v>
      </c>
      <c r="AA2" s="6" t="s">
        <v>345</v>
      </c>
      <c r="AB2" s="6" t="s">
        <v>346</v>
      </c>
      <c r="AC2" s="6" t="s">
        <v>934</v>
      </c>
      <c r="AD2" s="6" t="s">
        <v>937</v>
      </c>
      <c r="AE2" s="9" t="s">
        <v>982</v>
      </c>
      <c r="AF2" s="8" t="s">
        <v>347</v>
      </c>
      <c r="AG2" s="6" t="s">
        <v>953</v>
      </c>
      <c r="AH2" s="6"/>
      <c r="AI2" s="6" t="s">
        <v>933</v>
      </c>
      <c r="AJ2" s="6" t="s">
        <v>348</v>
      </c>
      <c r="AK2" s="6" t="s">
        <v>349</v>
      </c>
      <c r="AL2" s="6" t="s">
        <v>956</v>
      </c>
      <c r="AM2" s="6" t="s">
        <v>350</v>
      </c>
      <c r="AN2" s="6" t="s">
        <v>753</v>
      </c>
      <c r="AO2" s="6" t="s">
        <v>351</v>
      </c>
      <c r="AP2" s="6" t="s">
        <v>376</v>
      </c>
      <c r="AQ2" s="6" t="s">
        <v>377</v>
      </c>
      <c r="AR2" s="6" t="s">
        <v>378</v>
      </c>
      <c r="AS2" s="6" t="s">
        <v>352</v>
      </c>
      <c r="AT2" s="6"/>
      <c r="AU2" s="6"/>
      <c r="AV2" s="6" t="s">
        <v>1292</v>
      </c>
      <c r="AW2" s="6" t="s">
        <v>1293</v>
      </c>
      <c r="AX2" s="6" t="s">
        <v>1294</v>
      </c>
      <c r="AY2" s="6" t="s">
        <v>1295</v>
      </c>
      <c r="AZ2" s="6" t="s">
        <v>1296</v>
      </c>
      <c r="BA2" s="6" t="s">
        <v>1297</v>
      </c>
      <c r="BB2" s="6" t="s">
        <v>1298</v>
      </c>
      <c r="BC2" s="6" t="s">
        <v>1299</v>
      </c>
      <c r="BD2" s="6" t="s">
        <v>1300</v>
      </c>
      <c r="BE2" s="6" t="s">
        <v>1301</v>
      </c>
      <c r="BF2" s="6" t="s">
        <v>1302</v>
      </c>
      <c r="BG2" s="6" t="s">
        <v>1303</v>
      </c>
      <c r="BH2" s="6" t="s">
        <v>1304</v>
      </c>
      <c r="BI2" s="6" t="s">
        <v>1293</v>
      </c>
      <c r="BJ2" s="6" t="s">
        <v>1294</v>
      </c>
      <c r="BK2" s="6" t="s">
        <v>1296</v>
      </c>
      <c r="BL2" s="6" t="s">
        <v>1297</v>
      </c>
      <c r="BM2" s="6" t="s">
        <v>1299</v>
      </c>
      <c r="BN2" s="6" t="s">
        <v>1300</v>
      </c>
      <c r="BO2" s="6" t="s">
        <v>1302</v>
      </c>
      <c r="BP2" s="6" t="s">
        <v>1303</v>
      </c>
      <c r="BQ2" s="4" t="s">
        <v>1311</v>
      </c>
      <c r="BR2" s="6" t="s">
        <v>928</v>
      </c>
      <c r="BS2" s="6" t="s">
        <v>1934</v>
      </c>
      <c r="BT2" s="6" t="s">
        <v>1332</v>
      </c>
      <c r="BU2" s="6" t="s">
        <v>929</v>
      </c>
      <c r="BV2" s="4" t="s">
        <v>1312</v>
      </c>
      <c r="BW2" s="6" t="s">
        <v>353</v>
      </c>
      <c r="BX2" s="6"/>
      <c r="BY2" s="6"/>
      <c r="BZ2" s="6"/>
      <c r="CA2" s="6"/>
      <c r="CB2" s="6"/>
      <c r="CC2" s="6"/>
      <c r="CD2" s="6"/>
      <c r="CE2" s="6"/>
      <c r="CF2" s="6"/>
      <c r="CG2" s="6"/>
      <c r="CH2" s="6"/>
      <c r="CI2" s="6" t="s">
        <v>759</v>
      </c>
      <c r="CJ2" s="6"/>
      <c r="CK2" s="6"/>
      <c r="CL2" s="6"/>
      <c r="CM2" s="6"/>
      <c r="CN2" s="6"/>
      <c r="CO2" s="6"/>
      <c r="CP2" s="6"/>
      <c r="CQ2" s="6"/>
      <c r="CR2" s="6"/>
      <c r="CS2" s="6" t="s">
        <v>928</v>
      </c>
      <c r="CT2" s="6" t="s">
        <v>929</v>
      </c>
      <c r="CU2" s="6" t="s">
        <v>754</v>
      </c>
    </row>
    <row r="3" spans="1:99" ht="125.5" customHeight="1" x14ac:dyDescent="0.2">
      <c r="A3" s="3">
        <v>1</v>
      </c>
      <c r="B3" s="7">
        <v>1</v>
      </c>
      <c r="C3" s="7">
        <v>0</v>
      </c>
      <c r="D3" s="7" t="s">
        <v>1</v>
      </c>
      <c r="E3" s="7" t="str">
        <f>C3&amp;D3</f>
        <v>0O</v>
      </c>
      <c r="F3" s="7" t="s">
        <v>1</v>
      </c>
      <c r="G3" s="7"/>
      <c r="H3" s="7"/>
      <c r="I3" s="7" t="s">
        <v>2</v>
      </c>
      <c r="J3" s="7" t="s">
        <v>3</v>
      </c>
      <c r="K3" s="7">
        <v>7</v>
      </c>
      <c r="L3" s="7" t="str">
        <f>K3&amp;F3</f>
        <v>7O</v>
      </c>
      <c r="M3" s="7">
        <v>21</v>
      </c>
      <c r="N3" s="7">
        <v>7</v>
      </c>
      <c r="O3" s="7">
        <v>993</v>
      </c>
      <c r="P3" s="7">
        <v>999</v>
      </c>
      <c r="Q3" s="7" t="s">
        <v>1935</v>
      </c>
      <c r="R3" s="7">
        <v>2016</v>
      </c>
      <c r="S3" s="11"/>
      <c r="T3" s="7" t="s">
        <v>1334</v>
      </c>
      <c r="U3" s="7" t="s">
        <v>1328</v>
      </c>
      <c r="V3" s="7" t="s">
        <v>359</v>
      </c>
      <c r="W3" s="7" t="s">
        <v>1325</v>
      </c>
      <c r="X3" s="7" t="s">
        <v>774</v>
      </c>
      <c r="Y3" s="7" t="s">
        <v>1973</v>
      </c>
      <c r="Z3" s="7" t="str">
        <f>AA3&amp;" "&amp;AA4&amp;" "&amp;AA5&amp;" "&amp;AA9&amp;" "&amp;AA11&amp;" "&amp;AA15&amp;" "&amp;AA16&amp;" "&amp;AA17</f>
        <v>rs75775 rs2269499 rs4564970 rs53576 rs2254299 rs237997 rs1042779 rs7632297</v>
      </c>
      <c r="AA3" s="7" t="s">
        <v>360</v>
      </c>
      <c r="AB3" s="10" t="s">
        <v>935</v>
      </c>
      <c r="AC3" s="7" t="s">
        <v>368</v>
      </c>
      <c r="AD3" s="7" t="s">
        <v>1974</v>
      </c>
      <c r="AE3" s="5" t="s">
        <v>878</v>
      </c>
      <c r="AF3" s="11"/>
      <c r="AG3" s="7" t="s">
        <v>384</v>
      </c>
      <c r="AH3" s="7"/>
      <c r="AI3" s="5" t="s">
        <v>936</v>
      </c>
      <c r="AJ3" s="5" t="s">
        <v>936</v>
      </c>
      <c r="AK3" s="5"/>
      <c r="AL3" s="5" t="s">
        <v>1936</v>
      </c>
      <c r="AM3" s="7" t="s">
        <v>775</v>
      </c>
      <c r="AN3" s="5" t="s">
        <v>1975</v>
      </c>
      <c r="AO3" s="7"/>
      <c r="AP3" s="7"/>
      <c r="AQ3" s="7"/>
      <c r="AR3" s="7"/>
      <c r="AS3" s="7"/>
      <c r="AT3" s="7"/>
      <c r="AU3" s="7"/>
      <c r="AV3" s="7" t="s">
        <v>1976</v>
      </c>
      <c r="AW3" s="7" t="s">
        <v>1305</v>
      </c>
      <c r="AX3" s="7" t="s">
        <v>1307</v>
      </c>
      <c r="AY3" s="7" t="s">
        <v>1308</v>
      </c>
      <c r="AZ3" s="7">
        <v>99</v>
      </c>
      <c r="BA3" s="7">
        <v>396</v>
      </c>
      <c r="BB3" s="7">
        <v>525</v>
      </c>
      <c r="BC3" s="7">
        <v>2.44</v>
      </c>
      <c r="BD3" s="7">
        <v>1.0900000000000001</v>
      </c>
      <c r="BE3" s="7">
        <v>1.36</v>
      </c>
      <c r="BF3" s="7">
        <v>3.99</v>
      </c>
      <c r="BG3" s="7">
        <v>1.91</v>
      </c>
      <c r="BH3" s="7">
        <v>2.39</v>
      </c>
      <c r="BI3" s="7" t="s">
        <v>1305</v>
      </c>
      <c r="BJ3" s="7" t="s">
        <v>1306</v>
      </c>
      <c r="BK3" s="7">
        <v>99</v>
      </c>
      <c r="BL3" s="7">
        <f>SUM(BA3:BB3)</f>
        <v>921</v>
      </c>
      <c r="BM3" s="7">
        <f>BC3</f>
        <v>2.44</v>
      </c>
      <c r="BN3" s="7">
        <f>(BA3*BD3+BB3*BE3)/BL3</f>
        <v>1.2439087947882737</v>
      </c>
      <c r="BO3" s="7">
        <v>3.99</v>
      </c>
      <c r="BP3" s="7">
        <f>SQRT(((BA3-1)*BG3^2+(BB3-1)*BH3^2+(BA3*BB3/BL3)*(BD3^2+BE3^2-2*BD3*BE3))/(BL3-1))</f>
        <v>2.1994554237896673</v>
      </c>
      <c r="BQ3" s="7">
        <f>SQRT(((BK3-1)*BO3^2+(BL3-1)*BP3^2+(BK3*BL3/(BK3+BL3))*(BM3^2+BN3^2-2*BM3*BN3))/(BK3+BL3-1))</f>
        <v>2.4544229568333211</v>
      </c>
      <c r="BR3" s="32">
        <f>(BM3-BN3)/BQ3</f>
        <v>0.48732073739846149</v>
      </c>
      <c r="BS3" s="32">
        <v>0.31</v>
      </c>
      <c r="BT3" s="32">
        <v>0.15</v>
      </c>
      <c r="BU3" s="7"/>
      <c r="BV3" s="32" t="s">
        <v>1313</v>
      </c>
      <c r="BW3" s="7"/>
      <c r="BX3" s="7"/>
      <c r="BY3" s="7"/>
      <c r="BZ3" s="7"/>
      <c r="CA3" s="7"/>
      <c r="CB3" s="7"/>
      <c r="CC3" s="7"/>
      <c r="CD3" s="7"/>
      <c r="CE3" s="7"/>
      <c r="CF3" s="7"/>
      <c r="CG3" s="7"/>
      <c r="CH3" s="7"/>
      <c r="CI3" s="7"/>
      <c r="CJ3" s="7"/>
      <c r="CK3" s="7"/>
      <c r="CL3" s="7"/>
      <c r="CM3" s="7"/>
      <c r="CN3" s="7"/>
      <c r="CO3" s="7"/>
      <c r="CP3" s="7"/>
      <c r="CQ3" s="7"/>
      <c r="CR3" s="7"/>
      <c r="CS3" s="7"/>
      <c r="CT3" s="7"/>
      <c r="CU3" s="7"/>
    </row>
    <row r="4" spans="1:99" ht="72.75" customHeight="1" x14ac:dyDescent="0.2">
      <c r="A4" s="3">
        <v>1</v>
      </c>
      <c r="B4" s="7"/>
      <c r="C4" s="7"/>
      <c r="D4" s="7"/>
      <c r="E4" s="7"/>
      <c r="F4" s="7"/>
      <c r="G4" s="7"/>
      <c r="H4" s="7"/>
      <c r="I4" s="7"/>
      <c r="J4" s="7"/>
      <c r="K4" s="7"/>
      <c r="L4" s="7"/>
      <c r="M4" s="7"/>
      <c r="N4" s="7"/>
      <c r="O4" s="7"/>
      <c r="P4" s="7"/>
      <c r="Q4" s="7"/>
      <c r="R4" s="7"/>
      <c r="S4" s="11"/>
      <c r="T4" s="7"/>
      <c r="U4" s="7"/>
      <c r="V4" s="7"/>
      <c r="W4" s="7"/>
      <c r="X4" s="7"/>
      <c r="Y4" s="7"/>
      <c r="Z4" s="7"/>
      <c r="AA4" s="7" t="s">
        <v>1977</v>
      </c>
      <c r="AB4" s="10" t="s">
        <v>1978</v>
      </c>
      <c r="AC4" s="7" t="s">
        <v>369</v>
      </c>
      <c r="AD4" s="7" t="s">
        <v>1979</v>
      </c>
      <c r="AE4" s="5" t="s">
        <v>983</v>
      </c>
      <c r="AF4" s="11"/>
      <c r="AG4" s="7" t="s">
        <v>385</v>
      </c>
      <c r="AH4" s="7"/>
      <c r="AI4" s="7" t="s">
        <v>936</v>
      </c>
      <c r="AJ4" s="7" t="s">
        <v>936</v>
      </c>
      <c r="AK4" s="7"/>
      <c r="AL4" s="5"/>
      <c r="AM4" s="7"/>
      <c r="AN4" s="5"/>
      <c r="AO4" s="7"/>
      <c r="AP4" s="7"/>
      <c r="AQ4" s="7"/>
      <c r="AR4" s="7"/>
      <c r="AS4" s="7"/>
      <c r="AT4" s="7"/>
      <c r="AU4" s="7"/>
      <c r="AV4" s="7" t="s">
        <v>759</v>
      </c>
      <c r="AW4" s="7" t="s">
        <v>1305</v>
      </c>
      <c r="AX4" s="7" t="s">
        <v>1307</v>
      </c>
      <c r="AY4" s="7" t="s">
        <v>1308</v>
      </c>
      <c r="AZ4" s="7">
        <v>31</v>
      </c>
      <c r="BA4" s="7">
        <v>200</v>
      </c>
      <c r="BB4" s="7">
        <v>279</v>
      </c>
      <c r="BC4" s="7">
        <v>7.06</v>
      </c>
      <c r="BD4" s="7">
        <v>3.49</v>
      </c>
      <c r="BE4" s="7">
        <v>3.97</v>
      </c>
      <c r="BF4" s="7">
        <v>9.99</v>
      </c>
      <c r="BG4" s="7">
        <v>6</v>
      </c>
      <c r="BH4" s="7">
        <v>6.71</v>
      </c>
      <c r="BI4" s="7" t="s">
        <v>1305</v>
      </c>
      <c r="BJ4" s="7" t="s">
        <v>1306</v>
      </c>
      <c r="BK4" s="7">
        <f>AZ4</f>
        <v>31</v>
      </c>
      <c r="BL4" s="7">
        <f>SUM(BA4:BB4)</f>
        <v>479</v>
      </c>
      <c r="BM4" s="7">
        <f>BC4</f>
        <v>7.06</v>
      </c>
      <c r="BN4" s="7">
        <f>(BA4*BD4+BB4*BE4)/BL4</f>
        <v>3.7695824634655533</v>
      </c>
      <c r="BO4" s="7">
        <f>BF4</f>
        <v>9.99</v>
      </c>
      <c r="BP4" s="7">
        <f>SQRT(((BA4-1)*BG4^2+(BB4-1)*BH4^2+(BA4*BB4/BL4)*(BD4^2+BE4^2-2*BD4*BE4))/(BL4-1))</f>
        <v>6.4209938940015192</v>
      </c>
      <c r="BQ4" s="7">
        <f>SQRT(((BK4-1)*BO4^2+(BL4-1)*BP4^2+(BK4*BL4/(BK4+BL4))*(BM4^2+BN4^2-2*BM4*BN4))/(BK4+BL4-1))</f>
        <v>6.7245516518594277</v>
      </c>
      <c r="BR4" s="32">
        <f>(BM4-BN4)/BQ4</f>
        <v>0.48931404008542373</v>
      </c>
      <c r="BS4" s="32"/>
      <c r="BT4" s="32"/>
      <c r="BU4" s="7">
        <v>0.39</v>
      </c>
      <c r="BV4" s="7"/>
      <c r="BW4" s="7"/>
      <c r="BX4" s="7"/>
      <c r="BY4" s="7"/>
      <c r="BZ4" s="7"/>
      <c r="CA4" s="7"/>
      <c r="CB4" s="7"/>
      <c r="CC4" s="7"/>
      <c r="CD4" s="7"/>
      <c r="CE4" s="7"/>
      <c r="CF4" s="7"/>
      <c r="CG4" s="7"/>
      <c r="CH4" s="7"/>
      <c r="CI4" s="7"/>
      <c r="CJ4" s="7"/>
      <c r="CK4" s="7"/>
      <c r="CL4" s="7"/>
      <c r="CM4" s="7"/>
      <c r="CN4" s="7"/>
      <c r="CO4" s="7"/>
      <c r="CP4" s="7"/>
      <c r="CQ4" s="7"/>
      <c r="CR4" s="7"/>
      <c r="CS4" s="7"/>
      <c r="CT4" s="7"/>
      <c r="CU4" s="7"/>
    </row>
    <row r="5" spans="1:99" ht="81.75" customHeight="1" x14ac:dyDescent="0.2">
      <c r="A5" s="3">
        <v>1</v>
      </c>
      <c r="B5" s="7"/>
      <c r="C5" s="7"/>
      <c r="D5" s="7"/>
      <c r="E5" s="7"/>
      <c r="F5" s="7"/>
      <c r="G5" s="7"/>
      <c r="H5" s="7"/>
      <c r="I5" s="7"/>
      <c r="J5" s="7"/>
      <c r="K5" s="7"/>
      <c r="L5" s="7"/>
      <c r="M5" s="7"/>
      <c r="N5" s="7"/>
      <c r="O5" s="7"/>
      <c r="P5" s="7"/>
      <c r="Q5" s="7"/>
      <c r="R5" s="7"/>
      <c r="S5" s="11"/>
      <c r="T5" s="7"/>
      <c r="U5" s="7"/>
      <c r="V5" s="7"/>
      <c r="W5" s="7"/>
      <c r="X5" s="7"/>
      <c r="Y5" s="7"/>
      <c r="Z5" s="7"/>
      <c r="AA5" s="7" t="s">
        <v>362</v>
      </c>
      <c r="AB5" s="10" t="s">
        <v>939</v>
      </c>
      <c r="AC5" s="7" t="s">
        <v>370</v>
      </c>
      <c r="AD5" s="7" t="s">
        <v>1980</v>
      </c>
      <c r="AE5" s="5" t="s">
        <v>984</v>
      </c>
      <c r="AF5" s="11"/>
      <c r="AG5" s="7" t="s">
        <v>386</v>
      </c>
      <c r="AH5" s="7"/>
      <c r="AI5" s="7" t="s">
        <v>936</v>
      </c>
      <c r="AJ5" s="7" t="s">
        <v>936</v>
      </c>
      <c r="AK5" s="7"/>
      <c r="AL5" s="5"/>
      <c r="AM5" s="7"/>
      <c r="AN5" s="5"/>
      <c r="AO5" s="7" t="s">
        <v>1182</v>
      </c>
      <c r="AP5" s="7">
        <v>124</v>
      </c>
      <c r="AQ5" s="7">
        <v>970</v>
      </c>
      <c r="AR5" s="7"/>
      <c r="AS5" s="7" t="s">
        <v>752</v>
      </c>
      <c r="AT5" s="7" t="s">
        <v>379</v>
      </c>
      <c r="AU5" s="7" t="s">
        <v>1291</v>
      </c>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t="s">
        <v>1981</v>
      </c>
      <c r="BX5" s="7" t="s">
        <v>1982</v>
      </c>
      <c r="BY5" s="7"/>
      <c r="BZ5" s="7" t="s">
        <v>1983</v>
      </c>
      <c r="CA5" s="7" t="s">
        <v>495</v>
      </c>
      <c r="CB5" s="7"/>
      <c r="CC5" s="7" t="s">
        <v>1984</v>
      </c>
      <c r="CD5" s="7" t="s">
        <v>496</v>
      </c>
      <c r="CE5" s="7"/>
      <c r="CF5" s="7"/>
      <c r="CG5" s="7"/>
      <c r="CH5" s="7"/>
      <c r="CI5" s="7" t="s">
        <v>760</v>
      </c>
      <c r="CJ5" s="7" t="s">
        <v>761</v>
      </c>
      <c r="CK5" s="7"/>
      <c r="CL5" s="7" t="s">
        <v>767</v>
      </c>
      <c r="CM5" s="7" t="s">
        <v>1985</v>
      </c>
      <c r="CN5" s="7" t="s">
        <v>1986</v>
      </c>
      <c r="CO5" s="7"/>
      <c r="CP5" s="7"/>
      <c r="CQ5" s="7"/>
      <c r="CR5" s="7"/>
      <c r="CS5" s="7"/>
      <c r="CT5" s="7"/>
      <c r="CU5" s="7"/>
    </row>
    <row r="6" spans="1:99" ht="81.75" customHeight="1" x14ac:dyDescent="0.2">
      <c r="A6" s="3">
        <v>1</v>
      </c>
      <c r="B6" s="7"/>
      <c r="C6" s="7"/>
      <c r="D6" s="7"/>
      <c r="E6" s="7"/>
      <c r="F6" s="7"/>
      <c r="G6" s="7"/>
      <c r="H6" s="7"/>
      <c r="I6" s="7"/>
      <c r="J6" s="7"/>
      <c r="K6" s="7"/>
      <c r="L6" s="7"/>
      <c r="M6" s="7"/>
      <c r="N6" s="7"/>
      <c r="O6" s="7"/>
      <c r="P6" s="7"/>
      <c r="Q6" s="7"/>
      <c r="R6" s="7"/>
      <c r="S6" s="11"/>
      <c r="T6" s="7"/>
      <c r="U6" s="7"/>
      <c r="V6" s="7"/>
      <c r="W6" s="7"/>
      <c r="X6" s="7"/>
      <c r="Y6" s="7"/>
      <c r="Z6" s="7"/>
      <c r="AA6" s="7"/>
      <c r="AB6" s="10"/>
      <c r="AC6" s="7"/>
      <c r="AD6" s="7"/>
      <c r="AE6" s="5"/>
      <c r="AF6" s="11"/>
      <c r="AG6" s="7"/>
      <c r="AH6" s="7"/>
      <c r="AI6" s="7"/>
      <c r="AJ6" s="7"/>
      <c r="AK6" s="7"/>
      <c r="AL6" s="5"/>
      <c r="AM6" s="7"/>
      <c r="AN6" s="5"/>
      <c r="AO6" s="7" t="s">
        <v>1183</v>
      </c>
      <c r="AP6" s="7">
        <v>147</v>
      </c>
      <c r="AQ6" s="7">
        <v>1171</v>
      </c>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row>
    <row r="7" spans="1:99" ht="68.25" customHeight="1" x14ac:dyDescent="0.2">
      <c r="A7" s="3">
        <v>1</v>
      </c>
      <c r="B7" s="7"/>
      <c r="C7" s="7"/>
      <c r="D7" s="7"/>
      <c r="E7" s="7"/>
      <c r="F7" s="7"/>
      <c r="G7" s="7"/>
      <c r="H7" s="7"/>
      <c r="I7" s="7"/>
      <c r="J7" s="7"/>
      <c r="K7" s="7"/>
      <c r="L7" s="7"/>
      <c r="M7" s="7"/>
      <c r="N7" s="7"/>
      <c r="O7" s="7"/>
      <c r="P7" s="7"/>
      <c r="Q7" s="7"/>
      <c r="R7" s="7"/>
      <c r="S7" s="11"/>
      <c r="T7" s="7"/>
      <c r="U7" s="7"/>
      <c r="V7" s="7"/>
      <c r="W7" s="7"/>
      <c r="X7" s="7"/>
      <c r="Y7" s="7"/>
      <c r="Z7" s="7"/>
      <c r="AA7" s="7"/>
      <c r="AB7" s="7"/>
      <c r="AC7" s="7"/>
      <c r="AD7" s="7"/>
      <c r="AE7" s="5"/>
      <c r="AF7" s="11"/>
      <c r="AG7" s="7"/>
      <c r="AH7" s="7"/>
      <c r="AI7" s="7"/>
      <c r="AJ7" s="7"/>
      <c r="AK7" s="7"/>
      <c r="AL7" s="5"/>
      <c r="AM7" s="7"/>
      <c r="AN7" s="5"/>
      <c r="AO7" s="7" t="s">
        <v>1184</v>
      </c>
      <c r="AP7" s="7">
        <v>121</v>
      </c>
      <c r="AQ7" s="7">
        <v>971</v>
      </c>
      <c r="AR7" s="7"/>
      <c r="AS7" s="5" t="s">
        <v>502</v>
      </c>
      <c r="AT7" s="5" t="s">
        <v>503</v>
      </c>
      <c r="AU7" s="5" t="s">
        <v>1199</v>
      </c>
      <c r="AV7" s="5"/>
      <c r="AW7" s="5"/>
      <c r="AX7" s="5"/>
      <c r="AY7" s="5"/>
      <c r="AZ7" s="7">
        <f>TINV(BA7,BB7)</f>
        <v>3.8329572212657426</v>
      </c>
      <c r="BA7" s="5">
        <v>1.2999999999999999E-4</v>
      </c>
      <c r="BB7" s="5">
        <v>2306</v>
      </c>
      <c r="BC7" s="5"/>
      <c r="BD7" s="5"/>
      <c r="BE7" s="5"/>
      <c r="BF7" s="5"/>
      <c r="BG7" s="5"/>
      <c r="BH7" s="5"/>
      <c r="BI7" s="5"/>
      <c r="BJ7" s="5"/>
      <c r="BK7" s="5"/>
      <c r="BL7" s="5"/>
      <c r="BM7" s="5"/>
      <c r="BN7" s="5"/>
      <c r="BO7" s="5"/>
      <c r="BP7" s="5"/>
      <c r="BQ7" s="5"/>
      <c r="BR7" s="5"/>
      <c r="BS7" s="5"/>
      <c r="BT7" s="5"/>
      <c r="BU7" s="7">
        <f>(AZ7*2)/(SQRT(BB7))</f>
        <v>0.15963727890238172</v>
      </c>
      <c r="BV7" s="7" t="s">
        <v>930</v>
      </c>
      <c r="BW7" s="5" t="s">
        <v>1987</v>
      </c>
      <c r="BX7" s="7" t="s">
        <v>1988</v>
      </c>
      <c r="BY7" s="7"/>
      <c r="BZ7" s="7" t="s">
        <v>1989</v>
      </c>
      <c r="CA7" s="7" t="s">
        <v>1990</v>
      </c>
      <c r="CB7" s="7"/>
      <c r="CC7" s="7" t="s">
        <v>1991</v>
      </c>
      <c r="CD7" s="7" t="s">
        <v>1200</v>
      </c>
      <c r="CE7" s="7"/>
      <c r="CF7" s="5"/>
      <c r="CG7" s="7"/>
      <c r="CH7" s="7"/>
      <c r="CI7" s="7"/>
      <c r="CJ7" s="7"/>
      <c r="CK7" s="7"/>
      <c r="CL7" s="7"/>
      <c r="CM7" s="7"/>
      <c r="CN7" s="7"/>
      <c r="CO7" s="7"/>
      <c r="CP7" s="7"/>
      <c r="CQ7" s="7"/>
      <c r="CR7" s="7"/>
      <c r="CS7" s="7"/>
      <c r="CT7" s="7"/>
      <c r="CU7" s="7"/>
    </row>
    <row r="8" spans="1:99" ht="68.25" customHeight="1" x14ac:dyDescent="0.2">
      <c r="A8" s="3">
        <v>1</v>
      </c>
      <c r="B8" s="7"/>
      <c r="C8" s="7"/>
      <c r="D8" s="7"/>
      <c r="E8" s="7"/>
      <c r="F8" s="7"/>
      <c r="G8" s="7"/>
      <c r="H8" s="7"/>
      <c r="I8" s="7"/>
      <c r="J8" s="7"/>
      <c r="K8" s="7"/>
      <c r="L8" s="7"/>
      <c r="M8" s="7"/>
      <c r="N8" s="7"/>
      <c r="O8" s="7"/>
      <c r="P8" s="7"/>
      <c r="Q8" s="7"/>
      <c r="R8" s="7"/>
      <c r="S8" s="11"/>
      <c r="T8" s="7"/>
      <c r="U8" s="7"/>
      <c r="V8" s="7"/>
      <c r="W8" s="7"/>
      <c r="X8" s="7"/>
      <c r="Y8" s="7"/>
      <c r="Z8" s="7"/>
      <c r="AA8" s="7"/>
      <c r="AB8" s="7"/>
      <c r="AC8" s="7"/>
      <c r="AD8" s="7"/>
      <c r="AE8" s="5"/>
      <c r="AF8" s="11"/>
      <c r="AG8" s="7"/>
      <c r="AH8" s="7"/>
      <c r="AI8" s="7"/>
      <c r="AJ8" s="7"/>
      <c r="AK8" s="7"/>
      <c r="AL8" s="5"/>
      <c r="AM8" s="7"/>
      <c r="AN8" s="5"/>
      <c r="AO8" s="7" t="s">
        <v>1183</v>
      </c>
      <c r="AP8" s="7">
        <v>149</v>
      </c>
      <c r="AQ8" s="7">
        <v>1166</v>
      </c>
      <c r="AR8" s="7"/>
      <c r="AS8" s="5"/>
      <c r="AT8" s="5"/>
      <c r="AU8" s="5"/>
      <c r="AV8" s="5"/>
      <c r="AW8" s="5"/>
      <c r="AX8" s="5"/>
      <c r="AY8" s="5"/>
      <c r="AZ8" s="7"/>
      <c r="BA8" s="5"/>
      <c r="BB8" s="5"/>
      <c r="BC8" s="5"/>
      <c r="BD8" s="5"/>
      <c r="BE8" s="5"/>
      <c r="BF8" s="5"/>
      <c r="BG8" s="5"/>
      <c r="BH8" s="5"/>
      <c r="BI8" s="5"/>
      <c r="BJ8" s="5"/>
      <c r="BK8" s="5"/>
      <c r="BL8" s="5"/>
      <c r="BM8" s="5"/>
      <c r="BN8" s="5"/>
      <c r="BO8" s="5"/>
      <c r="BP8" s="5"/>
      <c r="BQ8" s="5"/>
      <c r="BR8" s="5"/>
      <c r="BS8" s="5"/>
      <c r="BT8" s="5"/>
      <c r="BU8" s="7"/>
      <c r="BV8" s="7"/>
      <c r="BW8" s="5"/>
      <c r="BX8" s="7"/>
      <c r="BY8" s="7"/>
      <c r="BZ8" s="7"/>
      <c r="CA8" s="7"/>
      <c r="CB8" s="7"/>
      <c r="CC8" s="7"/>
      <c r="CD8" s="7"/>
      <c r="CE8" s="7"/>
      <c r="CF8" s="5"/>
      <c r="CG8" s="7"/>
      <c r="CH8" s="7"/>
      <c r="CI8" s="7"/>
      <c r="CJ8" s="7"/>
      <c r="CK8" s="7"/>
      <c r="CL8" s="7"/>
      <c r="CM8" s="7"/>
      <c r="CN8" s="7"/>
      <c r="CO8" s="7"/>
      <c r="CP8" s="7"/>
      <c r="CQ8" s="7"/>
      <c r="CR8" s="7"/>
      <c r="CS8" s="7"/>
      <c r="CT8" s="7"/>
      <c r="CU8" s="7"/>
    </row>
    <row r="9" spans="1:99" ht="96.75" customHeight="1" x14ac:dyDescent="0.2">
      <c r="A9" s="3">
        <v>1</v>
      </c>
      <c r="B9" s="7"/>
      <c r="C9" s="7"/>
      <c r="D9" s="7"/>
      <c r="E9" s="7"/>
      <c r="F9" s="7"/>
      <c r="G9" s="7"/>
      <c r="H9" s="7"/>
      <c r="I9" s="7"/>
      <c r="J9" s="7"/>
      <c r="K9" s="7"/>
      <c r="L9" s="7"/>
      <c r="M9" s="7"/>
      <c r="N9" s="7"/>
      <c r="O9" s="7"/>
      <c r="P9" s="7"/>
      <c r="Q9" s="7"/>
      <c r="R9" s="7"/>
      <c r="S9" s="11"/>
      <c r="T9" s="7"/>
      <c r="U9" s="7"/>
      <c r="V9" s="7"/>
      <c r="W9" s="7"/>
      <c r="X9" s="7"/>
      <c r="Y9" s="7"/>
      <c r="Z9" s="7"/>
      <c r="AA9" s="7" t="s">
        <v>363</v>
      </c>
      <c r="AB9" s="10" t="s">
        <v>944</v>
      </c>
      <c r="AC9" s="7" t="s">
        <v>371</v>
      </c>
      <c r="AD9" s="7" t="s">
        <v>1992</v>
      </c>
      <c r="AE9" s="5" t="s">
        <v>1993</v>
      </c>
      <c r="AF9" s="11"/>
      <c r="AG9" s="7" t="s">
        <v>1994</v>
      </c>
      <c r="AH9" s="7"/>
      <c r="AI9" s="7" t="s">
        <v>936</v>
      </c>
      <c r="AJ9" s="7" t="s">
        <v>936</v>
      </c>
      <c r="AK9" s="7"/>
      <c r="AL9" s="5"/>
      <c r="AM9" s="7"/>
      <c r="AN9" s="5"/>
      <c r="AO9" s="7" t="s">
        <v>1185</v>
      </c>
      <c r="AP9" s="7">
        <v>125</v>
      </c>
      <c r="AQ9" s="7">
        <v>432</v>
      </c>
      <c r="AR9" s="7">
        <v>439</v>
      </c>
      <c r="AS9" s="7" t="s">
        <v>1995</v>
      </c>
      <c r="AT9" s="7" t="s">
        <v>380</v>
      </c>
      <c r="AU9" s="7" t="s">
        <v>1996</v>
      </c>
      <c r="AV9" s="5"/>
      <c r="AW9" s="5"/>
      <c r="AX9" s="5"/>
      <c r="AY9" s="5"/>
      <c r="AZ9" s="7">
        <f>TINV(BA9,BB9)</f>
        <v>3.4293184777131152</v>
      </c>
      <c r="BA9" s="5">
        <v>6.3000000000000003E-4</v>
      </c>
      <c r="BB9" s="5">
        <v>992</v>
      </c>
      <c r="BC9" s="5"/>
      <c r="BD9" s="5"/>
      <c r="BE9" s="5"/>
      <c r="BF9" s="5"/>
      <c r="BG9" s="5"/>
      <c r="BH9" s="5"/>
      <c r="BI9" s="5"/>
      <c r="BJ9" s="5"/>
      <c r="BK9" s="5"/>
      <c r="BL9" s="5"/>
      <c r="BM9" s="5"/>
      <c r="BN9" s="5"/>
      <c r="BO9" s="5"/>
      <c r="BP9" s="5"/>
      <c r="BQ9" s="5"/>
      <c r="BR9" s="5"/>
      <c r="BS9" s="5"/>
      <c r="BT9" s="5"/>
      <c r="BU9" s="7">
        <f>(AZ9*2)/(SQRT(BB9))</f>
        <v>0.21776194109683278</v>
      </c>
      <c r="BV9" s="7" t="s">
        <v>1997</v>
      </c>
      <c r="BW9" s="7" t="s">
        <v>1998</v>
      </c>
      <c r="BX9" s="7" t="s">
        <v>1999</v>
      </c>
      <c r="BY9" s="7" t="s">
        <v>2000</v>
      </c>
      <c r="BZ9" s="7" t="s">
        <v>2001</v>
      </c>
      <c r="CA9" s="7" t="s">
        <v>497</v>
      </c>
      <c r="CB9" s="7" t="s">
        <v>498</v>
      </c>
      <c r="CC9" s="7" t="s">
        <v>2002</v>
      </c>
      <c r="CD9" s="7" t="s">
        <v>499</v>
      </c>
      <c r="CE9" s="5"/>
      <c r="CF9" s="7"/>
      <c r="CG9" s="7"/>
      <c r="CH9" s="7"/>
      <c r="CI9" s="7" t="s">
        <v>762</v>
      </c>
      <c r="CJ9" s="7" t="s">
        <v>763</v>
      </c>
      <c r="CK9" s="7" t="s">
        <v>764</v>
      </c>
      <c r="CL9" s="7" t="s">
        <v>767</v>
      </c>
      <c r="CM9" s="7" t="s">
        <v>770</v>
      </c>
      <c r="CN9" s="7" t="s">
        <v>771</v>
      </c>
      <c r="CO9" s="7" t="s">
        <v>2003</v>
      </c>
      <c r="CP9" s="7"/>
      <c r="CQ9" s="7"/>
      <c r="CR9" s="7"/>
      <c r="CS9" s="7"/>
      <c r="CT9" s="7"/>
      <c r="CU9" s="7"/>
    </row>
    <row r="10" spans="1:99" ht="96.75" customHeight="1" x14ac:dyDescent="0.2">
      <c r="A10" s="3">
        <v>1</v>
      </c>
      <c r="B10" s="7"/>
      <c r="C10" s="7"/>
      <c r="D10" s="7"/>
      <c r="E10" s="7"/>
      <c r="F10" s="7"/>
      <c r="G10" s="7"/>
      <c r="H10" s="7"/>
      <c r="I10" s="7"/>
      <c r="J10" s="7"/>
      <c r="K10" s="7"/>
      <c r="L10" s="7"/>
      <c r="M10" s="7"/>
      <c r="N10" s="7"/>
      <c r="O10" s="7"/>
      <c r="P10" s="7"/>
      <c r="Q10" s="7"/>
      <c r="R10" s="7"/>
      <c r="S10" s="11"/>
      <c r="T10" s="7"/>
      <c r="U10" s="7"/>
      <c r="V10" s="7"/>
      <c r="W10" s="7"/>
      <c r="X10" s="7"/>
      <c r="Y10" s="7"/>
      <c r="Z10" s="7"/>
      <c r="AA10" s="7"/>
      <c r="AB10" s="10"/>
      <c r="AC10" s="7"/>
      <c r="AD10" s="7"/>
      <c r="AE10" s="5"/>
      <c r="AF10" s="11"/>
      <c r="AG10" s="7"/>
      <c r="AH10" s="7"/>
      <c r="AI10" s="7"/>
      <c r="AJ10" s="7"/>
      <c r="AK10" s="7"/>
      <c r="AL10" s="5"/>
      <c r="AM10" s="7"/>
      <c r="AN10" s="5"/>
      <c r="AO10" s="7" t="s">
        <v>1183</v>
      </c>
      <c r="AP10" s="7">
        <v>160</v>
      </c>
      <c r="AQ10" s="7">
        <v>599</v>
      </c>
      <c r="AR10" s="7">
        <v>560</v>
      </c>
      <c r="AS10" s="7"/>
      <c r="AT10" s="7"/>
      <c r="AU10" s="7"/>
      <c r="AV10" s="5"/>
      <c r="AW10" s="5"/>
      <c r="AX10" s="5"/>
      <c r="AY10" s="5"/>
      <c r="AZ10" s="7"/>
      <c r="BA10" s="5"/>
      <c r="BB10" s="5"/>
      <c r="BC10" s="5"/>
      <c r="BD10" s="5"/>
      <c r="BE10" s="5"/>
      <c r="BF10" s="5"/>
      <c r="BG10" s="5"/>
      <c r="BH10" s="5"/>
      <c r="BI10" s="5"/>
      <c r="BJ10" s="5"/>
      <c r="BK10" s="5"/>
      <c r="BL10" s="5"/>
      <c r="BM10" s="5"/>
      <c r="BN10" s="5"/>
      <c r="BO10" s="5"/>
      <c r="BP10" s="5"/>
      <c r="BQ10" s="5"/>
      <c r="BR10" s="5"/>
      <c r="BS10" s="5"/>
      <c r="BT10" s="5"/>
      <c r="BU10" s="7"/>
      <c r="BV10" s="7"/>
      <c r="BW10" s="7"/>
      <c r="BX10" s="7"/>
      <c r="BY10" s="7"/>
      <c r="BZ10" s="7"/>
      <c r="CA10" s="7"/>
      <c r="CB10" s="7"/>
      <c r="CC10" s="7"/>
      <c r="CD10" s="7"/>
      <c r="CE10" s="5"/>
      <c r="CF10" s="7"/>
      <c r="CG10" s="7"/>
      <c r="CH10" s="7"/>
      <c r="CI10" s="7"/>
      <c r="CJ10" s="7"/>
      <c r="CK10" s="7"/>
      <c r="CL10" s="7"/>
      <c r="CM10" s="7"/>
      <c r="CN10" s="7"/>
      <c r="CO10" s="7"/>
      <c r="CP10" s="7"/>
      <c r="CQ10" s="7"/>
      <c r="CR10" s="7"/>
      <c r="CS10" s="7"/>
      <c r="CT10" s="7"/>
      <c r="CU10" s="7"/>
    </row>
    <row r="11" spans="1:99" ht="69.75" customHeight="1" x14ac:dyDescent="0.2">
      <c r="A11" s="3">
        <v>1</v>
      </c>
      <c r="B11" s="7"/>
      <c r="C11" s="7"/>
      <c r="D11" s="7"/>
      <c r="E11" s="7"/>
      <c r="F11" s="7"/>
      <c r="G11" s="7"/>
      <c r="H11" s="7"/>
      <c r="I11" s="7"/>
      <c r="J11" s="7"/>
      <c r="K11" s="7"/>
      <c r="L11" s="7"/>
      <c r="M11" s="7"/>
      <c r="N11" s="7"/>
      <c r="O11" s="7"/>
      <c r="P11" s="7"/>
      <c r="Q11" s="7"/>
      <c r="R11" s="7"/>
      <c r="S11" s="11"/>
      <c r="T11" s="7"/>
      <c r="U11" s="7"/>
      <c r="V11" s="7"/>
      <c r="W11" s="7"/>
      <c r="X11" s="7"/>
      <c r="Y11" s="7"/>
      <c r="Z11" s="7"/>
      <c r="AA11" s="7" t="s">
        <v>2004</v>
      </c>
      <c r="AB11" s="10" t="s">
        <v>2005</v>
      </c>
      <c r="AC11" s="7" t="s">
        <v>372</v>
      </c>
      <c r="AD11" s="7" t="s">
        <v>2006</v>
      </c>
      <c r="AE11" s="5" t="s">
        <v>986</v>
      </c>
      <c r="AF11" s="11"/>
      <c r="AG11" s="7" t="s">
        <v>388</v>
      </c>
      <c r="AH11" s="7"/>
      <c r="AI11" s="7" t="s">
        <v>936</v>
      </c>
      <c r="AJ11" s="7" t="s">
        <v>936</v>
      </c>
      <c r="AK11" s="7"/>
      <c r="AL11" s="5"/>
      <c r="AM11" s="7"/>
      <c r="AN11" s="5"/>
      <c r="AO11" s="7" t="s">
        <v>1186</v>
      </c>
      <c r="AP11" s="7">
        <v>199</v>
      </c>
      <c r="AQ11" s="7">
        <v>790</v>
      </c>
      <c r="AR11" s="7"/>
      <c r="AS11" s="7" t="s">
        <v>750</v>
      </c>
      <c r="AT11" s="7" t="s">
        <v>381</v>
      </c>
      <c r="AU11" s="7" t="s">
        <v>382</v>
      </c>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t="s">
        <v>2007</v>
      </c>
      <c r="BX11" s="7" t="s">
        <v>500</v>
      </c>
      <c r="BY11" s="7"/>
      <c r="BZ11" s="7" t="s">
        <v>2008</v>
      </c>
      <c r="CA11" s="7" t="s">
        <v>501</v>
      </c>
      <c r="CB11" s="7"/>
      <c r="CC11" s="7" t="s">
        <v>2009</v>
      </c>
      <c r="CD11" s="7" t="s">
        <v>2010</v>
      </c>
      <c r="CE11" s="7"/>
      <c r="CF11" s="7"/>
      <c r="CG11" s="7"/>
      <c r="CH11" s="7"/>
      <c r="CI11" s="7"/>
      <c r="CJ11" s="7"/>
      <c r="CK11" s="7"/>
      <c r="CL11" s="7"/>
      <c r="CM11" s="7"/>
      <c r="CN11" s="7"/>
      <c r="CO11" s="7"/>
      <c r="CP11" s="7"/>
      <c r="CQ11" s="7"/>
      <c r="CR11" s="7"/>
      <c r="CS11" s="7"/>
      <c r="CT11" s="7"/>
      <c r="CU11" s="7"/>
    </row>
    <row r="12" spans="1:99" ht="69.75" customHeight="1" x14ac:dyDescent="0.2">
      <c r="A12" s="3">
        <v>1</v>
      </c>
      <c r="B12" s="7"/>
      <c r="C12" s="7"/>
      <c r="D12" s="7"/>
      <c r="E12" s="7"/>
      <c r="F12" s="7"/>
      <c r="G12" s="7"/>
      <c r="H12" s="7"/>
      <c r="I12" s="7"/>
      <c r="J12" s="7"/>
      <c r="K12" s="7"/>
      <c r="L12" s="7"/>
      <c r="M12" s="7"/>
      <c r="N12" s="7"/>
      <c r="O12" s="7"/>
      <c r="P12" s="7"/>
      <c r="Q12" s="7"/>
      <c r="R12" s="7"/>
      <c r="S12" s="11"/>
      <c r="T12" s="7"/>
      <c r="U12" s="7"/>
      <c r="V12" s="7"/>
      <c r="W12" s="7"/>
      <c r="X12" s="7"/>
      <c r="Y12" s="7"/>
      <c r="Z12" s="7"/>
      <c r="AA12" s="7"/>
      <c r="AB12" s="10"/>
      <c r="AC12" s="7"/>
      <c r="AD12" s="7"/>
      <c r="AE12" s="5"/>
      <c r="AF12" s="11"/>
      <c r="AG12" s="7"/>
      <c r="AH12" s="7"/>
      <c r="AI12" s="7"/>
      <c r="AJ12" s="7"/>
      <c r="AK12" s="7"/>
      <c r="AL12" s="5"/>
      <c r="AM12" s="7"/>
      <c r="AN12" s="5"/>
      <c r="AO12" s="7" t="s">
        <v>1183</v>
      </c>
      <c r="AP12" s="7">
        <v>219</v>
      </c>
      <c r="AQ12" s="7">
        <v>1090</v>
      </c>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row>
    <row r="13" spans="1:99" ht="55.5" customHeight="1" x14ac:dyDescent="0.2">
      <c r="A13" s="3">
        <v>1</v>
      </c>
      <c r="B13" s="7"/>
      <c r="C13" s="7"/>
      <c r="D13" s="7"/>
      <c r="E13" s="7"/>
      <c r="F13" s="7"/>
      <c r="G13" s="7"/>
      <c r="H13" s="7"/>
      <c r="I13" s="7"/>
      <c r="J13" s="7"/>
      <c r="K13" s="7"/>
      <c r="L13" s="7"/>
      <c r="M13" s="7"/>
      <c r="N13" s="7"/>
      <c r="O13" s="7"/>
      <c r="P13" s="7"/>
      <c r="Q13" s="7"/>
      <c r="R13" s="7"/>
      <c r="S13" s="11"/>
      <c r="T13" s="7"/>
      <c r="U13" s="7"/>
      <c r="V13" s="7"/>
      <c r="W13" s="7"/>
      <c r="X13" s="7"/>
      <c r="Y13" s="7"/>
      <c r="Z13" s="7"/>
      <c r="AA13" s="7"/>
      <c r="AB13" s="7"/>
      <c r="AC13" s="7"/>
      <c r="AD13" s="7"/>
      <c r="AE13" s="5"/>
      <c r="AF13" s="11"/>
      <c r="AG13" s="7"/>
      <c r="AH13" s="7"/>
      <c r="AI13" s="7"/>
      <c r="AJ13" s="7"/>
      <c r="AK13" s="7"/>
      <c r="AL13" s="5"/>
      <c r="AM13" s="7"/>
      <c r="AN13" s="5"/>
      <c r="AO13" s="7" t="s">
        <v>1184</v>
      </c>
      <c r="AP13" s="7">
        <v>199</v>
      </c>
      <c r="AQ13" s="7">
        <v>799</v>
      </c>
      <c r="AR13" s="7"/>
      <c r="AS13" s="5" t="s">
        <v>504</v>
      </c>
      <c r="AT13" s="5" t="s">
        <v>2011</v>
      </c>
      <c r="AU13" s="5" t="s">
        <v>505</v>
      </c>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7" t="s">
        <v>2012</v>
      </c>
      <c r="BX13" s="7" t="s">
        <v>755</v>
      </c>
      <c r="BY13" s="7"/>
      <c r="BZ13" s="7" t="s">
        <v>2013</v>
      </c>
      <c r="CA13" s="7" t="s">
        <v>2014</v>
      </c>
      <c r="CB13" s="7"/>
      <c r="CC13" s="7" t="s">
        <v>2015</v>
      </c>
      <c r="CD13" s="7" t="s">
        <v>756</v>
      </c>
      <c r="CE13" s="7"/>
      <c r="CF13" s="7"/>
      <c r="CG13" s="7"/>
      <c r="CH13" s="7"/>
      <c r="CI13" s="7"/>
      <c r="CJ13" s="7"/>
      <c r="CK13" s="7"/>
      <c r="CL13" s="7"/>
      <c r="CM13" s="7"/>
      <c r="CN13" s="7"/>
      <c r="CO13" s="7"/>
      <c r="CP13" s="7"/>
      <c r="CQ13" s="7"/>
      <c r="CR13" s="7"/>
      <c r="CS13" s="7"/>
      <c r="CT13" s="7"/>
      <c r="CU13" s="7"/>
    </row>
    <row r="14" spans="1:99" ht="55.5" customHeight="1" x14ac:dyDescent="0.2">
      <c r="A14" s="3">
        <v>1</v>
      </c>
      <c r="B14" s="7"/>
      <c r="C14" s="7"/>
      <c r="D14" s="7"/>
      <c r="E14" s="7"/>
      <c r="F14" s="7"/>
      <c r="G14" s="7"/>
      <c r="H14" s="7"/>
      <c r="I14" s="7"/>
      <c r="J14" s="7"/>
      <c r="K14" s="7"/>
      <c r="L14" s="7"/>
      <c r="M14" s="7"/>
      <c r="N14" s="7"/>
      <c r="O14" s="7"/>
      <c r="P14" s="7"/>
      <c r="Q14" s="7"/>
      <c r="R14" s="7"/>
      <c r="S14" s="11"/>
      <c r="T14" s="7"/>
      <c r="U14" s="7"/>
      <c r="V14" s="7"/>
      <c r="W14" s="7"/>
      <c r="X14" s="7"/>
      <c r="Y14" s="7"/>
      <c r="Z14" s="7"/>
      <c r="AA14" s="7"/>
      <c r="AB14" s="7"/>
      <c r="AC14" s="7"/>
      <c r="AD14" s="7"/>
      <c r="AE14" s="5"/>
      <c r="AF14" s="11"/>
      <c r="AG14" s="7"/>
      <c r="AH14" s="7"/>
      <c r="AI14" s="7"/>
      <c r="AJ14" s="7"/>
      <c r="AK14" s="7"/>
      <c r="AL14" s="5"/>
      <c r="AM14" s="7"/>
      <c r="AN14" s="5"/>
      <c r="AO14" s="7" t="s">
        <v>1183</v>
      </c>
      <c r="AP14" s="7">
        <v>219</v>
      </c>
      <c r="AQ14" s="7">
        <v>1099</v>
      </c>
      <c r="AR14" s="7"/>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7"/>
      <c r="BX14" s="7"/>
      <c r="BY14" s="7"/>
      <c r="BZ14" s="7"/>
      <c r="CA14" s="7"/>
      <c r="CB14" s="7"/>
      <c r="CC14" s="7"/>
      <c r="CD14" s="7"/>
      <c r="CE14" s="7"/>
      <c r="CF14" s="7"/>
      <c r="CG14" s="7"/>
      <c r="CH14" s="7"/>
      <c r="CI14" s="7"/>
      <c r="CJ14" s="7"/>
      <c r="CK14" s="7"/>
      <c r="CL14" s="7"/>
      <c r="CM14" s="7"/>
      <c r="CN14" s="7"/>
      <c r="CO14" s="7"/>
      <c r="CP14" s="7"/>
      <c r="CQ14" s="7"/>
      <c r="CR14" s="7"/>
      <c r="CS14" s="7"/>
      <c r="CT14" s="7"/>
      <c r="CU14" s="7"/>
    </row>
    <row r="15" spans="1:99" ht="70.5" customHeight="1" x14ac:dyDescent="0.2">
      <c r="A15" s="3">
        <v>1</v>
      </c>
      <c r="B15" s="7"/>
      <c r="C15" s="7"/>
      <c r="D15" s="7"/>
      <c r="E15" s="7"/>
      <c r="F15" s="7"/>
      <c r="G15" s="7"/>
      <c r="H15" s="7"/>
      <c r="I15" s="7"/>
      <c r="J15" s="7"/>
      <c r="K15" s="7"/>
      <c r="L15" s="7"/>
      <c r="M15" s="7"/>
      <c r="N15" s="7"/>
      <c r="O15" s="7"/>
      <c r="P15" s="7"/>
      <c r="Q15" s="7"/>
      <c r="R15" s="7"/>
      <c r="S15" s="11"/>
      <c r="T15" s="7"/>
      <c r="U15" s="7"/>
      <c r="V15" s="7"/>
      <c r="W15" s="7"/>
      <c r="X15" s="7"/>
      <c r="Y15" s="7"/>
      <c r="Z15" s="7"/>
      <c r="AA15" s="7" t="s">
        <v>2016</v>
      </c>
      <c r="AB15" s="10" t="s">
        <v>2017</v>
      </c>
      <c r="AC15" s="7" t="s">
        <v>373</v>
      </c>
      <c r="AD15" s="7" t="s">
        <v>2018</v>
      </c>
      <c r="AE15" s="5" t="s">
        <v>987</v>
      </c>
      <c r="AF15" s="11"/>
      <c r="AG15" s="7" t="s">
        <v>389</v>
      </c>
      <c r="AH15" s="7"/>
      <c r="AI15" s="7" t="s">
        <v>936</v>
      </c>
      <c r="AJ15" s="7" t="s">
        <v>936</v>
      </c>
      <c r="AK15" s="7"/>
      <c r="AL15" s="5"/>
      <c r="AM15" s="7"/>
      <c r="AN15" s="5"/>
      <c r="AO15" s="7"/>
      <c r="AP15" s="7"/>
      <c r="AQ15" s="7"/>
      <c r="AR15" s="7"/>
      <c r="AS15" s="7"/>
      <c r="AT15" s="7"/>
      <c r="AU15" s="7"/>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7"/>
      <c r="BX15" s="7"/>
      <c r="BY15" s="7"/>
      <c r="BZ15" s="7"/>
      <c r="CA15" s="7"/>
      <c r="CB15" s="7"/>
      <c r="CC15" s="7"/>
      <c r="CD15" s="7"/>
      <c r="CE15" s="7"/>
      <c r="CF15" s="7"/>
      <c r="CG15" s="7"/>
      <c r="CH15" s="7"/>
      <c r="CI15" s="7"/>
      <c r="CJ15" s="7"/>
      <c r="CK15" s="7"/>
      <c r="CL15" s="7"/>
      <c r="CM15" s="7"/>
      <c r="CN15" s="7"/>
      <c r="CO15" s="7"/>
      <c r="CP15" s="7"/>
      <c r="CQ15" s="7"/>
      <c r="CR15" s="7"/>
      <c r="CS15" s="7"/>
      <c r="CT15" s="7"/>
      <c r="CU15" s="7"/>
    </row>
    <row r="16" spans="1:99" ht="69" customHeight="1" x14ac:dyDescent="0.2">
      <c r="A16" s="3">
        <v>1</v>
      </c>
      <c r="B16" s="7"/>
      <c r="C16" s="7"/>
      <c r="D16" s="7"/>
      <c r="E16" s="7"/>
      <c r="F16" s="7"/>
      <c r="G16" s="7"/>
      <c r="H16" s="7"/>
      <c r="I16" s="7"/>
      <c r="J16" s="7"/>
      <c r="K16" s="7"/>
      <c r="L16" s="7"/>
      <c r="M16" s="7"/>
      <c r="N16" s="7"/>
      <c r="O16" s="7"/>
      <c r="P16" s="7"/>
      <c r="Q16" s="7"/>
      <c r="R16" s="7"/>
      <c r="S16" s="11"/>
      <c r="T16" s="7"/>
      <c r="U16" s="7"/>
      <c r="V16" s="7"/>
      <c r="W16" s="7"/>
      <c r="X16" s="7"/>
      <c r="Y16" s="7"/>
      <c r="Z16" s="7"/>
      <c r="AA16" s="7" t="s">
        <v>2019</v>
      </c>
      <c r="AB16" s="10" t="s">
        <v>2020</v>
      </c>
      <c r="AC16" s="7" t="s">
        <v>2021</v>
      </c>
      <c r="AD16" s="7" t="s">
        <v>2022</v>
      </c>
      <c r="AE16" s="5" t="s">
        <v>988</v>
      </c>
      <c r="AF16" s="11"/>
      <c r="AG16" s="7" t="s">
        <v>2023</v>
      </c>
      <c r="AH16" s="7"/>
      <c r="AI16" s="7" t="s">
        <v>936</v>
      </c>
      <c r="AJ16" s="7" t="s">
        <v>936</v>
      </c>
      <c r="AK16" s="7"/>
      <c r="AL16" s="5"/>
      <c r="AM16" s="7"/>
      <c r="AN16" s="5"/>
      <c r="AO16" s="7"/>
      <c r="AP16" s="7"/>
      <c r="AQ16" s="7"/>
      <c r="AR16" s="7"/>
      <c r="AS16" s="7"/>
      <c r="AT16" s="7"/>
      <c r="AU16" s="7"/>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7"/>
      <c r="BX16" s="7"/>
      <c r="BY16" s="7"/>
      <c r="BZ16" s="7"/>
      <c r="CA16" s="7"/>
      <c r="CB16" s="7"/>
      <c r="CC16" s="7"/>
      <c r="CD16" s="7"/>
      <c r="CE16" s="7"/>
      <c r="CF16" s="7"/>
      <c r="CG16" s="7"/>
      <c r="CH16" s="7"/>
      <c r="CI16" s="7"/>
      <c r="CJ16" s="7"/>
      <c r="CK16" s="7"/>
      <c r="CL16" s="7"/>
      <c r="CM16" s="7"/>
      <c r="CN16" s="7"/>
      <c r="CO16" s="7"/>
      <c r="CP16" s="7"/>
      <c r="CQ16" s="7"/>
      <c r="CR16" s="7"/>
      <c r="CS16" s="7"/>
      <c r="CT16" s="7"/>
      <c r="CU16" s="7"/>
    </row>
    <row r="17" spans="1:99" ht="54" customHeight="1" x14ac:dyDescent="0.2">
      <c r="A17" s="3">
        <v>1</v>
      </c>
      <c r="B17" s="7"/>
      <c r="C17" s="7"/>
      <c r="D17" s="7"/>
      <c r="E17" s="7"/>
      <c r="F17" s="7"/>
      <c r="G17" s="7"/>
      <c r="H17" s="7"/>
      <c r="I17" s="7"/>
      <c r="J17" s="7"/>
      <c r="K17" s="7"/>
      <c r="L17" s="7"/>
      <c r="M17" s="7"/>
      <c r="N17" s="7"/>
      <c r="O17" s="7"/>
      <c r="P17" s="7"/>
      <c r="Q17" s="7"/>
      <c r="R17" s="7"/>
      <c r="S17" s="11"/>
      <c r="T17" s="7"/>
      <c r="U17" s="7"/>
      <c r="V17" s="7"/>
      <c r="W17" s="7"/>
      <c r="X17" s="7"/>
      <c r="Y17" s="7"/>
      <c r="Z17" s="7"/>
      <c r="AA17" s="7" t="s">
        <v>2024</v>
      </c>
      <c r="AB17" s="10" t="s">
        <v>2025</v>
      </c>
      <c r="AC17" s="7" t="s">
        <v>375</v>
      </c>
      <c r="AD17" s="7" t="s">
        <v>2026</v>
      </c>
      <c r="AE17" s="5" t="s">
        <v>989</v>
      </c>
      <c r="AF17" s="11"/>
      <c r="AG17" s="7" t="s">
        <v>391</v>
      </c>
      <c r="AH17" s="7"/>
      <c r="AI17" s="7"/>
      <c r="AJ17" s="7"/>
      <c r="AK17" s="7"/>
      <c r="AL17" s="5"/>
      <c r="AM17" s="7"/>
      <c r="AN17" s="5"/>
      <c r="AO17" s="7" t="s">
        <v>1185</v>
      </c>
      <c r="AP17" s="7">
        <v>99</v>
      </c>
      <c r="AQ17" s="7">
        <v>396</v>
      </c>
      <c r="AR17" s="7">
        <v>525</v>
      </c>
      <c r="AS17" s="7" t="s">
        <v>1201</v>
      </c>
      <c r="AT17" s="7" t="s">
        <v>1202</v>
      </c>
      <c r="AU17" s="7" t="s">
        <v>1314</v>
      </c>
      <c r="AV17" s="7"/>
      <c r="AW17" s="7"/>
      <c r="AX17" s="7"/>
      <c r="AY17" s="7"/>
      <c r="AZ17" s="7">
        <f>TINV(BA17,BB17)</f>
        <v>3.4815965750070514</v>
      </c>
      <c r="BA17" s="7">
        <v>5.1999999999999995E-4</v>
      </c>
      <c r="BB17" s="7">
        <v>999</v>
      </c>
      <c r="BC17" s="7"/>
      <c r="BD17" s="7"/>
      <c r="BE17" s="7"/>
      <c r="BF17" s="7"/>
      <c r="BG17" s="7"/>
      <c r="BH17" s="7"/>
      <c r="BI17" s="7"/>
      <c r="BJ17" s="7"/>
      <c r="BK17" s="7"/>
      <c r="BL17" s="7"/>
      <c r="BM17" s="7"/>
      <c r="BN17" s="7"/>
      <c r="BO17" s="7"/>
      <c r="BP17" s="7"/>
      <c r="BQ17" s="7"/>
      <c r="BR17" s="7"/>
      <c r="BS17" s="7"/>
      <c r="BT17" s="7"/>
      <c r="BU17" s="7">
        <f>(AZ17*2)/(SQRT(BB17))</f>
        <v>0.22030568181016388</v>
      </c>
      <c r="BV17" s="7"/>
      <c r="BW17" s="7" t="s">
        <v>2027</v>
      </c>
      <c r="BX17" s="7" t="s">
        <v>2028</v>
      </c>
      <c r="BY17" s="7" t="s">
        <v>1203</v>
      </c>
      <c r="BZ17" s="7" t="s">
        <v>2029</v>
      </c>
      <c r="CA17" s="7" t="s">
        <v>2030</v>
      </c>
      <c r="CB17" s="7" t="s">
        <v>1204</v>
      </c>
      <c r="CC17" s="7" t="s">
        <v>2031</v>
      </c>
      <c r="CD17" s="7" t="s">
        <v>2032</v>
      </c>
      <c r="CE17" s="7" t="s">
        <v>2033</v>
      </c>
      <c r="CF17" s="7"/>
      <c r="CG17" s="7"/>
      <c r="CH17" s="7"/>
      <c r="CI17" s="7" t="s">
        <v>765</v>
      </c>
      <c r="CJ17" s="7" t="s">
        <v>766</v>
      </c>
      <c r="CK17" s="7" t="s">
        <v>2034</v>
      </c>
      <c r="CL17" s="12" t="s">
        <v>768</v>
      </c>
      <c r="CM17" s="7" t="s">
        <v>2035</v>
      </c>
      <c r="CN17" s="7" t="s">
        <v>772</v>
      </c>
      <c r="CO17" s="7" t="s">
        <v>773</v>
      </c>
      <c r="CP17" s="7">
        <f>TINV(CQ17,CR17)</f>
        <v>1.923247349470347</v>
      </c>
      <c r="CQ17" s="7">
        <v>5.5E-2</v>
      </c>
      <c r="CR17" s="7">
        <v>515</v>
      </c>
      <c r="CS17" s="7">
        <f>(CP17*2)/(SQRT(CR17))</f>
        <v>0.1694968079372878</v>
      </c>
      <c r="CT17" s="7"/>
      <c r="CU17" s="7"/>
    </row>
    <row r="18" spans="1:99" ht="54" customHeight="1" x14ac:dyDescent="0.2">
      <c r="A18" s="3">
        <v>1</v>
      </c>
      <c r="B18" s="7"/>
      <c r="C18" s="7"/>
      <c r="D18" s="7"/>
      <c r="E18" s="7"/>
      <c r="F18" s="7"/>
      <c r="G18" s="7"/>
      <c r="H18" s="7"/>
      <c r="I18" s="7"/>
      <c r="J18" s="7"/>
      <c r="K18" s="7"/>
      <c r="L18" s="7"/>
      <c r="M18" s="7"/>
      <c r="N18" s="7"/>
      <c r="O18" s="7"/>
      <c r="P18" s="7"/>
      <c r="Q18" s="7"/>
      <c r="R18" s="7"/>
      <c r="S18" s="11"/>
      <c r="T18" s="7"/>
      <c r="U18" s="7"/>
      <c r="V18" s="7"/>
      <c r="W18" s="7"/>
      <c r="X18" s="7"/>
      <c r="Y18" s="7"/>
      <c r="Z18" s="7"/>
      <c r="AA18" s="7"/>
      <c r="AB18" s="10"/>
      <c r="AC18" s="7"/>
      <c r="AD18" s="7"/>
      <c r="AE18" s="5"/>
      <c r="AF18" s="11"/>
      <c r="AG18" s="7"/>
      <c r="AH18" s="7"/>
      <c r="AI18" s="7"/>
      <c r="AJ18" s="7"/>
      <c r="AK18" s="7"/>
      <c r="AL18" s="5"/>
      <c r="AM18" s="7"/>
      <c r="AN18" s="5"/>
      <c r="AO18" s="7" t="s">
        <v>1183</v>
      </c>
      <c r="AP18" s="7">
        <v>69</v>
      </c>
      <c r="AQ18" s="7">
        <v>502</v>
      </c>
      <c r="AR18" s="7">
        <v>746</v>
      </c>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12"/>
      <c r="CM18" s="7"/>
      <c r="CN18" s="7"/>
      <c r="CO18" s="7"/>
      <c r="CP18" s="7"/>
      <c r="CQ18" s="7"/>
      <c r="CR18" s="7"/>
      <c r="CS18" s="7"/>
      <c r="CT18" s="7"/>
      <c r="CU18" s="7"/>
    </row>
    <row r="19" spans="1:99" ht="34.5" customHeight="1" x14ac:dyDescent="0.2">
      <c r="A19" s="3">
        <v>1</v>
      </c>
      <c r="B19" s="7"/>
      <c r="C19" s="7"/>
      <c r="D19" s="7"/>
      <c r="E19" s="7"/>
      <c r="F19" s="7"/>
      <c r="G19" s="7"/>
      <c r="H19" s="7"/>
      <c r="I19" s="7"/>
      <c r="J19" s="7"/>
      <c r="K19" s="7"/>
      <c r="L19" s="7"/>
      <c r="M19" s="7"/>
      <c r="N19" s="7"/>
      <c r="O19" s="7"/>
      <c r="P19" s="7"/>
      <c r="Q19" s="7"/>
      <c r="R19" s="7"/>
      <c r="S19" s="11"/>
      <c r="T19" s="7"/>
      <c r="U19" s="7"/>
      <c r="V19" s="7"/>
      <c r="W19" s="7"/>
      <c r="X19" s="7"/>
      <c r="Y19" s="7"/>
      <c r="Z19" s="7"/>
      <c r="AA19" s="7"/>
      <c r="AB19" s="7"/>
      <c r="AC19" s="7"/>
      <c r="AD19" s="7"/>
      <c r="AE19" s="5"/>
      <c r="AF19" s="11"/>
      <c r="AG19" s="7"/>
      <c r="AH19" s="7"/>
      <c r="AI19" s="7"/>
      <c r="AJ19" s="7"/>
      <c r="AK19" s="7"/>
      <c r="AL19" s="5"/>
      <c r="AM19" s="7"/>
      <c r="AN19" s="5"/>
      <c r="AO19" s="7" t="s">
        <v>1184</v>
      </c>
      <c r="AP19" s="7">
        <v>96</v>
      </c>
      <c r="AQ19" s="7">
        <v>396</v>
      </c>
      <c r="AR19" s="7">
        <v>525</v>
      </c>
      <c r="AS19" s="5" t="s">
        <v>506</v>
      </c>
      <c r="AT19" s="5" t="s">
        <v>507</v>
      </c>
      <c r="AU19" s="5" t="s">
        <v>509</v>
      </c>
      <c r="AV19" s="5"/>
      <c r="AW19" s="5"/>
      <c r="AX19" s="5"/>
      <c r="AY19" s="5"/>
      <c r="AZ19" s="7">
        <f>TINV(BA19,BB19)</f>
        <v>5.0173089507925468</v>
      </c>
      <c r="BA19" s="5">
        <v>6.1999999999999999E-7</v>
      </c>
      <c r="BB19" s="5">
        <v>999</v>
      </c>
      <c r="BC19" s="5"/>
      <c r="BD19" s="5"/>
      <c r="BE19" s="5"/>
      <c r="BF19" s="5"/>
      <c r="BG19" s="5"/>
      <c r="BH19" s="5"/>
      <c r="BI19" s="5"/>
      <c r="BJ19" s="5"/>
      <c r="BK19" s="5"/>
      <c r="BL19" s="5"/>
      <c r="BM19" s="5"/>
      <c r="BN19" s="5"/>
      <c r="BO19" s="5"/>
      <c r="BP19" s="5"/>
      <c r="BQ19" s="5"/>
      <c r="BR19" s="5"/>
      <c r="BS19" s="5"/>
      <c r="BT19" s="5"/>
      <c r="BU19" s="7">
        <f>(AZ19*2)/(SQRT(BB19))</f>
        <v>0.31748126052035519</v>
      </c>
      <c r="BV19" s="7"/>
      <c r="BW19" s="7" t="s">
        <v>2036</v>
      </c>
      <c r="BX19" s="7" t="s">
        <v>2037</v>
      </c>
      <c r="BY19" s="7" t="s">
        <v>2038</v>
      </c>
      <c r="BZ19" s="7" t="s">
        <v>2039</v>
      </c>
      <c r="CA19" s="7" t="s">
        <v>2040</v>
      </c>
      <c r="CB19" s="7" t="s">
        <v>2041</v>
      </c>
      <c r="CC19" s="7" t="s">
        <v>2042</v>
      </c>
      <c r="CD19" s="7" t="s">
        <v>757</v>
      </c>
      <c r="CE19" s="7" t="s">
        <v>758</v>
      </c>
      <c r="CF19" s="7"/>
      <c r="CG19" s="7"/>
      <c r="CH19" s="7"/>
      <c r="CI19" s="7"/>
      <c r="CJ19" s="7"/>
      <c r="CK19" s="7"/>
      <c r="CL19" s="7"/>
      <c r="CM19" s="7"/>
      <c r="CN19" s="7"/>
      <c r="CO19" s="7"/>
      <c r="CP19" s="13"/>
      <c r="CQ19" s="13"/>
      <c r="CR19" s="13"/>
      <c r="CS19" s="13"/>
      <c r="CT19" s="7"/>
      <c r="CU19" s="7"/>
    </row>
    <row r="20" spans="1:99" ht="34.5" customHeight="1" x14ac:dyDescent="0.2">
      <c r="A20" s="3">
        <v>1</v>
      </c>
      <c r="B20" s="7"/>
      <c r="C20" s="7"/>
      <c r="D20" s="7"/>
      <c r="E20" s="7"/>
      <c r="F20" s="7"/>
      <c r="G20" s="7"/>
      <c r="H20" s="7"/>
      <c r="I20" s="7"/>
      <c r="J20" s="7"/>
      <c r="K20" s="7"/>
      <c r="L20" s="7"/>
      <c r="M20" s="7"/>
      <c r="N20" s="7"/>
      <c r="O20" s="7"/>
      <c r="P20" s="7"/>
      <c r="Q20" s="7"/>
      <c r="R20" s="7"/>
      <c r="S20" s="11"/>
      <c r="T20" s="7"/>
      <c r="U20" s="7"/>
      <c r="V20" s="7"/>
      <c r="W20" s="7"/>
      <c r="X20" s="7"/>
      <c r="Y20" s="7"/>
      <c r="Z20" s="7"/>
      <c r="AA20" s="7"/>
      <c r="AB20" s="7"/>
      <c r="AC20" s="7"/>
      <c r="AD20" s="7"/>
      <c r="AE20" s="5"/>
      <c r="AF20" s="11"/>
      <c r="AG20" s="7"/>
      <c r="AH20" s="7"/>
      <c r="AI20" s="7"/>
      <c r="AJ20" s="7"/>
      <c r="AK20" s="7"/>
      <c r="AL20" s="5"/>
      <c r="AM20" s="7"/>
      <c r="AN20" s="5"/>
      <c r="AO20" s="7" t="s">
        <v>1183</v>
      </c>
      <c r="AP20" s="7">
        <v>69</v>
      </c>
      <c r="AQ20" s="7">
        <v>500</v>
      </c>
      <c r="AR20" s="7">
        <v>745</v>
      </c>
      <c r="AS20" s="5"/>
      <c r="AT20" s="5"/>
      <c r="AU20" s="5"/>
      <c r="AV20" s="5"/>
      <c r="AW20" s="5"/>
      <c r="AX20" s="5"/>
      <c r="AY20" s="5"/>
      <c r="AZ20" s="7"/>
      <c r="BA20" s="5"/>
      <c r="BB20" s="5"/>
      <c r="BC20" s="5"/>
      <c r="BD20" s="5"/>
      <c r="BE20" s="5"/>
      <c r="BF20" s="5"/>
      <c r="BG20" s="5"/>
      <c r="BH20" s="5"/>
      <c r="BI20" s="5"/>
      <c r="BJ20" s="5"/>
      <c r="BK20" s="5"/>
      <c r="BL20" s="5"/>
      <c r="BM20" s="5"/>
      <c r="BN20" s="5"/>
      <c r="BO20" s="5"/>
      <c r="BP20" s="5"/>
      <c r="BQ20" s="5"/>
      <c r="BR20" s="5"/>
      <c r="BS20" s="5"/>
      <c r="BT20" s="5"/>
      <c r="BU20" s="7"/>
      <c r="BV20" s="7"/>
      <c r="BW20" s="7"/>
      <c r="BX20" s="7"/>
      <c r="BY20" s="7"/>
      <c r="BZ20" s="7"/>
      <c r="CA20" s="7"/>
      <c r="CB20" s="7"/>
      <c r="CC20" s="7"/>
      <c r="CD20" s="7"/>
      <c r="CE20" s="7"/>
      <c r="CF20" s="7"/>
      <c r="CG20" s="7"/>
      <c r="CH20" s="7"/>
      <c r="CI20" s="7"/>
      <c r="CJ20" s="7"/>
      <c r="CK20" s="7"/>
      <c r="CL20" s="7"/>
      <c r="CM20" s="7"/>
      <c r="CN20" s="7"/>
      <c r="CO20" s="7"/>
      <c r="CP20" s="13"/>
      <c r="CQ20" s="13"/>
      <c r="CR20" s="13"/>
      <c r="CS20" s="13"/>
      <c r="CT20" s="7"/>
      <c r="CU20" s="7"/>
    </row>
    <row r="21" spans="1:99" ht="30" x14ac:dyDescent="0.2">
      <c r="A21" s="3">
        <v>1</v>
      </c>
      <c r="B21" s="7"/>
      <c r="C21" s="7"/>
      <c r="D21" s="7"/>
      <c r="E21" s="7"/>
      <c r="F21" s="7"/>
      <c r="G21" s="7"/>
      <c r="H21" s="7"/>
      <c r="I21" s="7"/>
      <c r="J21" s="7"/>
      <c r="K21" s="7"/>
      <c r="L21" s="7"/>
      <c r="M21" s="7"/>
      <c r="N21" s="7"/>
      <c r="O21" s="7"/>
      <c r="P21" s="7"/>
      <c r="Q21" s="7"/>
      <c r="R21" s="7"/>
      <c r="S21" s="11"/>
      <c r="T21" s="7"/>
      <c r="U21" s="7"/>
      <c r="V21" s="7"/>
      <c r="W21" s="7"/>
      <c r="X21" s="7"/>
      <c r="Y21" s="7"/>
      <c r="Z21" s="7"/>
      <c r="AA21" s="7"/>
      <c r="AB21" s="7"/>
      <c r="AC21" s="7"/>
      <c r="AD21" s="7"/>
      <c r="AE21" s="5"/>
      <c r="AF21" s="11"/>
      <c r="AG21" s="7"/>
      <c r="AH21" s="7"/>
      <c r="AI21" s="7"/>
      <c r="AJ21" s="7"/>
      <c r="AK21" s="7"/>
      <c r="AL21" s="5"/>
      <c r="AM21" s="7"/>
      <c r="AN21" s="5"/>
      <c r="AO21" s="7" t="s">
        <v>1187</v>
      </c>
      <c r="AP21" s="7">
        <v>99</v>
      </c>
      <c r="AQ21" s="7">
        <v>911</v>
      </c>
      <c r="AR21" s="7"/>
      <c r="AS21" s="7" t="s">
        <v>751</v>
      </c>
      <c r="AT21" s="7" t="s">
        <v>1205</v>
      </c>
      <c r="AU21" s="7" t="s">
        <v>383</v>
      </c>
      <c r="AV21" s="13"/>
      <c r="AW21" s="13"/>
      <c r="AX21" s="13"/>
      <c r="AY21" s="13"/>
      <c r="AZ21" s="7">
        <f>TINV(BA21,BB21)</f>
        <v>5.2903730059398857</v>
      </c>
      <c r="BA21" s="7">
        <v>1.4999999999999999E-7</v>
      </c>
      <c r="BB21" s="7">
        <v>999</v>
      </c>
      <c r="BC21" s="7"/>
      <c r="BD21" s="7"/>
      <c r="BE21" s="7"/>
      <c r="BF21" s="7"/>
      <c r="BG21" s="7"/>
      <c r="BH21" s="7"/>
      <c r="BI21" s="7"/>
      <c r="BJ21" s="7"/>
      <c r="BK21" s="7"/>
      <c r="BL21" s="7"/>
      <c r="BM21" s="7"/>
      <c r="BN21" s="7"/>
      <c r="BO21" s="7"/>
      <c r="BP21" s="7"/>
      <c r="BQ21" s="7"/>
      <c r="BR21" s="7"/>
      <c r="BS21" s="7"/>
      <c r="BT21" s="7"/>
      <c r="BU21" s="12">
        <f>(AZ21*2)/(SQRT(BB21))</f>
        <v>0.33475998927340173</v>
      </c>
      <c r="BV21" s="12" t="s">
        <v>931</v>
      </c>
      <c r="BW21" s="7"/>
      <c r="BX21" s="7"/>
      <c r="BY21" s="7"/>
      <c r="BZ21" s="7"/>
      <c r="CA21" s="7"/>
      <c r="CB21" s="7"/>
      <c r="CC21" s="7"/>
      <c r="CD21" s="7"/>
      <c r="CE21" s="7"/>
      <c r="CF21" s="7"/>
      <c r="CG21" s="7"/>
      <c r="CH21" s="7"/>
      <c r="CI21" s="7"/>
      <c r="CJ21" s="7"/>
      <c r="CK21" s="7"/>
      <c r="CL21" s="12" t="s">
        <v>769</v>
      </c>
      <c r="CM21" s="7"/>
      <c r="CN21" s="7"/>
      <c r="CO21" s="7"/>
      <c r="CP21" s="7">
        <f>TINV(CQ21,CR21)</f>
        <v>2.3529560213585179</v>
      </c>
      <c r="CQ21" s="7">
        <v>1.9E-2</v>
      </c>
      <c r="CR21" s="7">
        <v>515</v>
      </c>
      <c r="CS21" s="12">
        <f>(CP21*2)/(SQRT(CR21))</f>
        <v>0.20736726087100665</v>
      </c>
      <c r="CT21" s="12" t="s">
        <v>932</v>
      </c>
      <c r="CU21" s="7"/>
    </row>
    <row r="22" spans="1:99" ht="15" x14ac:dyDescent="0.2">
      <c r="A22" s="3">
        <v>1</v>
      </c>
      <c r="B22" s="7"/>
      <c r="C22" s="7"/>
      <c r="D22" s="7"/>
      <c r="E22" s="7"/>
      <c r="F22" s="7"/>
      <c r="G22" s="7"/>
      <c r="H22" s="7"/>
      <c r="I22" s="7"/>
      <c r="J22" s="7"/>
      <c r="K22" s="7"/>
      <c r="L22" s="7"/>
      <c r="M22" s="7"/>
      <c r="N22" s="7"/>
      <c r="O22" s="7"/>
      <c r="P22" s="7"/>
      <c r="Q22" s="7"/>
      <c r="R22" s="7"/>
      <c r="S22" s="11"/>
      <c r="T22" s="7"/>
      <c r="U22" s="7"/>
      <c r="V22" s="7"/>
      <c r="W22" s="7"/>
      <c r="X22" s="7"/>
      <c r="Y22" s="7"/>
      <c r="Z22" s="7"/>
      <c r="AA22" s="7"/>
      <c r="AB22" s="7"/>
      <c r="AC22" s="7"/>
      <c r="AD22" s="7"/>
      <c r="AE22" s="5"/>
      <c r="AF22" s="11"/>
      <c r="AG22" s="7"/>
      <c r="AH22" s="7"/>
      <c r="AI22" s="7"/>
      <c r="AJ22" s="7"/>
      <c r="AK22" s="7"/>
      <c r="AL22" s="5"/>
      <c r="AM22" s="7"/>
      <c r="AN22" s="5"/>
      <c r="AO22" s="7" t="s">
        <v>1183</v>
      </c>
      <c r="AP22" s="7">
        <v>69</v>
      </c>
      <c r="AQ22" s="7">
        <v>1249</v>
      </c>
      <c r="AR22" s="7"/>
      <c r="AS22" s="7"/>
      <c r="AT22" s="7"/>
      <c r="AU22" s="7"/>
      <c r="AV22" s="13"/>
      <c r="AW22" s="13"/>
      <c r="AX22" s="13"/>
      <c r="AY22" s="13"/>
      <c r="AZ22" s="7"/>
      <c r="BA22" s="7"/>
      <c r="BB22" s="7"/>
      <c r="BC22" s="7"/>
      <c r="BD22" s="7"/>
      <c r="BE22" s="7"/>
      <c r="BF22" s="7"/>
      <c r="BG22" s="7"/>
      <c r="BH22" s="7"/>
      <c r="BI22" s="7"/>
      <c r="BJ22" s="7"/>
      <c r="BK22" s="7"/>
      <c r="BL22" s="7"/>
      <c r="BM22" s="7"/>
      <c r="BN22" s="7"/>
      <c r="BO22" s="7"/>
      <c r="BP22" s="7"/>
      <c r="BQ22" s="7"/>
      <c r="BR22" s="7"/>
      <c r="BS22" s="7"/>
      <c r="BT22" s="7"/>
      <c r="BU22" s="12"/>
      <c r="BV22" s="12"/>
      <c r="BW22" s="7"/>
      <c r="BX22" s="7"/>
      <c r="BY22" s="7"/>
      <c r="BZ22" s="7"/>
      <c r="CA22" s="7"/>
      <c r="CB22" s="7"/>
      <c r="CC22" s="7"/>
      <c r="CD22" s="7"/>
      <c r="CE22" s="7"/>
      <c r="CF22" s="7"/>
      <c r="CG22" s="7"/>
      <c r="CH22" s="7"/>
      <c r="CI22" s="7"/>
      <c r="CJ22" s="7"/>
      <c r="CK22" s="7"/>
      <c r="CL22" s="12"/>
      <c r="CM22" s="7"/>
      <c r="CN22" s="7"/>
      <c r="CO22" s="7"/>
      <c r="CP22" s="7"/>
      <c r="CQ22" s="7"/>
      <c r="CR22" s="7"/>
      <c r="CS22" s="12"/>
      <c r="CT22" s="12"/>
      <c r="CU22" s="7"/>
    </row>
    <row r="23" spans="1:99" ht="30" x14ac:dyDescent="0.2">
      <c r="A23" s="3">
        <v>1</v>
      </c>
      <c r="B23" s="7"/>
      <c r="C23" s="7"/>
      <c r="D23" s="7"/>
      <c r="E23" s="7"/>
      <c r="F23" s="7"/>
      <c r="G23" s="7"/>
      <c r="H23" s="7"/>
      <c r="I23" s="7"/>
      <c r="J23" s="7"/>
      <c r="K23" s="7"/>
      <c r="L23" s="7"/>
      <c r="M23" s="7"/>
      <c r="N23" s="7"/>
      <c r="O23" s="7"/>
      <c r="P23" s="7"/>
      <c r="Q23" s="7"/>
      <c r="R23" s="7"/>
      <c r="S23" s="11"/>
      <c r="T23" s="7"/>
      <c r="U23" s="7"/>
      <c r="V23" s="7"/>
      <c r="W23" s="7"/>
      <c r="X23" s="7"/>
      <c r="Y23" s="7"/>
      <c r="Z23" s="7"/>
      <c r="AA23" s="7"/>
      <c r="AB23" s="7"/>
      <c r="AC23" s="7"/>
      <c r="AD23" s="7"/>
      <c r="AE23" s="5"/>
      <c r="AF23" s="11"/>
      <c r="AG23" s="7"/>
      <c r="AH23" s="7"/>
      <c r="AI23" s="7"/>
      <c r="AJ23" s="7"/>
      <c r="AK23" s="7"/>
      <c r="AL23" s="5"/>
      <c r="AM23" s="7"/>
      <c r="AN23" s="5"/>
      <c r="AO23" s="7" t="s">
        <v>1184</v>
      </c>
      <c r="AP23" s="7">
        <v>96</v>
      </c>
      <c r="AQ23" s="7">
        <v>911</v>
      </c>
      <c r="AR23" s="7"/>
      <c r="AS23" s="5" t="s">
        <v>961</v>
      </c>
      <c r="AT23" s="5" t="s">
        <v>508</v>
      </c>
      <c r="AU23" s="5" t="s">
        <v>2043</v>
      </c>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7"/>
      <c r="BX23" s="7"/>
      <c r="BY23" s="7"/>
      <c r="BZ23" s="7"/>
      <c r="CA23" s="7"/>
      <c r="CB23" s="7"/>
      <c r="CC23" s="7"/>
      <c r="CD23" s="7"/>
      <c r="CE23" s="7"/>
      <c r="CF23" s="7"/>
      <c r="CG23" s="7"/>
      <c r="CH23" s="7"/>
      <c r="CI23" s="7"/>
      <c r="CJ23" s="7"/>
      <c r="CK23" s="7"/>
      <c r="CL23" s="7"/>
      <c r="CM23" s="7"/>
      <c r="CN23" s="7"/>
      <c r="CO23" s="7"/>
      <c r="CP23" s="7"/>
      <c r="CQ23" s="7"/>
      <c r="CR23" s="7"/>
      <c r="CS23" s="7"/>
      <c r="CT23" s="7"/>
      <c r="CU23" s="7"/>
    </row>
    <row r="24" spans="1:99" ht="15" x14ac:dyDescent="0.2">
      <c r="A24" s="3">
        <v>1</v>
      </c>
      <c r="B24" s="7"/>
      <c r="C24" s="7"/>
      <c r="D24" s="7"/>
      <c r="E24" s="7"/>
      <c r="F24" s="7"/>
      <c r="G24" s="7"/>
      <c r="H24" s="7"/>
      <c r="I24" s="7"/>
      <c r="J24" s="7"/>
      <c r="K24" s="7"/>
      <c r="L24" s="7"/>
      <c r="M24" s="7"/>
      <c r="N24" s="7"/>
      <c r="O24" s="7"/>
      <c r="P24" s="7"/>
      <c r="Q24" s="7"/>
      <c r="R24" s="7"/>
      <c r="S24" s="11"/>
      <c r="T24" s="7"/>
      <c r="U24" s="7"/>
      <c r="V24" s="7"/>
      <c r="W24" s="7"/>
      <c r="X24" s="7"/>
      <c r="Y24" s="7"/>
      <c r="Z24" s="7"/>
      <c r="AA24" s="7"/>
      <c r="AB24" s="7"/>
      <c r="AC24" s="7"/>
      <c r="AD24" s="7"/>
      <c r="AE24" s="5"/>
      <c r="AF24" s="11"/>
      <c r="AG24" s="7"/>
      <c r="AH24" s="7"/>
      <c r="AI24" s="7"/>
      <c r="AJ24" s="7"/>
      <c r="AK24" s="7"/>
      <c r="AL24" s="5"/>
      <c r="AM24" s="7"/>
      <c r="AN24" s="5"/>
      <c r="AO24" s="7" t="s">
        <v>1183</v>
      </c>
      <c r="AP24" s="7">
        <v>69</v>
      </c>
      <c r="AQ24" s="7">
        <v>1245</v>
      </c>
      <c r="AR24" s="7"/>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7"/>
      <c r="BX24" s="7"/>
      <c r="BY24" s="7"/>
      <c r="BZ24" s="7"/>
      <c r="CA24" s="7"/>
      <c r="CB24" s="7"/>
      <c r="CC24" s="7"/>
      <c r="CD24" s="7"/>
      <c r="CE24" s="7"/>
      <c r="CF24" s="7"/>
      <c r="CG24" s="7"/>
      <c r="CH24" s="7"/>
      <c r="CI24" s="7"/>
      <c r="CJ24" s="7"/>
      <c r="CK24" s="7"/>
      <c r="CL24" s="7"/>
      <c r="CM24" s="7"/>
      <c r="CN24" s="7"/>
      <c r="CO24" s="7"/>
      <c r="CP24" s="7"/>
      <c r="CQ24" s="7"/>
      <c r="CR24" s="7"/>
      <c r="CS24" s="7"/>
      <c r="CT24" s="7"/>
      <c r="CU24" s="7"/>
    </row>
    <row r="25" spans="1:99" ht="64.5" customHeight="1" x14ac:dyDescent="0.2">
      <c r="A25" s="3">
        <v>2</v>
      </c>
      <c r="B25" s="5">
        <v>32</v>
      </c>
      <c r="C25" s="7" t="s">
        <v>1</v>
      </c>
      <c r="D25" s="7" t="s">
        <v>1</v>
      </c>
      <c r="E25" s="7" t="str">
        <f>C25&amp;D25</f>
        <v>OO</v>
      </c>
      <c r="F25" s="7" t="s">
        <v>1</v>
      </c>
      <c r="G25" s="7" t="s">
        <v>4</v>
      </c>
      <c r="H25" s="7"/>
      <c r="I25" s="7" t="s">
        <v>5</v>
      </c>
      <c r="J25" s="7" t="s">
        <v>6</v>
      </c>
      <c r="K25" s="7">
        <v>5</v>
      </c>
      <c r="L25" s="7" t="str">
        <f>K25&amp;F25</f>
        <v>5O</v>
      </c>
      <c r="M25" s="7">
        <v>29</v>
      </c>
      <c r="N25" s="7">
        <v>3</v>
      </c>
      <c r="O25" s="7">
        <v>460</v>
      </c>
      <c r="P25" s="7">
        <v>471</v>
      </c>
      <c r="Q25" s="7" t="s">
        <v>7</v>
      </c>
      <c r="R25" s="7">
        <v>2016</v>
      </c>
      <c r="S25" s="11"/>
      <c r="T25" s="7" t="s">
        <v>776</v>
      </c>
      <c r="U25" s="7" t="s">
        <v>777</v>
      </c>
      <c r="V25" s="7" t="s">
        <v>494</v>
      </c>
      <c r="W25" s="7" t="s">
        <v>778</v>
      </c>
      <c r="X25" s="6" t="s">
        <v>2044</v>
      </c>
      <c r="Y25" s="6" t="s">
        <v>393</v>
      </c>
      <c r="Z25" s="6" t="s">
        <v>397</v>
      </c>
      <c r="AA25" s="6" t="s">
        <v>2045</v>
      </c>
      <c r="AB25" s="14" t="s">
        <v>2046</v>
      </c>
      <c r="AC25" s="6"/>
      <c r="AD25" s="6" t="s">
        <v>2047</v>
      </c>
      <c r="AE25" s="9" t="s">
        <v>990</v>
      </c>
      <c r="AF25" s="8" t="s">
        <v>359</v>
      </c>
      <c r="AG25" s="6" t="s">
        <v>962</v>
      </c>
      <c r="AH25" s="6" t="s">
        <v>2048</v>
      </c>
      <c r="AI25" s="6" t="s">
        <v>936</v>
      </c>
      <c r="AJ25" s="6" t="s">
        <v>936</v>
      </c>
      <c r="AK25" s="6"/>
      <c r="AL25" s="6" t="s">
        <v>1939</v>
      </c>
      <c r="AM25" s="11" t="s">
        <v>779</v>
      </c>
      <c r="AN25" s="8" t="s">
        <v>528</v>
      </c>
      <c r="AO25" s="9" t="s">
        <v>398</v>
      </c>
      <c r="AP25" s="6" t="s">
        <v>401</v>
      </c>
      <c r="AQ25" s="6" t="s">
        <v>404</v>
      </c>
      <c r="AR25" s="6" t="s">
        <v>406</v>
      </c>
      <c r="AS25" s="7" t="s">
        <v>2049</v>
      </c>
      <c r="AT25" s="9" t="s">
        <v>2050</v>
      </c>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9"/>
    </row>
    <row r="26" spans="1:99" ht="85.75" customHeight="1" x14ac:dyDescent="0.2">
      <c r="A26" s="3">
        <v>2</v>
      </c>
      <c r="B26" s="5"/>
      <c r="C26" s="7"/>
      <c r="D26" s="7"/>
      <c r="E26" s="7"/>
      <c r="F26" s="7"/>
      <c r="G26" s="7"/>
      <c r="H26" s="7"/>
      <c r="I26" s="7"/>
      <c r="J26" s="7"/>
      <c r="K26" s="7"/>
      <c r="L26" s="7"/>
      <c r="M26" s="7"/>
      <c r="N26" s="7"/>
      <c r="O26" s="7"/>
      <c r="P26" s="7"/>
      <c r="Q26" s="7"/>
      <c r="R26" s="7"/>
      <c r="S26" s="11"/>
      <c r="T26" s="7"/>
      <c r="U26" s="7"/>
      <c r="V26" s="7"/>
      <c r="W26" s="7"/>
      <c r="X26" s="6"/>
      <c r="Y26" s="6"/>
      <c r="Z26" s="9" t="s">
        <v>409</v>
      </c>
      <c r="AA26" s="6" t="s">
        <v>395</v>
      </c>
      <c r="AB26" s="14" t="s">
        <v>957</v>
      </c>
      <c r="AC26" s="6"/>
      <c r="AD26" s="6" t="s">
        <v>2051</v>
      </c>
      <c r="AE26" s="9" t="s">
        <v>936</v>
      </c>
      <c r="AF26" s="8" t="s">
        <v>359</v>
      </c>
      <c r="AG26" s="6" t="s">
        <v>962</v>
      </c>
      <c r="AH26" s="6"/>
      <c r="AI26" s="6" t="s">
        <v>936</v>
      </c>
      <c r="AJ26" s="6" t="s">
        <v>936</v>
      </c>
      <c r="AK26" s="6"/>
      <c r="AL26" s="6"/>
      <c r="AM26" s="11"/>
      <c r="AN26" s="8"/>
      <c r="AO26" s="9" t="s">
        <v>399</v>
      </c>
      <c r="AP26" s="6" t="s">
        <v>402</v>
      </c>
      <c r="AQ26" s="6" t="s">
        <v>2052</v>
      </c>
      <c r="AR26" s="15" t="s">
        <v>407</v>
      </c>
      <c r="AS26" s="7"/>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9"/>
    </row>
    <row r="27" spans="1:99" ht="75" x14ac:dyDescent="0.2">
      <c r="A27" s="3">
        <v>2</v>
      </c>
      <c r="B27" s="5"/>
      <c r="C27" s="7"/>
      <c r="D27" s="7"/>
      <c r="E27" s="7"/>
      <c r="F27" s="7"/>
      <c r="G27" s="7"/>
      <c r="H27" s="7"/>
      <c r="I27" s="7"/>
      <c r="J27" s="7"/>
      <c r="K27" s="7"/>
      <c r="L27" s="7"/>
      <c r="M27" s="7"/>
      <c r="N27" s="7"/>
      <c r="O27" s="7"/>
      <c r="P27" s="7"/>
      <c r="Q27" s="7"/>
      <c r="R27" s="7"/>
      <c r="S27" s="11"/>
      <c r="T27" s="7"/>
      <c r="U27" s="7"/>
      <c r="V27" s="7"/>
      <c r="W27" s="7"/>
      <c r="X27" s="6"/>
      <c r="Y27" s="6"/>
      <c r="Z27" s="6" t="s">
        <v>2053</v>
      </c>
      <c r="AA27" s="6" t="s">
        <v>1946</v>
      </c>
      <c r="AB27" s="14" t="s">
        <v>1947</v>
      </c>
      <c r="AC27" s="6"/>
      <c r="AD27" s="6" t="s">
        <v>960</v>
      </c>
      <c r="AE27" s="9" t="s">
        <v>2054</v>
      </c>
      <c r="AF27" s="8" t="s">
        <v>359</v>
      </c>
      <c r="AG27" s="6" t="s">
        <v>963</v>
      </c>
      <c r="AH27" s="6"/>
      <c r="AI27" s="8"/>
      <c r="AJ27" s="8"/>
      <c r="AK27" s="6"/>
      <c r="AL27" s="8"/>
      <c r="AM27" s="11"/>
      <c r="AN27" s="8"/>
      <c r="AO27" s="9" t="s">
        <v>400</v>
      </c>
      <c r="AP27" s="6" t="s">
        <v>403</v>
      </c>
      <c r="AQ27" s="6" t="s">
        <v>405</v>
      </c>
      <c r="AR27" s="6" t="s">
        <v>408</v>
      </c>
      <c r="AS27" s="7"/>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9"/>
    </row>
    <row r="28" spans="1:99" ht="78.75" customHeight="1" x14ac:dyDescent="0.2">
      <c r="A28" s="3">
        <v>3</v>
      </c>
      <c r="B28" s="7">
        <v>42</v>
      </c>
      <c r="C28" s="7" t="s">
        <v>1</v>
      </c>
      <c r="D28" s="7" t="e">
        <v>#N/A</v>
      </c>
      <c r="E28" s="7" t="e">
        <f>C28&amp;D28</f>
        <v>#N/A</v>
      </c>
      <c r="F28" s="7" t="s">
        <v>1</v>
      </c>
      <c r="G28" s="7" t="s">
        <v>8</v>
      </c>
      <c r="H28" s="7"/>
      <c r="I28" s="7" t="s">
        <v>9</v>
      </c>
      <c r="J28" s="7" t="s">
        <v>10</v>
      </c>
      <c r="K28" s="7">
        <v>6</v>
      </c>
      <c r="L28" s="7" t="str">
        <f>K28&amp;F28</f>
        <v>6O</v>
      </c>
      <c r="M28" s="7">
        <v>36</v>
      </c>
      <c r="N28" s="7">
        <v>4</v>
      </c>
      <c r="O28" s="7">
        <v>1211</v>
      </c>
      <c r="P28" s="7">
        <v>1222</v>
      </c>
      <c r="Q28" s="7" t="s">
        <v>11</v>
      </c>
      <c r="R28" s="7">
        <v>2016</v>
      </c>
      <c r="S28" s="11"/>
      <c r="T28" s="7" t="s">
        <v>780</v>
      </c>
      <c r="U28" s="7" t="s">
        <v>781</v>
      </c>
      <c r="V28" s="7" t="s">
        <v>494</v>
      </c>
      <c r="W28" s="7" t="s">
        <v>782</v>
      </c>
      <c r="X28" s="6" t="s">
        <v>413</v>
      </c>
      <c r="Y28" s="6" t="s">
        <v>355</v>
      </c>
      <c r="Z28" s="6" t="s">
        <v>411</v>
      </c>
      <c r="AA28" s="6" t="s">
        <v>396</v>
      </c>
      <c r="AB28" s="14" t="s">
        <v>959</v>
      </c>
      <c r="AC28" s="6"/>
      <c r="AD28" s="6" t="s">
        <v>960</v>
      </c>
      <c r="AE28" s="9" t="s">
        <v>992</v>
      </c>
      <c r="AF28" s="8" t="s">
        <v>359</v>
      </c>
      <c r="AG28" s="6" t="s">
        <v>968</v>
      </c>
      <c r="AH28" s="6"/>
      <c r="AI28" s="8"/>
      <c r="AJ28" s="8"/>
      <c r="AK28" s="6"/>
      <c r="AL28" s="8"/>
      <c r="AM28" s="9" t="s">
        <v>791</v>
      </c>
      <c r="AN28" s="9" t="s">
        <v>792</v>
      </c>
      <c r="AO28" s="6" t="s">
        <v>783</v>
      </c>
      <c r="AP28" s="6" t="s">
        <v>784</v>
      </c>
      <c r="AQ28" s="6" t="s">
        <v>785</v>
      </c>
      <c r="AR28" s="6" t="s">
        <v>786</v>
      </c>
      <c r="AS28" s="9" t="s">
        <v>793</v>
      </c>
      <c r="AT28" s="6" t="s">
        <v>1206</v>
      </c>
      <c r="AU28" s="9" t="s">
        <v>795</v>
      </c>
      <c r="AV28" s="6" t="s">
        <v>797</v>
      </c>
      <c r="AW28" s="6" t="s">
        <v>798</v>
      </c>
      <c r="AX28" s="6"/>
      <c r="AY28" s="6"/>
      <c r="AZ28" s="7">
        <f>TINV(BA28,BB28)</f>
        <v>2.1883511439617824</v>
      </c>
      <c r="BA28" s="7">
        <v>0.03</v>
      </c>
      <c r="BB28" s="7">
        <v>171</v>
      </c>
      <c r="BC28" s="7"/>
      <c r="BD28" s="7"/>
      <c r="BE28" s="7"/>
      <c r="BF28" s="7"/>
      <c r="BG28" s="7"/>
      <c r="BH28" s="7"/>
      <c r="BI28" s="7"/>
      <c r="BJ28" s="7"/>
      <c r="BK28" s="7"/>
      <c r="BL28" s="7"/>
      <c r="BM28" s="7"/>
      <c r="BN28" s="7"/>
      <c r="BO28" s="7"/>
      <c r="BP28" s="7"/>
      <c r="BQ28" s="7"/>
      <c r="BR28" s="7"/>
      <c r="BS28" s="7"/>
      <c r="BT28" s="7"/>
      <c r="BU28" s="16">
        <f>(AZ28*2)/(SQRT(BB28))</f>
        <v>0.33469478910565043</v>
      </c>
      <c r="BV28" s="17" t="s">
        <v>964</v>
      </c>
      <c r="BW28" s="6"/>
      <c r="BX28" s="6"/>
      <c r="BY28" s="6"/>
      <c r="BZ28" s="6"/>
      <c r="CA28" s="6"/>
      <c r="CB28" s="6"/>
      <c r="CC28" s="6"/>
      <c r="CD28" s="6"/>
      <c r="CE28" s="6"/>
      <c r="CF28" s="6"/>
      <c r="CG28" s="6"/>
      <c r="CH28" s="6"/>
      <c r="CI28" s="6"/>
      <c r="CJ28" s="6"/>
      <c r="CK28" s="6"/>
      <c r="CL28" s="6"/>
      <c r="CM28" s="6"/>
      <c r="CN28" s="6"/>
      <c r="CO28" s="6"/>
      <c r="CP28" s="6"/>
      <c r="CQ28" s="6"/>
      <c r="CR28" s="6"/>
      <c r="CS28" s="6"/>
      <c r="CT28" s="6"/>
      <c r="CU28" s="6"/>
    </row>
    <row r="29" spans="1:99" ht="138.75" customHeight="1" x14ac:dyDescent="0.2">
      <c r="A29" s="3">
        <v>3</v>
      </c>
      <c r="B29" s="7"/>
      <c r="C29" s="7"/>
      <c r="D29" s="7"/>
      <c r="E29" s="7"/>
      <c r="F29" s="7"/>
      <c r="G29" s="7"/>
      <c r="H29" s="7"/>
      <c r="I29" s="7"/>
      <c r="J29" s="7"/>
      <c r="K29" s="7"/>
      <c r="L29" s="7"/>
      <c r="M29" s="7"/>
      <c r="N29" s="7"/>
      <c r="O29" s="7"/>
      <c r="P29" s="7"/>
      <c r="Q29" s="7"/>
      <c r="R29" s="7"/>
      <c r="S29" s="11"/>
      <c r="T29" s="7"/>
      <c r="U29" s="7"/>
      <c r="V29" s="7"/>
      <c r="W29" s="7"/>
      <c r="X29" s="6"/>
      <c r="Y29" s="6"/>
      <c r="Z29" s="6" t="s">
        <v>410</v>
      </c>
      <c r="AA29" s="6" t="s">
        <v>412</v>
      </c>
      <c r="AB29" s="14" t="s">
        <v>970</v>
      </c>
      <c r="AC29" s="6"/>
      <c r="AD29" s="6" t="s">
        <v>971</v>
      </c>
      <c r="AE29" s="9" t="s">
        <v>993</v>
      </c>
      <c r="AF29" s="8" t="s">
        <v>359</v>
      </c>
      <c r="AG29" s="6" t="s">
        <v>969</v>
      </c>
      <c r="AH29" s="6"/>
      <c r="AI29" s="6" t="s">
        <v>936</v>
      </c>
      <c r="AJ29" s="6" t="s">
        <v>936</v>
      </c>
      <c r="AK29" s="6"/>
      <c r="AL29" s="8"/>
      <c r="AM29" s="9"/>
      <c r="AN29" s="9"/>
      <c r="AO29" s="6" t="s">
        <v>787</v>
      </c>
      <c r="AP29" s="6" t="s">
        <v>788</v>
      </c>
      <c r="AQ29" s="6" t="s">
        <v>789</v>
      </c>
      <c r="AR29" s="6" t="s">
        <v>790</v>
      </c>
      <c r="AS29" s="9" t="s">
        <v>794</v>
      </c>
      <c r="AT29" s="6" t="s">
        <v>1207</v>
      </c>
      <c r="AU29" s="9" t="s">
        <v>796</v>
      </c>
      <c r="AV29" s="6" t="s">
        <v>1208</v>
      </c>
      <c r="AW29" s="6" t="s">
        <v>1209</v>
      </c>
      <c r="AX29" s="6"/>
      <c r="AY29" s="6"/>
      <c r="AZ29" s="7">
        <f t="shared" ref="AZ29:AZ34" si="0">TINV(BA29,BB29)</f>
        <v>2.1883511439617824</v>
      </c>
      <c r="BA29" s="6">
        <v>0.03</v>
      </c>
      <c r="BB29" s="6">
        <v>171</v>
      </c>
      <c r="BC29" s="6"/>
      <c r="BD29" s="6"/>
      <c r="BE29" s="6"/>
      <c r="BF29" s="6"/>
      <c r="BG29" s="6"/>
      <c r="BH29" s="6"/>
      <c r="BI29" s="6"/>
      <c r="BJ29" s="6"/>
      <c r="BK29" s="6"/>
      <c r="BL29" s="6"/>
      <c r="BM29" s="6"/>
      <c r="BN29" s="6"/>
      <c r="BO29" s="6"/>
      <c r="BP29" s="6"/>
      <c r="BQ29" s="6"/>
      <c r="BR29" s="6"/>
      <c r="BS29" s="6"/>
      <c r="BT29" s="6"/>
      <c r="BU29" s="16">
        <f t="shared" ref="BU29:BU34" si="1">(AZ29*2)/(SQRT(BB29))</f>
        <v>0.33469478910565043</v>
      </c>
      <c r="BV29" s="6" t="s">
        <v>965</v>
      </c>
      <c r="BW29" s="6"/>
      <c r="BX29" s="6"/>
      <c r="BY29" s="6"/>
      <c r="BZ29" s="6"/>
      <c r="CA29" s="6"/>
      <c r="CB29" s="6"/>
      <c r="CC29" s="6"/>
      <c r="CD29" s="6"/>
      <c r="CE29" s="6"/>
      <c r="CF29" s="6"/>
      <c r="CG29" s="6"/>
      <c r="CH29" s="6"/>
      <c r="CI29" s="6"/>
      <c r="CJ29" s="6"/>
      <c r="CK29" s="6"/>
      <c r="CL29" s="6"/>
      <c r="CM29" s="6"/>
      <c r="CN29" s="6"/>
      <c r="CO29" s="6"/>
      <c r="CP29" s="6"/>
      <c r="CQ29" s="6"/>
      <c r="CR29" s="6"/>
      <c r="CS29" s="6"/>
      <c r="CT29" s="6"/>
      <c r="CU29" s="6"/>
    </row>
    <row r="30" spans="1:99" ht="138.75" customHeight="1" x14ac:dyDescent="0.2">
      <c r="A30" s="3">
        <v>3</v>
      </c>
      <c r="B30" s="7"/>
      <c r="C30" s="7"/>
      <c r="D30" s="7"/>
      <c r="E30" s="7"/>
      <c r="F30" s="7"/>
      <c r="G30" s="7"/>
      <c r="H30" s="7"/>
      <c r="I30" s="7"/>
      <c r="J30" s="7"/>
      <c r="K30" s="7"/>
      <c r="L30" s="7"/>
      <c r="M30" s="7"/>
      <c r="N30" s="7"/>
      <c r="O30" s="7"/>
      <c r="P30" s="7"/>
      <c r="Q30" s="7"/>
      <c r="R30" s="7"/>
      <c r="S30" s="11"/>
      <c r="T30" s="7"/>
      <c r="U30" s="7"/>
      <c r="V30" s="7"/>
      <c r="W30" s="7"/>
      <c r="X30" s="6"/>
      <c r="Y30" s="6"/>
      <c r="Z30" s="6"/>
      <c r="AA30" s="6"/>
      <c r="AB30" s="6"/>
      <c r="AC30" s="6"/>
      <c r="AD30" s="6"/>
      <c r="AE30" s="9"/>
      <c r="AF30" s="8"/>
      <c r="AG30" s="6"/>
      <c r="AH30" s="6"/>
      <c r="AI30" s="6"/>
      <c r="AJ30" s="6"/>
      <c r="AK30" s="6"/>
      <c r="AL30" s="6"/>
      <c r="AM30" s="9"/>
      <c r="AN30" s="9"/>
      <c r="AO30" s="6"/>
      <c r="AP30" s="6"/>
      <c r="AQ30" s="6"/>
      <c r="AR30" s="6"/>
      <c r="AS30" s="9"/>
      <c r="AT30" s="6"/>
      <c r="AU30" s="9"/>
      <c r="AV30" s="6"/>
      <c r="AW30" s="6"/>
      <c r="AX30" s="6"/>
      <c r="AY30" s="6"/>
      <c r="AZ30" s="7">
        <f t="shared" si="0"/>
        <v>3.3483301794987721</v>
      </c>
      <c r="BA30" s="6">
        <v>1E-3</v>
      </c>
      <c r="BB30" s="6">
        <v>171</v>
      </c>
      <c r="BC30" s="6"/>
      <c r="BD30" s="6"/>
      <c r="BE30" s="6"/>
      <c r="BF30" s="6"/>
      <c r="BG30" s="6"/>
      <c r="BH30" s="6"/>
      <c r="BI30" s="6"/>
      <c r="BJ30" s="6"/>
      <c r="BK30" s="6"/>
      <c r="BL30" s="6"/>
      <c r="BM30" s="6"/>
      <c r="BN30" s="6"/>
      <c r="BO30" s="6"/>
      <c r="BP30" s="6"/>
      <c r="BQ30" s="6"/>
      <c r="BR30" s="6"/>
      <c r="BS30" s="6"/>
      <c r="BT30" s="6"/>
      <c r="BU30" s="16">
        <f t="shared" si="1"/>
        <v>0.51210641691377368</v>
      </c>
      <c r="BV30" s="6" t="s">
        <v>966</v>
      </c>
      <c r="BW30" s="6"/>
      <c r="BX30" s="6"/>
      <c r="BY30" s="6"/>
      <c r="BZ30" s="6"/>
      <c r="CA30" s="6"/>
      <c r="CB30" s="6"/>
      <c r="CC30" s="6"/>
      <c r="CD30" s="6"/>
      <c r="CE30" s="6"/>
      <c r="CF30" s="6"/>
      <c r="CG30" s="6"/>
      <c r="CH30" s="6"/>
      <c r="CI30" s="6"/>
      <c r="CJ30" s="6"/>
      <c r="CK30" s="6"/>
      <c r="CL30" s="6"/>
      <c r="CM30" s="6"/>
      <c r="CN30" s="6"/>
      <c r="CO30" s="6"/>
      <c r="CP30" s="6"/>
      <c r="CQ30" s="6"/>
      <c r="CR30" s="6"/>
      <c r="CS30" s="6"/>
      <c r="CT30" s="6"/>
      <c r="CU30" s="6"/>
    </row>
    <row r="31" spans="1:99" ht="138.75" customHeight="1" x14ac:dyDescent="0.2">
      <c r="A31" s="3">
        <v>3</v>
      </c>
      <c r="B31" s="7"/>
      <c r="C31" s="7"/>
      <c r="D31" s="7"/>
      <c r="E31" s="7"/>
      <c r="F31" s="7"/>
      <c r="G31" s="7"/>
      <c r="H31" s="7"/>
      <c r="I31" s="7"/>
      <c r="J31" s="7"/>
      <c r="K31" s="7"/>
      <c r="L31" s="7"/>
      <c r="M31" s="7"/>
      <c r="N31" s="7"/>
      <c r="O31" s="7"/>
      <c r="P31" s="7"/>
      <c r="Q31" s="7"/>
      <c r="R31" s="7"/>
      <c r="S31" s="11"/>
      <c r="T31" s="7"/>
      <c r="U31" s="7"/>
      <c r="V31" s="7"/>
      <c r="W31" s="7"/>
      <c r="X31" s="6"/>
      <c r="Y31" s="6"/>
      <c r="Z31" s="6"/>
      <c r="AA31" s="6"/>
      <c r="AB31" s="6"/>
      <c r="AC31" s="6"/>
      <c r="AD31" s="6"/>
      <c r="AE31" s="9"/>
      <c r="AF31" s="8"/>
      <c r="AG31" s="6"/>
      <c r="AH31" s="6"/>
      <c r="AI31" s="6"/>
      <c r="AJ31" s="6"/>
      <c r="AK31" s="6"/>
      <c r="AL31" s="6"/>
      <c r="AM31" s="9"/>
      <c r="AN31" s="9"/>
      <c r="AO31" s="6"/>
      <c r="AP31" s="6"/>
      <c r="AQ31" s="6"/>
      <c r="AR31" s="6"/>
      <c r="AS31" s="9"/>
      <c r="AT31" s="6"/>
      <c r="AU31" s="9"/>
      <c r="AV31" s="6"/>
      <c r="AW31" s="6"/>
      <c r="AX31" s="6"/>
      <c r="AY31" s="6"/>
      <c r="AZ31" s="7">
        <f t="shared" si="0"/>
        <v>3.3483301794987721</v>
      </c>
      <c r="BA31" s="6">
        <v>1E-3</v>
      </c>
      <c r="BB31" s="6">
        <v>171</v>
      </c>
      <c r="BC31" s="6"/>
      <c r="BD31" s="6"/>
      <c r="BE31" s="6"/>
      <c r="BF31" s="6"/>
      <c r="BG31" s="6"/>
      <c r="BH31" s="6"/>
      <c r="BI31" s="6"/>
      <c r="BJ31" s="6"/>
      <c r="BK31" s="6"/>
      <c r="BL31" s="6"/>
      <c r="BM31" s="6"/>
      <c r="BN31" s="6"/>
      <c r="BO31" s="6"/>
      <c r="BP31" s="6"/>
      <c r="BQ31" s="6"/>
      <c r="BR31" s="6"/>
      <c r="BS31" s="6"/>
      <c r="BT31" s="6"/>
      <c r="BU31" s="12">
        <f t="shared" si="1"/>
        <v>0.51210641691377368</v>
      </c>
      <c r="BV31" s="18" t="s">
        <v>967</v>
      </c>
      <c r="BW31" s="6"/>
      <c r="BX31" s="6"/>
      <c r="BY31" s="6"/>
      <c r="BZ31" s="6"/>
      <c r="CA31" s="6"/>
      <c r="CB31" s="6"/>
      <c r="CC31" s="6"/>
      <c r="CD31" s="6"/>
      <c r="CE31" s="6"/>
      <c r="CF31" s="6"/>
      <c r="CG31" s="6"/>
      <c r="CH31" s="6"/>
      <c r="CI31" s="6"/>
      <c r="CJ31" s="6"/>
      <c r="CK31" s="6"/>
      <c r="CL31" s="6"/>
      <c r="CM31" s="6"/>
      <c r="CN31" s="6"/>
      <c r="CO31" s="6"/>
      <c r="CP31" s="6"/>
      <c r="CQ31" s="6"/>
      <c r="CR31" s="6"/>
      <c r="CS31" s="6"/>
      <c r="CT31" s="6"/>
      <c r="CU31" s="6"/>
    </row>
    <row r="32" spans="1:99" ht="150" x14ac:dyDescent="0.2">
      <c r="A32" s="3">
        <v>4</v>
      </c>
      <c r="B32" s="5">
        <v>52</v>
      </c>
      <c r="C32" s="7" t="s">
        <v>1</v>
      </c>
      <c r="D32" s="7" t="s">
        <v>1</v>
      </c>
      <c r="E32" s="7" t="str">
        <f>C32&amp;D32</f>
        <v>OO</v>
      </c>
      <c r="F32" s="7" t="s">
        <v>1</v>
      </c>
      <c r="G32" s="7" t="s">
        <v>12</v>
      </c>
      <c r="H32" s="7"/>
      <c r="I32" s="7" t="s">
        <v>13</v>
      </c>
      <c r="J32" s="7" t="s">
        <v>14</v>
      </c>
      <c r="K32" s="7">
        <v>2</v>
      </c>
      <c r="L32" s="7" t="str">
        <f>K32&amp;F32</f>
        <v>2O</v>
      </c>
      <c r="M32" s="7">
        <v>78</v>
      </c>
      <c r="N32" s="7">
        <v>12</v>
      </c>
      <c r="O32" s="7">
        <v>840</v>
      </c>
      <c r="P32" s="7">
        <v>847</v>
      </c>
      <c r="Q32" s="7" t="s">
        <v>15</v>
      </c>
      <c r="R32" s="7">
        <v>2015</v>
      </c>
      <c r="S32" s="11"/>
      <c r="T32" s="7" t="s">
        <v>799</v>
      </c>
      <c r="U32" s="7" t="s">
        <v>800</v>
      </c>
      <c r="V32" s="7" t="s">
        <v>359</v>
      </c>
      <c r="W32" s="7" t="s">
        <v>1414</v>
      </c>
      <c r="X32" s="6"/>
      <c r="Y32" s="6" t="s">
        <v>356</v>
      </c>
      <c r="Z32" s="6" t="s">
        <v>357</v>
      </c>
      <c r="AA32" s="6" t="s">
        <v>358</v>
      </c>
      <c r="AB32" s="14" t="s">
        <v>972</v>
      </c>
      <c r="AC32" s="6"/>
      <c r="AD32" s="6" t="s">
        <v>973</v>
      </c>
      <c r="AE32" s="9" t="s">
        <v>991</v>
      </c>
      <c r="AF32" s="8"/>
      <c r="AG32" s="6" t="s">
        <v>974</v>
      </c>
      <c r="AH32" s="6"/>
      <c r="AI32" s="6" t="s">
        <v>936</v>
      </c>
      <c r="AJ32" s="6" t="s">
        <v>936</v>
      </c>
      <c r="AK32" s="6"/>
      <c r="AL32" s="8"/>
      <c r="AM32" s="9" t="s">
        <v>1411</v>
      </c>
      <c r="AN32" s="9"/>
      <c r="AO32" s="7" t="s">
        <v>801</v>
      </c>
      <c r="AP32" s="7" t="s">
        <v>414</v>
      </c>
      <c r="AQ32" s="7" t="s">
        <v>415</v>
      </c>
      <c r="AR32" s="7" t="s">
        <v>416</v>
      </c>
      <c r="AS32" s="7" t="s">
        <v>1210</v>
      </c>
      <c r="AT32" s="7" t="s">
        <v>1211</v>
      </c>
      <c r="AU32" s="6"/>
      <c r="AV32" s="6"/>
      <c r="AW32" s="6"/>
      <c r="AX32" s="6"/>
      <c r="AY32" s="6"/>
      <c r="AZ32" s="7">
        <f t="shared" si="0"/>
        <v>2.14781179410548</v>
      </c>
      <c r="BA32" s="6">
        <v>3.7999999999999999E-2</v>
      </c>
      <c r="BB32" s="6">
        <v>39</v>
      </c>
      <c r="BC32" s="6"/>
      <c r="BD32" s="6"/>
      <c r="BE32" s="6"/>
      <c r="BF32" s="6"/>
      <c r="BG32" s="6"/>
      <c r="BH32" s="6"/>
      <c r="BI32" s="6"/>
      <c r="BJ32" s="6"/>
      <c r="BK32" s="6"/>
      <c r="BL32" s="6"/>
      <c r="BM32" s="6"/>
      <c r="BN32" s="6"/>
      <c r="BO32" s="6"/>
      <c r="BP32" s="6"/>
      <c r="BQ32" s="6"/>
      <c r="BR32" s="6"/>
      <c r="BS32" s="6"/>
      <c r="BT32" s="6"/>
      <c r="BU32" s="16">
        <f t="shared" si="1"/>
        <v>0.68785027462180481</v>
      </c>
      <c r="BV32" s="17"/>
      <c r="BW32" s="6"/>
      <c r="BX32" s="6"/>
      <c r="BY32" s="6"/>
      <c r="BZ32" s="6"/>
      <c r="CA32" s="6"/>
      <c r="CB32" s="6"/>
      <c r="CC32" s="6"/>
      <c r="CD32" s="6"/>
      <c r="CE32" s="6"/>
      <c r="CF32" s="6"/>
      <c r="CG32" s="6"/>
      <c r="CH32" s="6"/>
      <c r="CI32" s="6"/>
      <c r="CJ32" s="6"/>
      <c r="CK32" s="6"/>
      <c r="CL32" s="6"/>
      <c r="CM32" s="6"/>
      <c r="CN32" s="6"/>
      <c r="CO32" s="6"/>
      <c r="CP32" s="6"/>
      <c r="CQ32" s="6"/>
      <c r="CR32" s="6"/>
      <c r="CS32" s="6"/>
      <c r="CT32" s="6"/>
      <c r="CU32" s="6"/>
    </row>
    <row r="33" spans="1:99" ht="15" x14ac:dyDescent="0.2">
      <c r="A33" s="3">
        <v>4</v>
      </c>
      <c r="B33" s="5"/>
      <c r="C33" s="7"/>
      <c r="D33" s="7"/>
      <c r="E33" s="7"/>
      <c r="F33" s="7"/>
      <c r="G33" s="7"/>
      <c r="H33" s="7"/>
      <c r="I33" s="7"/>
      <c r="J33" s="7"/>
      <c r="K33" s="7"/>
      <c r="L33" s="7"/>
      <c r="M33" s="7"/>
      <c r="N33" s="7"/>
      <c r="O33" s="7"/>
      <c r="P33" s="7"/>
      <c r="Q33" s="7"/>
      <c r="R33" s="7"/>
      <c r="S33" s="11"/>
      <c r="T33" s="7"/>
      <c r="U33" s="7"/>
      <c r="V33" s="7"/>
      <c r="W33" s="7"/>
      <c r="X33" s="6"/>
      <c r="Y33" s="6"/>
      <c r="Z33" s="6"/>
      <c r="AA33" s="6"/>
      <c r="AB33" s="6"/>
      <c r="AC33" s="6"/>
      <c r="AD33" s="6"/>
      <c r="AE33" s="9"/>
      <c r="AF33" s="8"/>
      <c r="AG33" s="6"/>
      <c r="AH33" s="6"/>
      <c r="AI33" s="6"/>
      <c r="AJ33" s="6"/>
      <c r="AK33" s="6"/>
      <c r="AL33" s="8"/>
      <c r="AM33" s="9"/>
      <c r="AN33" s="9"/>
      <c r="AO33" s="7"/>
      <c r="AP33" s="7"/>
      <c r="AQ33" s="7"/>
      <c r="AR33" s="7"/>
      <c r="AS33" s="7"/>
      <c r="AT33" s="7"/>
      <c r="AU33" s="6"/>
      <c r="AV33" s="6"/>
      <c r="AW33" s="6"/>
      <c r="AX33" s="6"/>
      <c r="AY33" s="6"/>
      <c r="AZ33" s="7">
        <f t="shared" si="0"/>
        <v>2.1363920194667276</v>
      </c>
      <c r="BA33" s="6">
        <v>3.5999999999999997E-2</v>
      </c>
      <c r="BB33" s="6">
        <v>73</v>
      </c>
      <c r="BC33" s="6"/>
      <c r="BD33" s="6"/>
      <c r="BE33" s="6"/>
      <c r="BF33" s="6"/>
      <c r="BG33" s="6"/>
      <c r="BH33" s="6"/>
      <c r="BI33" s="6"/>
      <c r="BJ33" s="6"/>
      <c r="BK33" s="6"/>
      <c r="BL33" s="6"/>
      <c r="BM33" s="6"/>
      <c r="BN33" s="6"/>
      <c r="BO33" s="6"/>
      <c r="BP33" s="6"/>
      <c r="BQ33" s="6"/>
      <c r="BR33" s="6"/>
      <c r="BS33" s="6"/>
      <c r="BT33" s="6"/>
      <c r="BU33" s="16">
        <f t="shared" si="1"/>
        <v>0.50009154563808789</v>
      </c>
      <c r="BV33" s="17"/>
      <c r="BW33" s="6"/>
      <c r="BX33" s="6"/>
      <c r="BY33" s="6"/>
      <c r="BZ33" s="6"/>
      <c r="CA33" s="6"/>
      <c r="CB33" s="6"/>
      <c r="CC33" s="6"/>
      <c r="CD33" s="6"/>
      <c r="CE33" s="6"/>
      <c r="CF33" s="6"/>
      <c r="CG33" s="6"/>
      <c r="CH33" s="6"/>
      <c r="CI33" s="6"/>
      <c r="CJ33" s="6"/>
      <c r="CK33" s="6"/>
      <c r="CL33" s="6"/>
      <c r="CM33" s="6"/>
      <c r="CN33" s="6"/>
      <c r="CO33" s="6"/>
      <c r="CP33" s="6"/>
      <c r="CQ33" s="6"/>
      <c r="CR33" s="6"/>
      <c r="CS33" s="6"/>
      <c r="CT33" s="6"/>
      <c r="CU33" s="6"/>
    </row>
    <row r="34" spans="1:99" ht="30" x14ac:dyDescent="0.2">
      <c r="A34" s="3">
        <v>4</v>
      </c>
      <c r="B34" s="5"/>
      <c r="C34" s="7"/>
      <c r="D34" s="7"/>
      <c r="E34" s="7"/>
      <c r="F34" s="7"/>
      <c r="G34" s="7"/>
      <c r="H34" s="7"/>
      <c r="I34" s="7"/>
      <c r="J34" s="7"/>
      <c r="K34" s="7"/>
      <c r="L34" s="7"/>
      <c r="M34" s="7"/>
      <c r="N34" s="7"/>
      <c r="O34" s="7"/>
      <c r="P34" s="7"/>
      <c r="Q34" s="7"/>
      <c r="R34" s="7"/>
      <c r="S34" s="11"/>
      <c r="T34" s="7"/>
      <c r="U34" s="7"/>
      <c r="V34" s="7"/>
      <c r="W34" s="7"/>
      <c r="X34" s="6"/>
      <c r="Y34" s="6"/>
      <c r="Z34" s="6"/>
      <c r="AA34" s="6"/>
      <c r="AB34" s="6"/>
      <c r="AC34" s="6"/>
      <c r="AD34" s="6"/>
      <c r="AE34" s="9"/>
      <c r="AF34" s="8"/>
      <c r="AG34" s="6"/>
      <c r="AH34" s="6"/>
      <c r="AI34" s="6"/>
      <c r="AJ34" s="6"/>
      <c r="AK34" s="6"/>
      <c r="AL34" s="8"/>
      <c r="AM34" s="9"/>
      <c r="AN34" s="9"/>
      <c r="AO34" s="7" t="s">
        <v>802</v>
      </c>
      <c r="AP34" s="7" t="s">
        <v>417</v>
      </c>
      <c r="AQ34" s="7" t="s">
        <v>418</v>
      </c>
      <c r="AR34" s="7" t="s">
        <v>419</v>
      </c>
      <c r="AS34" s="7" t="s">
        <v>1412</v>
      </c>
      <c r="AT34" s="7" t="s">
        <v>420</v>
      </c>
      <c r="AU34" s="6"/>
      <c r="AV34" s="6"/>
      <c r="AW34" s="6"/>
      <c r="AX34" s="6"/>
      <c r="AY34" s="6"/>
      <c r="AZ34" s="7">
        <f t="shared" si="0"/>
        <v>3.7453986192900528</v>
      </c>
      <c r="BA34" s="8">
        <v>1E-3</v>
      </c>
      <c r="BB34" s="6">
        <v>24</v>
      </c>
      <c r="BC34" s="6"/>
      <c r="BD34" s="6"/>
      <c r="BE34" s="6"/>
      <c r="BF34" s="6"/>
      <c r="BG34" s="6"/>
      <c r="BH34" s="6"/>
      <c r="BI34" s="6"/>
      <c r="BJ34" s="6"/>
      <c r="BK34" s="6"/>
      <c r="BL34" s="6"/>
      <c r="BM34" s="6"/>
      <c r="BN34" s="6"/>
      <c r="BO34" s="6"/>
      <c r="BP34" s="6"/>
      <c r="BQ34" s="6"/>
      <c r="BR34" s="6"/>
      <c r="BS34" s="6"/>
      <c r="BT34" s="6"/>
      <c r="BU34" s="19">
        <f t="shared" si="1"/>
        <v>1.529052583430877</v>
      </c>
      <c r="BV34" s="17"/>
      <c r="BW34" s="6"/>
      <c r="BX34" s="6"/>
      <c r="BY34" s="6"/>
      <c r="BZ34" s="6"/>
      <c r="CA34" s="6"/>
      <c r="CB34" s="6"/>
      <c r="CC34" s="6"/>
      <c r="CD34" s="6"/>
      <c r="CE34" s="6"/>
      <c r="CF34" s="6"/>
      <c r="CG34" s="6"/>
      <c r="CH34" s="6"/>
      <c r="CI34" s="6"/>
      <c r="CJ34" s="6"/>
      <c r="CK34" s="6"/>
      <c r="CL34" s="6"/>
      <c r="CM34" s="6"/>
      <c r="CN34" s="6"/>
      <c r="CO34" s="6"/>
      <c r="CP34" s="6"/>
      <c r="CQ34" s="6"/>
      <c r="CR34" s="6"/>
      <c r="CS34" s="6"/>
      <c r="CT34" s="6"/>
      <c r="CU34" s="6"/>
    </row>
    <row r="35" spans="1:99" ht="105" x14ac:dyDescent="0.2">
      <c r="A35" s="3">
        <v>5</v>
      </c>
      <c r="B35" s="11">
        <v>66</v>
      </c>
      <c r="C35" s="5" t="s">
        <v>16</v>
      </c>
      <c r="D35" s="5" t="s">
        <v>1</v>
      </c>
      <c r="E35" s="5" t="str">
        <f>C35&amp;D35</f>
        <v>XO</v>
      </c>
      <c r="F35" s="5" t="s">
        <v>1</v>
      </c>
      <c r="G35" s="5" t="s">
        <v>1212</v>
      </c>
      <c r="H35" s="5" t="s">
        <v>18</v>
      </c>
      <c r="I35" s="5" t="s">
        <v>19</v>
      </c>
      <c r="J35" s="5" t="s">
        <v>20</v>
      </c>
      <c r="K35" s="5">
        <v>7</v>
      </c>
      <c r="L35" s="5" t="str">
        <f>K35&amp;F35</f>
        <v>7O</v>
      </c>
      <c r="M35" s="5">
        <v>20</v>
      </c>
      <c r="N35" s="5">
        <v>11</v>
      </c>
      <c r="O35" s="5">
        <v>1467</v>
      </c>
      <c r="P35" s="5">
        <v>1478</v>
      </c>
      <c r="Q35" s="5" t="s">
        <v>21</v>
      </c>
      <c r="R35" s="5">
        <v>2015</v>
      </c>
      <c r="S35" s="19" t="s">
        <v>803</v>
      </c>
      <c r="T35" s="5"/>
      <c r="U35" s="5" t="s">
        <v>1417</v>
      </c>
      <c r="V35" s="5" t="s">
        <v>359</v>
      </c>
      <c r="W35" s="5"/>
      <c r="X35" s="5"/>
      <c r="Y35" s="5"/>
      <c r="Z35" s="5"/>
      <c r="AA35" s="5"/>
      <c r="AB35" s="5"/>
      <c r="AC35" s="5"/>
      <c r="AD35" s="5"/>
      <c r="AE35" s="5"/>
      <c r="AF35" s="11"/>
      <c r="AG35" s="5"/>
      <c r="AH35" s="5"/>
      <c r="AI35" s="5"/>
      <c r="AJ35" s="5"/>
      <c r="AK35" s="5"/>
      <c r="AL35" s="5"/>
      <c r="AM35" s="5" t="s">
        <v>1418</v>
      </c>
      <c r="AN35" s="5" t="s">
        <v>1849</v>
      </c>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7"/>
      <c r="CM35" s="7"/>
      <c r="CN35" s="7"/>
      <c r="CO35" s="7"/>
      <c r="CP35" s="7"/>
      <c r="CQ35" s="7"/>
      <c r="CR35" s="7"/>
      <c r="CS35" s="7"/>
      <c r="CT35" s="7"/>
      <c r="CU35" s="7"/>
    </row>
    <row r="36" spans="1:99" ht="128.25" customHeight="1" x14ac:dyDescent="0.2">
      <c r="A36" s="3">
        <v>6</v>
      </c>
      <c r="B36" s="5">
        <v>69</v>
      </c>
      <c r="C36" s="7" t="s">
        <v>1</v>
      </c>
      <c r="D36" s="7" t="s">
        <v>1</v>
      </c>
      <c r="E36" s="7" t="str">
        <f>C36&amp;D36</f>
        <v>OO</v>
      </c>
      <c r="F36" s="7" t="s">
        <v>1</v>
      </c>
      <c r="G36" s="7" t="s">
        <v>22</v>
      </c>
      <c r="H36" s="7"/>
      <c r="I36" s="7" t="s">
        <v>23</v>
      </c>
      <c r="J36" s="7" t="s">
        <v>24</v>
      </c>
      <c r="K36" s="7">
        <v>2</v>
      </c>
      <c r="L36" s="7" t="str">
        <f>K36&amp;F36</f>
        <v>2O</v>
      </c>
      <c r="M36" s="7">
        <v>78</v>
      </c>
      <c r="N36" s="7">
        <v>8</v>
      </c>
      <c r="O36" s="7">
        <v>582</v>
      </c>
      <c r="P36" s="7">
        <v>589</v>
      </c>
      <c r="Q36" s="7" t="s">
        <v>25</v>
      </c>
      <c r="R36" s="7">
        <v>2015</v>
      </c>
      <c r="S36" s="11"/>
      <c r="T36" s="7" t="s">
        <v>804</v>
      </c>
      <c r="U36" s="7" t="s">
        <v>805</v>
      </c>
      <c r="V36" s="7" t="s">
        <v>359</v>
      </c>
      <c r="W36" s="7" t="s">
        <v>806</v>
      </c>
      <c r="X36" s="7"/>
      <c r="Y36" s="11" t="s">
        <v>421</v>
      </c>
      <c r="Z36" s="11" t="s">
        <v>421</v>
      </c>
      <c r="AA36" s="11"/>
      <c r="AB36" s="11"/>
      <c r="AC36" s="11"/>
      <c r="AD36" s="11"/>
      <c r="AE36" s="11"/>
      <c r="AF36" s="11"/>
      <c r="AG36" s="11" t="s">
        <v>1189</v>
      </c>
      <c r="AH36" s="11"/>
      <c r="AI36" s="11"/>
      <c r="AJ36" s="11"/>
      <c r="AK36" s="11"/>
      <c r="AL36" s="11" t="s">
        <v>1188</v>
      </c>
      <c r="AM36" s="7" t="s">
        <v>809</v>
      </c>
      <c r="AN36" s="5" t="s">
        <v>529</v>
      </c>
      <c r="AO36" s="7" t="s">
        <v>807</v>
      </c>
      <c r="AP36" s="7" t="s">
        <v>422</v>
      </c>
      <c r="AQ36" s="7" t="s">
        <v>423</v>
      </c>
      <c r="AR36" s="7" t="s">
        <v>424</v>
      </c>
      <c r="AS36" s="7" t="s">
        <v>1213</v>
      </c>
      <c r="AT36" s="7" t="s">
        <v>810</v>
      </c>
      <c r="AU36" s="7" t="s">
        <v>1214</v>
      </c>
      <c r="AV36" s="7"/>
      <c r="AW36" s="7"/>
      <c r="AX36" s="7"/>
      <c r="AY36" s="7"/>
      <c r="AZ36" s="5">
        <f t="shared" ref="AZ36:AZ37" si="2">TINV(BA36,BB36)</f>
        <v>3.3915288333636497</v>
      </c>
      <c r="BA36" s="8">
        <v>1E-3</v>
      </c>
      <c r="BB36" s="9">
        <v>99</v>
      </c>
      <c r="BC36" s="9"/>
      <c r="BD36" s="9"/>
      <c r="BE36" s="9"/>
      <c r="BF36" s="9"/>
      <c r="BG36" s="9"/>
      <c r="BH36" s="9"/>
      <c r="BI36" s="9"/>
      <c r="BJ36" s="9"/>
      <c r="BK36" s="9"/>
      <c r="BL36" s="9"/>
      <c r="BM36" s="9"/>
      <c r="BN36" s="9"/>
      <c r="BO36" s="9"/>
      <c r="BP36" s="9"/>
      <c r="BQ36" s="9"/>
      <c r="BR36" s="9"/>
      <c r="BS36" s="9"/>
      <c r="BT36" s="9"/>
      <c r="BU36" s="20">
        <f t="shared" ref="BU36:BU37" si="3">(AZ36*2)/(SQRT(BB36))</f>
        <v>0.68172294581448534</v>
      </c>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row>
    <row r="37" spans="1:99" ht="135" x14ac:dyDescent="0.2">
      <c r="A37" s="3">
        <v>6</v>
      </c>
      <c r="B37" s="5"/>
      <c r="C37" s="7"/>
      <c r="D37" s="7"/>
      <c r="E37" s="7"/>
      <c r="F37" s="7"/>
      <c r="G37" s="7"/>
      <c r="H37" s="7"/>
      <c r="I37" s="7"/>
      <c r="J37" s="7"/>
      <c r="K37" s="7"/>
      <c r="L37" s="7"/>
      <c r="M37" s="7"/>
      <c r="N37" s="7"/>
      <c r="O37" s="7"/>
      <c r="P37" s="7"/>
      <c r="Q37" s="7"/>
      <c r="R37" s="7"/>
      <c r="S37" s="11"/>
      <c r="T37" s="7"/>
      <c r="U37" s="7"/>
      <c r="V37" s="7"/>
      <c r="W37" s="7"/>
      <c r="X37" s="7"/>
      <c r="Y37" s="11"/>
      <c r="Z37" s="11"/>
      <c r="AA37" s="11"/>
      <c r="AB37" s="11"/>
      <c r="AC37" s="11"/>
      <c r="AD37" s="11"/>
      <c r="AE37" s="11"/>
      <c r="AF37" s="11"/>
      <c r="AG37" s="11"/>
      <c r="AH37" s="11"/>
      <c r="AI37" s="11"/>
      <c r="AJ37" s="11"/>
      <c r="AK37" s="11"/>
      <c r="AL37" s="11"/>
      <c r="AM37" s="7"/>
      <c r="AN37" s="5"/>
      <c r="AO37" s="7" t="s">
        <v>808</v>
      </c>
      <c r="AP37" s="7" t="s">
        <v>425</v>
      </c>
      <c r="AQ37" s="7" t="s">
        <v>426</v>
      </c>
      <c r="AR37" s="7" t="s">
        <v>427</v>
      </c>
      <c r="AS37" s="7"/>
      <c r="AT37" s="7" t="s">
        <v>1215</v>
      </c>
      <c r="AU37" s="7" t="s">
        <v>1216</v>
      </c>
      <c r="AV37" s="7"/>
      <c r="AW37" s="7"/>
      <c r="AX37" s="7"/>
      <c r="AY37" s="7"/>
      <c r="AZ37" s="5">
        <f t="shared" si="2"/>
        <v>3.2125985633409102</v>
      </c>
      <c r="BA37" s="9">
        <v>2E-3</v>
      </c>
      <c r="BB37" s="9">
        <v>69</v>
      </c>
      <c r="BC37" s="9"/>
      <c r="BD37" s="9"/>
      <c r="BE37" s="9"/>
      <c r="BF37" s="9"/>
      <c r="BG37" s="9"/>
      <c r="BH37" s="9"/>
      <c r="BI37" s="9"/>
      <c r="BJ37" s="9"/>
      <c r="BK37" s="9"/>
      <c r="BL37" s="9"/>
      <c r="BM37" s="9"/>
      <c r="BN37" s="9"/>
      <c r="BO37" s="9"/>
      <c r="BP37" s="9"/>
      <c r="BQ37" s="9"/>
      <c r="BR37" s="9"/>
      <c r="BS37" s="9"/>
      <c r="BT37" s="9"/>
      <c r="BU37" s="20">
        <f t="shared" si="3"/>
        <v>0.77350283733982406</v>
      </c>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row>
    <row r="38" spans="1:99" ht="330" x14ac:dyDescent="0.2">
      <c r="A38" s="3">
        <v>7</v>
      </c>
      <c r="B38" s="11">
        <v>71</v>
      </c>
      <c r="C38" s="5" t="s">
        <v>0</v>
      </c>
      <c r="D38" s="5" t="s">
        <v>1</v>
      </c>
      <c r="E38" s="5" t="str">
        <f>C38&amp;D38</f>
        <v>NO</v>
      </c>
      <c r="F38" s="5" t="s">
        <v>1</v>
      </c>
      <c r="G38" s="5"/>
      <c r="H38" s="5"/>
      <c r="I38" s="5" t="s">
        <v>26</v>
      </c>
      <c r="J38" s="5" t="s">
        <v>27</v>
      </c>
      <c r="K38" s="5">
        <v>11</v>
      </c>
      <c r="L38" s="5" t="str">
        <f>K38&amp;F38</f>
        <v>11O</v>
      </c>
      <c r="M38" s="5">
        <v>156</v>
      </c>
      <c r="N38" s="5">
        <v>10</v>
      </c>
      <c r="O38" s="5">
        <v>2072</v>
      </c>
      <c r="P38" s="5">
        <v>2083</v>
      </c>
      <c r="Q38" s="5" t="s">
        <v>28</v>
      </c>
      <c r="R38" s="5">
        <v>2015</v>
      </c>
      <c r="S38" s="19" t="s">
        <v>811</v>
      </c>
      <c r="T38" s="5" t="s">
        <v>813</v>
      </c>
      <c r="U38" s="5" t="s">
        <v>814</v>
      </c>
      <c r="V38" s="5"/>
      <c r="W38" s="5"/>
      <c r="X38" s="5"/>
      <c r="Y38" s="5" t="s">
        <v>812</v>
      </c>
      <c r="Z38" s="5"/>
      <c r="AA38" s="5"/>
      <c r="AB38" s="5"/>
      <c r="AC38" s="5"/>
      <c r="AD38" s="5"/>
      <c r="AE38" s="5"/>
      <c r="AF38" s="11"/>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7"/>
      <c r="CM38" s="7"/>
      <c r="CN38" s="7"/>
      <c r="CO38" s="7"/>
      <c r="CP38" s="7"/>
      <c r="CQ38" s="7"/>
      <c r="CR38" s="7"/>
      <c r="CS38" s="7"/>
      <c r="CT38" s="7"/>
      <c r="CU38" s="7"/>
    </row>
    <row r="39" spans="1:99" ht="128.25" customHeight="1" x14ac:dyDescent="0.2">
      <c r="A39" s="3">
        <v>8</v>
      </c>
      <c r="B39" s="7">
        <v>72</v>
      </c>
      <c r="C39" s="7" t="s">
        <v>1</v>
      </c>
      <c r="D39" s="7" t="s">
        <v>1</v>
      </c>
      <c r="E39" s="7" t="str">
        <f>C39&amp;D39</f>
        <v>OO</v>
      </c>
      <c r="F39" s="7" t="s">
        <v>1</v>
      </c>
      <c r="G39" s="7" t="s">
        <v>29</v>
      </c>
      <c r="H39" s="7"/>
      <c r="I39" s="7" t="s">
        <v>30</v>
      </c>
      <c r="J39" s="7" t="s">
        <v>31</v>
      </c>
      <c r="K39" s="7">
        <v>7</v>
      </c>
      <c r="L39" s="7" t="str">
        <f>K39&amp;F39</f>
        <v>7O</v>
      </c>
      <c r="M39" s="7">
        <v>20</v>
      </c>
      <c r="N39" s="7">
        <v>10</v>
      </c>
      <c r="O39" s="7">
        <v>1173</v>
      </c>
      <c r="P39" s="7">
        <v>1178</v>
      </c>
      <c r="Q39" s="7" t="s">
        <v>32</v>
      </c>
      <c r="R39" s="7">
        <v>2015</v>
      </c>
      <c r="S39" s="11"/>
      <c r="T39" s="7" t="s">
        <v>1450</v>
      </c>
      <c r="U39" s="7" t="s">
        <v>1455</v>
      </c>
      <c r="V39" s="7" t="s">
        <v>494</v>
      </c>
      <c r="W39" s="7" t="s">
        <v>816</v>
      </c>
      <c r="X39" s="7" t="s">
        <v>1454</v>
      </c>
      <c r="Y39" s="7" t="s">
        <v>1451</v>
      </c>
      <c r="Z39" s="11" t="s">
        <v>428</v>
      </c>
      <c r="AA39" s="11"/>
      <c r="AB39" s="11"/>
      <c r="AC39" s="11" t="s">
        <v>560</v>
      </c>
      <c r="AD39" s="11"/>
      <c r="AE39" s="11"/>
      <c r="AF39" s="11"/>
      <c r="AG39" s="11"/>
      <c r="AH39" s="27" t="s">
        <v>1190</v>
      </c>
      <c r="AI39" s="11"/>
      <c r="AJ39" s="11"/>
      <c r="AK39" s="11"/>
      <c r="AL39" s="11"/>
      <c r="AM39" s="7" t="s">
        <v>815</v>
      </c>
      <c r="AN39" s="5" t="s">
        <v>1217</v>
      </c>
      <c r="AO39" s="5" t="s">
        <v>448</v>
      </c>
      <c r="AP39" s="5" t="s">
        <v>456</v>
      </c>
      <c r="AQ39" s="7" t="s">
        <v>457</v>
      </c>
      <c r="AR39" s="7"/>
      <c r="AS39" s="7" t="s">
        <v>1218</v>
      </c>
      <c r="AT39" s="7" t="s">
        <v>1219</v>
      </c>
      <c r="AU39" s="5" t="s">
        <v>530</v>
      </c>
      <c r="AV39" s="5" t="s">
        <v>1220</v>
      </c>
      <c r="AW39" s="5" t="s">
        <v>547</v>
      </c>
      <c r="AX39" s="7"/>
      <c r="AY39" s="7"/>
      <c r="AZ39" s="5">
        <f t="shared" ref="AZ39" si="4">TINV(BA39,BB39)</f>
        <v>3.2926422055894706</v>
      </c>
      <c r="BA39" s="9">
        <v>1E-3</v>
      </c>
      <c r="BB39" s="9">
        <v>4602</v>
      </c>
      <c r="BC39" s="9"/>
      <c r="BD39" s="9"/>
      <c r="BE39" s="9"/>
      <c r="BF39" s="9"/>
      <c r="BG39" s="9"/>
      <c r="BH39" s="9"/>
      <c r="BI39" s="9"/>
      <c r="BJ39" s="9"/>
      <c r="BK39" s="9"/>
      <c r="BL39" s="9"/>
      <c r="BM39" s="9"/>
      <c r="BN39" s="9"/>
      <c r="BO39" s="9"/>
      <c r="BP39" s="9"/>
      <c r="BQ39" s="9"/>
      <c r="BR39" s="9"/>
      <c r="BS39" s="9"/>
      <c r="BT39" s="9"/>
      <c r="BU39" s="21">
        <f t="shared" ref="BU39" si="5">(AZ39*2)/(SQRT(BB39))</f>
        <v>9.7073620874299271E-2</v>
      </c>
      <c r="BV39" s="12" t="s">
        <v>1015</v>
      </c>
      <c r="BW39" s="7" t="s">
        <v>485</v>
      </c>
      <c r="BX39" s="5" t="s">
        <v>557</v>
      </c>
      <c r="BY39" s="5" t="s">
        <v>560</v>
      </c>
      <c r="BZ39" s="5"/>
      <c r="CA39" s="5"/>
      <c r="CB39" s="5"/>
      <c r="CC39" s="5"/>
      <c r="CD39" s="5"/>
      <c r="CE39" s="7"/>
      <c r="CF39" s="7"/>
      <c r="CG39" s="7"/>
      <c r="CH39" s="7"/>
      <c r="CI39" s="7"/>
      <c r="CJ39" s="7"/>
      <c r="CK39" s="7"/>
      <c r="CL39" s="7"/>
      <c r="CM39" s="7"/>
      <c r="CN39" s="7"/>
      <c r="CO39" s="7"/>
      <c r="CP39" s="7"/>
      <c r="CQ39" s="7"/>
      <c r="CR39" s="7"/>
      <c r="CS39" s="7"/>
      <c r="CT39" s="7"/>
      <c r="CU39" s="7"/>
    </row>
    <row r="40" spans="1:99" ht="120" x14ac:dyDescent="0.2">
      <c r="A40" s="3">
        <v>8</v>
      </c>
      <c r="B40" s="7"/>
      <c r="C40" s="7"/>
      <c r="D40" s="7"/>
      <c r="E40" s="7"/>
      <c r="F40" s="7"/>
      <c r="G40" s="7"/>
      <c r="H40" s="7"/>
      <c r="I40" s="7"/>
      <c r="J40" s="7"/>
      <c r="K40" s="7"/>
      <c r="L40" s="7"/>
      <c r="M40" s="7"/>
      <c r="N40" s="7"/>
      <c r="O40" s="7"/>
      <c r="P40" s="7"/>
      <c r="Q40" s="7"/>
      <c r="R40" s="7"/>
      <c r="S40" s="11"/>
      <c r="T40" s="7"/>
      <c r="U40" s="7"/>
      <c r="V40" s="7"/>
      <c r="W40" s="7"/>
      <c r="X40" s="7"/>
      <c r="Y40" s="7"/>
      <c r="Z40" s="7" t="s">
        <v>429</v>
      </c>
      <c r="AA40" s="7" t="s">
        <v>439</v>
      </c>
      <c r="AB40" s="10" t="s">
        <v>977</v>
      </c>
      <c r="AC40" s="7" t="s">
        <v>561</v>
      </c>
      <c r="AD40" s="7" t="s">
        <v>975</v>
      </c>
      <c r="AE40" s="5" t="s">
        <v>997</v>
      </c>
      <c r="AF40" s="11"/>
      <c r="AG40" s="11" t="s">
        <v>525</v>
      </c>
      <c r="AH40" s="11"/>
      <c r="AI40" s="11" t="s">
        <v>976</v>
      </c>
      <c r="AJ40" s="11"/>
      <c r="AK40" s="11"/>
      <c r="AL40" s="11"/>
      <c r="AM40" s="7"/>
      <c r="AN40" s="5"/>
      <c r="AO40" s="5" t="s">
        <v>449</v>
      </c>
      <c r="AP40" s="5" t="s">
        <v>458</v>
      </c>
      <c r="AQ40" s="7" t="s">
        <v>459</v>
      </c>
      <c r="AR40" s="7" t="s">
        <v>460</v>
      </c>
      <c r="AS40" s="7" t="s">
        <v>510</v>
      </c>
      <c r="AT40" s="7" t="s">
        <v>1221</v>
      </c>
      <c r="AU40" s="5" t="s">
        <v>531</v>
      </c>
      <c r="AV40" s="5" t="s">
        <v>539</v>
      </c>
      <c r="AW40" s="5" t="s">
        <v>548</v>
      </c>
      <c r="AX40" s="7"/>
      <c r="AY40" s="7"/>
      <c r="AZ40" s="5"/>
      <c r="BA40" s="7"/>
      <c r="BB40" s="7"/>
      <c r="BC40" s="7"/>
      <c r="BD40" s="7"/>
      <c r="BE40" s="7"/>
      <c r="BF40" s="7"/>
      <c r="BG40" s="7"/>
      <c r="BH40" s="7"/>
      <c r="BI40" s="7"/>
      <c r="BJ40" s="7"/>
      <c r="BK40" s="7"/>
      <c r="BL40" s="7"/>
      <c r="BM40" s="7"/>
      <c r="BN40" s="7"/>
      <c r="BO40" s="7"/>
      <c r="BP40" s="7"/>
      <c r="BQ40" s="7"/>
      <c r="BR40" s="7"/>
      <c r="BS40" s="7"/>
      <c r="BT40" s="7"/>
      <c r="BU40" s="20"/>
      <c r="BV40" s="7"/>
      <c r="BW40" s="7" t="s">
        <v>486</v>
      </c>
      <c r="BX40" s="7" t="s">
        <v>558</v>
      </c>
      <c r="BY40" s="7" t="s">
        <v>561</v>
      </c>
      <c r="BZ40" s="7"/>
      <c r="CA40" s="7"/>
      <c r="CB40" s="7"/>
      <c r="CC40" s="7"/>
      <c r="CD40" s="7"/>
      <c r="CE40" s="7"/>
      <c r="CF40" s="7"/>
      <c r="CG40" s="7"/>
      <c r="CH40" s="7"/>
      <c r="CI40" s="7"/>
      <c r="CJ40" s="7"/>
      <c r="CK40" s="7"/>
      <c r="CL40" s="7"/>
      <c r="CM40" s="7"/>
      <c r="CN40" s="7"/>
      <c r="CO40" s="7"/>
      <c r="CP40" s="7"/>
      <c r="CQ40" s="7"/>
      <c r="CR40" s="7"/>
      <c r="CS40" s="7"/>
      <c r="CT40" s="7"/>
      <c r="CU40" s="7"/>
    </row>
    <row r="41" spans="1:99" ht="120" x14ac:dyDescent="0.2">
      <c r="A41" s="3">
        <v>8</v>
      </c>
      <c r="B41" s="7"/>
      <c r="C41" s="7"/>
      <c r="D41" s="7"/>
      <c r="E41" s="7"/>
      <c r="F41" s="7"/>
      <c r="G41" s="7"/>
      <c r="H41" s="7"/>
      <c r="I41" s="7"/>
      <c r="J41" s="7"/>
      <c r="K41" s="7"/>
      <c r="L41" s="7"/>
      <c r="M41" s="7"/>
      <c r="N41" s="7"/>
      <c r="O41" s="7"/>
      <c r="P41" s="7"/>
      <c r="Q41" s="7"/>
      <c r="R41" s="7"/>
      <c r="S41" s="11"/>
      <c r="T41" s="7"/>
      <c r="U41" s="7"/>
      <c r="V41" s="7"/>
      <c r="W41" s="7"/>
      <c r="X41" s="7"/>
      <c r="Y41" s="7"/>
      <c r="Z41" s="7" t="s">
        <v>431</v>
      </c>
      <c r="AA41" s="7" t="s">
        <v>440</v>
      </c>
      <c r="AB41" s="10" t="s">
        <v>978</v>
      </c>
      <c r="AC41" s="7" t="s">
        <v>562</v>
      </c>
      <c r="AD41" s="7" t="s">
        <v>980</v>
      </c>
      <c r="AE41" s="5" t="s">
        <v>995</v>
      </c>
      <c r="AF41" s="11"/>
      <c r="AG41" s="11" t="s">
        <v>526</v>
      </c>
      <c r="AH41" s="11"/>
      <c r="AI41" s="11"/>
      <c r="AJ41" s="11"/>
      <c r="AK41" s="11"/>
      <c r="AL41" s="11"/>
      <c r="AM41" s="7"/>
      <c r="AN41" s="5"/>
      <c r="AO41" s="5" t="s">
        <v>450</v>
      </c>
      <c r="AP41" s="5" t="s">
        <v>461</v>
      </c>
      <c r="AQ41" s="7" t="s">
        <v>462</v>
      </c>
      <c r="AR41" s="7" t="s">
        <v>463</v>
      </c>
      <c r="AS41" s="7" t="s">
        <v>511</v>
      </c>
      <c r="AT41" s="7" t="s">
        <v>517</v>
      </c>
      <c r="AU41" s="5" t="s">
        <v>532</v>
      </c>
      <c r="AV41" s="5" t="s">
        <v>540</v>
      </c>
      <c r="AW41" s="5" t="s">
        <v>549</v>
      </c>
      <c r="AX41" s="7"/>
      <c r="AY41" s="7"/>
      <c r="AZ41" s="5"/>
      <c r="BA41" s="7"/>
      <c r="BB41" s="7"/>
      <c r="BC41" s="7"/>
      <c r="BD41" s="7"/>
      <c r="BE41" s="7"/>
      <c r="BF41" s="7"/>
      <c r="BG41" s="7"/>
      <c r="BH41" s="7"/>
      <c r="BI41" s="7"/>
      <c r="BJ41" s="7"/>
      <c r="BK41" s="7"/>
      <c r="BL41" s="7"/>
      <c r="BM41" s="7"/>
      <c r="BN41" s="7"/>
      <c r="BO41" s="7"/>
      <c r="BP41" s="7"/>
      <c r="BQ41" s="7"/>
      <c r="BR41" s="7"/>
      <c r="BS41" s="7"/>
      <c r="BT41" s="7"/>
      <c r="BU41" s="20"/>
      <c r="BV41" s="7"/>
      <c r="BW41" s="7" t="s">
        <v>487</v>
      </c>
      <c r="BX41" s="7" t="s">
        <v>569</v>
      </c>
      <c r="BY41" s="7" t="s">
        <v>562</v>
      </c>
      <c r="BZ41" s="7"/>
      <c r="CA41" s="7"/>
      <c r="CB41" s="7"/>
      <c r="CC41" s="7"/>
      <c r="CD41" s="7"/>
      <c r="CE41" s="7"/>
      <c r="CF41" s="7"/>
      <c r="CG41" s="7"/>
      <c r="CH41" s="7"/>
      <c r="CI41" s="7"/>
      <c r="CJ41" s="7"/>
      <c r="CK41" s="7"/>
      <c r="CL41" s="7"/>
      <c r="CM41" s="7"/>
      <c r="CN41" s="7"/>
      <c r="CO41" s="7"/>
      <c r="CP41" s="7"/>
      <c r="CQ41" s="7"/>
      <c r="CR41" s="7"/>
      <c r="CS41" s="7"/>
      <c r="CT41" s="7"/>
      <c r="CU41" s="7"/>
    </row>
    <row r="42" spans="1:99" ht="120" x14ac:dyDescent="0.2">
      <c r="A42" s="3">
        <v>8</v>
      </c>
      <c r="B42" s="7"/>
      <c r="C42" s="7"/>
      <c r="D42" s="7"/>
      <c r="E42" s="7"/>
      <c r="F42" s="7"/>
      <c r="G42" s="7"/>
      <c r="H42" s="7"/>
      <c r="I42" s="7"/>
      <c r="J42" s="7"/>
      <c r="K42" s="7"/>
      <c r="L42" s="7"/>
      <c r="M42" s="7"/>
      <c r="N42" s="7"/>
      <c r="O42" s="7"/>
      <c r="P42" s="7"/>
      <c r="Q42" s="7"/>
      <c r="R42" s="7"/>
      <c r="S42" s="11"/>
      <c r="T42" s="7"/>
      <c r="U42" s="7"/>
      <c r="V42" s="7"/>
      <c r="W42" s="7"/>
      <c r="X42" s="7"/>
      <c r="Y42" s="7"/>
      <c r="Z42" s="7" t="s">
        <v>430</v>
      </c>
      <c r="AA42" s="7" t="s">
        <v>441</v>
      </c>
      <c r="AB42" s="10" t="s">
        <v>979</v>
      </c>
      <c r="AC42" s="7" t="s">
        <v>559</v>
      </c>
      <c r="AD42" s="7" t="s">
        <v>981</v>
      </c>
      <c r="AE42" s="5" t="s">
        <v>994</v>
      </c>
      <c r="AF42" s="11"/>
      <c r="AG42" s="11"/>
      <c r="AH42" s="11"/>
      <c r="AI42" s="11"/>
      <c r="AJ42" s="11"/>
      <c r="AK42" s="11"/>
      <c r="AL42" s="11"/>
      <c r="AM42" s="7"/>
      <c r="AN42" s="5"/>
      <c r="AO42" s="5" t="s">
        <v>449</v>
      </c>
      <c r="AP42" s="5" t="s">
        <v>464</v>
      </c>
      <c r="AQ42" s="7" t="s">
        <v>465</v>
      </c>
      <c r="AR42" s="7" t="s">
        <v>466</v>
      </c>
      <c r="AS42" s="7" t="s">
        <v>1222</v>
      </c>
      <c r="AT42" s="7" t="s">
        <v>518</v>
      </c>
      <c r="AU42" s="5" t="s">
        <v>533</v>
      </c>
      <c r="AV42" s="5" t="s">
        <v>541</v>
      </c>
      <c r="AW42" s="5" t="s">
        <v>550</v>
      </c>
      <c r="AX42" s="7"/>
      <c r="AY42" s="7"/>
      <c r="AZ42" s="5"/>
      <c r="BA42" s="7"/>
      <c r="BB42" s="7"/>
      <c r="BC42" s="7"/>
      <c r="BD42" s="7"/>
      <c r="BE42" s="7"/>
      <c r="BF42" s="7"/>
      <c r="BG42" s="7"/>
      <c r="BH42" s="7"/>
      <c r="BI42" s="7"/>
      <c r="BJ42" s="7"/>
      <c r="BK42" s="7"/>
      <c r="BL42" s="7"/>
      <c r="BM42" s="7"/>
      <c r="BN42" s="7"/>
      <c r="BO42" s="7"/>
      <c r="BP42" s="7"/>
      <c r="BQ42" s="7"/>
      <c r="BR42" s="7"/>
      <c r="BS42" s="7"/>
      <c r="BT42" s="7"/>
      <c r="BU42" s="20"/>
      <c r="BV42" s="7"/>
      <c r="BW42" s="7" t="s">
        <v>488</v>
      </c>
      <c r="BX42" s="7" t="s">
        <v>570</v>
      </c>
      <c r="BY42" s="7" t="s">
        <v>559</v>
      </c>
      <c r="BZ42" s="7"/>
      <c r="CA42" s="7"/>
      <c r="CB42" s="7"/>
      <c r="CC42" s="7"/>
      <c r="CD42" s="7"/>
      <c r="CE42" s="7"/>
      <c r="CF42" s="7"/>
      <c r="CG42" s="7"/>
      <c r="CH42" s="7"/>
      <c r="CI42" s="7"/>
      <c r="CJ42" s="7"/>
      <c r="CK42" s="7"/>
      <c r="CL42" s="7"/>
      <c r="CM42" s="7"/>
      <c r="CN42" s="7"/>
      <c r="CO42" s="7"/>
      <c r="CP42" s="7"/>
      <c r="CQ42" s="7"/>
      <c r="CR42" s="7"/>
      <c r="CS42" s="7"/>
      <c r="CT42" s="7"/>
      <c r="CU42" s="7"/>
    </row>
    <row r="43" spans="1:99" ht="120" x14ac:dyDescent="0.2">
      <c r="A43" s="3">
        <v>8</v>
      </c>
      <c r="B43" s="7"/>
      <c r="C43" s="7"/>
      <c r="D43" s="7"/>
      <c r="E43" s="7"/>
      <c r="F43" s="7"/>
      <c r="G43" s="7"/>
      <c r="H43" s="7"/>
      <c r="I43" s="7"/>
      <c r="J43" s="7"/>
      <c r="K43" s="7"/>
      <c r="L43" s="7"/>
      <c r="M43" s="7"/>
      <c r="N43" s="7"/>
      <c r="O43" s="7"/>
      <c r="P43" s="7"/>
      <c r="Q43" s="7"/>
      <c r="R43" s="7"/>
      <c r="S43" s="11"/>
      <c r="T43" s="7"/>
      <c r="U43" s="7"/>
      <c r="V43" s="7"/>
      <c r="W43" s="7"/>
      <c r="X43" s="7"/>
      <c r="Y43" s="7"/>
      <c r="Z43" s="7" t="s">
        <v>432</v>
      </c>
      <c r="AA43" s="7" t="s">
        <v>442</v>
      </c>
      <c r="AB43" s="10" t="s">
        <v>996</v>
      </c>
      <c r="AC43" s="7" t="s">
        <v>563</v>
      </c>
      <c r="AD43" s="7" t="s">
        <v>998</v>
      </c>
      <c r="AE43" s="22" t="s">
        <v>999</v>
      </c>
      <c r="AF43" s="11"/>
      <c r="AG43" s="11" t="s">
        <v>527</v>
      </c>
      <c r="AH43" s="11"/>
      <c r="AI43" s="11"/>
      <c r="AJ43" s="11"/>
      <c r="AK43" s="11"/>
      <c r="AL43" s="11"/>
      <c r="AM43" s="7"/>
      <c r="AN43" s="5"/>
      <c r="AO43" s="5" t="s">
        <v>451</v>
      </c>
      <c r="AP43" s="5" t="s">
        <v>467</v>
      </c>
      <c r="AQ43" s="7" t="s">
        <v>468</v>
      </c>
      <c r="AR43" s="7" t="s">
        <v>469</v>
      </c>
      <c r="AS43" s="7" t="s">
        <v>512</v>
      </c>
      <c r="AT43" s="7" t="s">
        <v>519</v>
      </c>
      <c r="AU43" s="5" t="s">
        <v>534</v>
      </c>
      <c r="AV43" s="5" t="s">
        <v>542</v>
      </c>
      <c r="AW43" s="5" t="s">
        <v>551</v>
      </c>
      <c r="AX43" s="7"/>
      <c r="AY43" s="7"/>
      <c r="AZ43" s="5"/>
      <c r="BA43" s="7"/>
      <c r="BB43" s="7"/>
      <c r="BC43" s="7"/>
      <c r="BD43" s="7"/>
      <c r="BE43" s="7"/>
      <c r="BF43" s="7"/>
      <c r="BG43" s="7"/>
      <c r="BH43" s="7"/>
      <c r="BI43" s="7"/>
      <c r="BJ43" s="7"/>
      <c r="BK43" s="7"/>
      <c r="BL43" s="7"/>
      <c r="BM43" s="7"/>
      <c r="BN43" s="7"/>
      <c r="BO43" s="7"/>
      <c r="BP43" s="7"/>
      <c r="BQ43" s="7"/>
      <c r="BR43" s="7"/>
      <c r="BS43" s="7"/>
      <c r="BT43" s="7"/>
      <c r="BU43" s="20"/>
      <c r="BV43" s="7"/>
      <c r="BW43" s="7" t="s">
        <v>487</v>
      </c>
      <c r="BX43" s="7" t="s">
        <v>571</v>
      </c>
      <c r="BY43" s="7" t="s">
        <v>563</v>
      </c>
      <c r="BZ43" s="7"/>
      <c r="CA43" s="7"/>
      <c r="CB43" s="7"/>
      <c r="CC43" s="7"/>
      <c r="CD43" s="7"/>
      <c r="CE43" s="7"/>
      <c r="CF43" s="7"/>
      <c r="CG43" s="7"/>
      <c r="CH43" s="7"/>
      <c r="CI43" s="7"/>
      <c r="CJ43" s="7"/>
      <c r="CK43" s="7"/>
      <c r="CL43" s="7"/>
      <c r="CM43" s="7"/>
      <c r="CN43" s="7"/>
      <c r="CO43" s="7"/>
      <c r="CP43" s="7"/>
      <c r="CQ43" s="7"/>
      <c r="CR43" s="7"/>
      <c r="CS43" s="7"/>
      <c r="CT43" s="7"/>
      <c r="CU43" s="7"/>
    </row>
    <row r="44" spans="1:99" ht="120" x14ac:dyDescent="0.2">
      <c r="A44" s="3">
        <v>8</v>
      </c>
      <c r="B44" s="7"/>
      <c r="C44" s="7"/>
      <c r="D44" s="7"/>
      <c r="E44" s="7"/>
      <c r="F44" s="7"/>
      <c r="G44" s="7"/>
      <c r="H44" s="7"/>
      <c r="I44" s="7"/>
      <c r="J44" s="7"/>
      <c r="K44" s="7"/>
      <c r="L44" s="7"/>
      <c r="M44" s="7"/>
      <c r="N44" s="7"/>
      <c r="O44" s="7"/>
      <c r="P44" s="7"/>
      <c r="Q44" s="7"/>
      <c r="R44" s="7"/>
      <c r="S44" s="11"/>
      <c r="T44" s="7"/>
      <c r="U44" s="7"/>
      <c r="V44" s="7"/>
      <c r="W44" s="7"/>
      <c r="X44" s="7"/>
      <c r="Y44" s="7"/>
      <c r="Z44" s="7" t="s">
        <v>433</v>
      </c>
      <c r="AA44" s="7" t="s">
        <v>443</v>
      </c>
      <c r="AB44" s="10" t="s">
        <v>1000</v>
      </c>
      <c r="AC44" s="7" t="s">
        <v>564</v>
      </c>
      <c r="AD44" s="7" t="s">
        <v>1001</v>
      </c>
      <c r="AE44" s="5" t="s">
        <v>1002</v>
      </c>
      <c r="AF44" s="11"/>
      <c r="AG44" s="11"/>
      <c r="AH44" s="11"/>
      <c r="AI44" s="11"/>
      <c r="AJ44" s="11"/>
      <c r="AK44" s="11"/>
      <c r="AL44" s="11"/>
      <c r="AM44" s="7"/>
      <c r="AN44" s="5"/>
      <c r="AO44" s="5" t="s">
        <v>452</v>
      </c>
      <c r="AP44" s="5" t="s">
        <v>470</v>
      </c>
      <c r="AQ44" s="7" t="s">
        <v>471</v>
      </c>
      <c r="AR44" s="7" t="s">
        <v>472</v>
      </c>
      <c r="AS44" s="7" t="s">
        <v>513</v>
      </c>
      <c r="AT44" s="7" t="s">
        <v>520</v>
      </c>
      <c r="AU44" s="5" t="s">
        <v>535</v>
      </c>
      <c r="AV44" s="5" t="s">
        <v>543</v>
      </c>
      <c r="AW44" s="5" t="s">
        <v>552</v>
      </c>
      <c r="AX44" s="7"/>
      <c r="AY44" s="7"/>
      <c r="AZ44" s="5"/>
      <c r="BA44" s="7"/>
      <c r="BB44" s="7"/>
      <c r="BC44" s="7"/>
      <c r="BD44" s="7"/>
      <c r="BE44" s="7"/>
      <c r="BF44" s="7"/>
      <c r="BG44" s="7"/>
      <c r="BH44" s="7"/>
      <c r="BI44" s="7"/>
      <c r="BJ44" s="7"/>
      <c r="BK44" s="7"/>
      <c r="BL44" s="7"/>
      <c r="BM44" s="7"/>
      <c r="BN44" s="7"/>
      <c r="BO44" s="7"/>
      <c r="BP44" s="7"/>
      <c r="BQ44" s="7"/>
      <c r="BR44" s="7"/>
      <c r="BS44" s="7"/>
      <c r="BT44" s="7"/>
      <c r="BU44" s="20"/>
      <c r="BV44" s="7"/>
      <c r="BW44" s="7" t="s">
        <v>489</v>
      </c>
      <c r="BX44" s="7" t="s">
        <v>572</v>
      </c>
      <c r="BY44" s="7" t="s">
        <v>564</v>
      </c>
      <c r="BZ44" s="7"/>
      <c r="CA44" s="7"/>
      <c r="CB44" s="7"/>
      <c r="CC44" s="7"/>
      <c r="CD44" s="7"/>
      <c r="CE44" s="7"/>
      <c r="CF44" s="7"/>
      <c r="CG44" s="7"/>
      <c r="CH44" s="7"/>
      <c r="CI44" s="7"/>
      <c r="CJ44" s="7"/>
      <c r="CK44" s="7"/>
      <c r="CL44" s="7"/>
      <c r="CM44" s="7"/>
      <c r="CN44" s="7"/>
      <c r="CO44" s="7"/>
      <c r="CP44" s="7"/>
      <c r="CQ44" s="7"/>
      <c r="CR44" s="7"/>
      <c r="CS44" s="7"/>
      <c r="CT44" s="7"/>
      <c r="CU44" s="7"/>
    </row>
    <row r="45" spans="1:99" ht="120" x14ac:dyDescent="0.2">
      <c r="A45" s="3">
        <v>8</v>
      </c>
      <c r="B45" s="7"/>
      <c r="C45" s="7"/>
      <c r="D45" s="7"/>
      <c r="E45" s="7"/>
      <c r="F45" s="7"/>
      <c r="G45" s="7"/>
      <c r="H45" s="7"/>
      <c r="I45" s="7"/>
      <c r="J45" s="7"/>
      <c r="K45" s="7"/>
      <c r="L45" s="7"/>
      <c r="M45" s="7"/>
      <c r="N45" s="7"/>
      <c r="O45" s="7"/>
      <c r="P45" s="7"/>
      <c r="Q45" s="7"/>
      <c r="R45" s="7"/>
      <c r="S45" s="11"/>
      <c r="T45" s="7"/>
      <c r="U45" s="7"/>
      <c r="V45" s="7"/>
      <c r="W45" s="7"/>
      <c r="X45" s="7"/>
      <c r="Y45" s="7"/>
      <c r="Z45" s="7" t="s">
        <v>434</v>
      </c>
      <c r="AA45" s="7" t="s">
        <v>444</v>
      </c>
      <c r="AB45" s="10" t="s">
        <v>1003</v>
      </c>
      <c r="AC45" s="7" t="s">
        <v>565</v>
      </c>
      <c r="AD45" s="7" t="s">
        <v>1004</v>
      </c>
      <c r="AE45" s="5" t="s">
        <v>1005</v>
      </c>
      <c r="AF45" s="11"/>
      <c r="AG45" s="11"/>
      <c r="AH45" s="11"/>
      <c r="AI45" s="11"/>
      <c r="AJ45" s="11"/>
      <c r="AK45" s="11"/>
      <c r="AL45" s="11"/>
      <c r="AM45" s="7"/>
      <c r="AN45" s="5"/>
      <c r="AO45" s="5" t="s">
        <v>453</v>
      </c>
      <c r="AP45" s="5" t="s">
        <v>473</v>
      </c>
      <c r="AQ45" s="7" t="s">
        <v>474</v>
      </c>
      <c r="AR45" s="7" t="s">
        <v>475</v>
      </c>
      <c r="AS45" s="7" t="s">
        <v>514</v>
      </c>
      <c r="AT45" s="7" t="s">
        <v>521</v>
      </c>
      <c r="AU45" s="5" t="s">
        <v>536</v>
      </c>
      <c r="AV45" s="5" t="s">
        <v>544</v>
      </c>
      <c r="AW45" s="5" t="s">
        <v>553</v>
      </c>
      <c r="AX45" s="7"/>
      <c r="AY45" s="7"/>
      <c r="AZ45" s="5"/>
      <c r="BA45" s="7"/>
      <c r="BB45" s="7"/>
      <c r="BC45" s="7"/>
      <c r="BD45" s="7"/>
      <c r="BE45" s="7"/>
      <c r="BF45" s="7"/>
      <c r="BG45" s="7"/>
      <c r="BH45" s="7"/>
      <c r="BI45" s="7"/>
      <c r="BJ45" s="7"/>
      <c r="BK45" s="7"/>
      <c r="BL45" s="7"/>
      <c r="BM45" s="7"/>
      <c r="BN45" s="7"/>
      <c r="BO45" s="7"/>
      <c r="BP45" s="7"/>
      <c r="BQ45" s="7"/>
      <c r="BR45" s="7"/>
      <c r="BS45" s="7"/>
      <c r="BT45" s="7"/>
      <c r="BU45" s="20"/>
      <c r="BV45" s="7"/>
      <c r="BW45" s="7" t="s">
        <v>490</v>
      </c>
      <c r="BX45" s="7" t="s">
        <v>573</v>
      </c>
      <c r="BY45" s="7" t="s">
        <v>565</v>
      </c>
      <c r="BZ45" s="7"/>
      <c r="CA45" s="7"/>
      <c r="CB45" s="7"/>
      <c r="CC45" s="7"/>
      <c r="CD45" s="7"/>
      <c r="CE45" s="7"/>
      <c r="CF45" s="7"/>
      <c r="CG45" s="7"/>
      <c r="CH45" s="7"/>
      <c r="CI45" s="7"/>
      <c r="CJ45" s="7"/>
      <c r="CK45" s="7"/>
      <c r="CL45" s="7"/>
      <c r="CM45" s="7"/>
      <c r="CN45" s="7"/>
      <c r="CO45" s="7"/>
      <c r="CP45" s="7"/>
      <c r="CQ45" s="7"/>
      <c r="CR45" s="7"/>
      <c r="CS45" s="7"/>
      <c r="CT45" s="7"/>
      <c r="CU45" s="7"/>
    </row>
    <row r="46" spans="1:99" ht="120" x14ac:dyDescent="0.2">
      <c r="A46" s="3">
        <v>8</v>
      </c>
      <c r="B46" s="7"/>
      <c r="C46" s="7"/>
      <c r="D46" s="7"/>
      <c r="E46" s="7"/>
      <c r="F46" s="7"/>
      <c r="G46" s="7"/>
      <c r="H46" s="7"/>
      <c r="I46" s="7"/>
      <c r="J46" s="7"/>
      <c r="K46" s="7"/>
      <c r="L46" s="7"/>
      <c r="M46" s="7"/>
      <c r="N46" s="7"/>
      <c r="O46" s="7"/>
      <c r="P46" s="7"/>
      <c r="Q46" s="7"/>
      <c r="R46" s="7"/>
      <c r="S46" s="11"/>
      <c r="T46" s="7"/>
      <c r="U46" s="7"/>
      <c r="V46" s="7"/>
      <c r="W46" s="7"/>
      <c r="X46" s="7"/>
      <c r="Y46" s="7"/>
      <c r="Z46" s="7" t="s">
        <v>435</v>
      </c>
      <c r="AA46" s="7" t="s">
        <v>445</v>
      </c>
      <c r="AB46" s="10" t="s">
        <v>1006</v>
      </c>
      <c r="AC46" s="7" t="s">
        <v>566</v>
      </c>
      <c r="AD46" s="7" t="s">
        <v>1007</v>
      </c>
      <c r="AE46" s="5" t="s">
        <v>1008</v>
      </c>
      <c r="AF46" s="11"/>
      <c r="AG46" s="11"/>
      <c r="AH46" s="11"/>
      <c r="AI46" s="11"/>
      <c r="AJ46" s="11"/>
      <c r="AK46" s="11"/>
      <c r="AL46" s="11"/>
      <c r="AM46" s="7"/>
      <c r="AN46" s="5"/>
      <c r="AO46" s="5" t="s">
        <v>454</v>
      </c>
      <c r="AP46" s="5" t="s">
        <v>476</v>
      </c>
      <c r="AQ46" s="7" t="s">
        <v>477</v>
      </c>
      <c r="AR46" s="7" t="s">
        <v>478</v>
      </c>
      <c r="AS46" s="7" t="s">
        <v>515</v>
      </c>
      <c r="AT46" s="7" t="s">
        <v>522</v>
      </c>
      <c r="AU46" s="5" t="s">
        <v>537</v>
      </c>
      <c r="AV46" s="5" t="s">
        <v>545</v>
      </c>
      <c r="AW46" s="5" t="s">
        <v>554</v>
      </c>
      <c r="AX46" s="7"/>
      <c r="AY46" s="7"/>
      <c r="AZ46" s="5"/>
      <c r="BA46" s="7"/>
      <c r="BB46" s="7"/>
      <c r="BC46" s="7"/>
      <c r="BD46" s="7"/>
      <c r="BE46" s="7"/>
      <c r="BF46" s="7"/>
      <c r="BG46" s="7"/>
      <c r="BH46" s="7"/>
      <c r="BI46" s="7"/>
      <c r="BJ46" s="7"/>
      <c r="BK46" s="7"/>
      <c r="BL46" s="7"/>
      <c r="BM46" s="7"/>
      <c r="BN46" s="7"/>
      <c r="BO46" s="7"/>
      <c r="BP46" s="7"/>
      <c r="BQ46" s="7"/>
      <c r="BR46" s="7"/>
      <c r="BS46" s="7"/>
      <c r="BT46" s="7"/>
      <c r="BU46" s="20"/>
      <c r="BV46" s="7"/>
      <c r="BW46" s="7" t="s">
        <v>491</v>
      </c>
      <c r="BX46" s="7" t="s">
        <v>574</v>
      </c>
      <c r="BY46" s="7" t="s">
        <v>566</v>
      </c>
      <c r="BZ46" s="7"/>
      <c r="CA46" s="7"/>
      <c r="CB46" s="7"/>
      <c r="CC46" s="7"/>
      <c r="CD46" s="7"/>
      <c r="CE46" s="7"/>
      <c r="CF46" s="7"/>
      <c r="CG46" s="7"/>
      <c r="CH46" s="7"/>
      <c r="CI46" s="7"/>
      <c r="CJ46" s="7"/>
      <c r="CK46" s="7"/>
      <c r="CL46" s="7"/>
      <c r="CM46" s="7"/>
      <c r="CN46" s="7"/>
      <c r="CO46" s="7"/>
      <c r="CP46" s="7"/>
      <c r="CQ46" s="7"/>
      <c r="CR46" s="7"/>
      <c r="CS46" s="7"/>
      <c r="CT46" s="7"/>
      <c r="CU46" s="7"/>
    </row>
    <row r="47" spans="1:99" ht="120" x14ac:dyDescent="0.2">
      <c r="A47" s="3">
        <v>8</v>
      </c>
      <c r="B47" s="7"/>
      <c r="C47" s="7"/>
      <c r="D47" s="7"/>
      <c r="E47" s="7"/>
      <c r="F47" s="7"/>
      <c r="G47" s="7"/>
      <c r="H47" s="7"/>
      <c r="I47" s="7"/>
      <c r="J47" s="7"/>
      <c r="K47" s="7"/>
      <c r="L47" s="7"/>
      <c r="M47" s="7"/>
      <c r="N47" s="7"/>
      <c r="O47" s="7"/>
      <c r="P47" s="7"/>
      <c r="Q47" s="7"/>
      <c r="R47" s="7"/>
      <c r="S47" s="11"/>
      <c r="T47" s="7"/>
      <c r="U47" s="7"/>
      <c r="V47" s="7"/>
      <c r="W47" s="7"/>
      <c r="X47" s="7"/>
      <c r="Y47" s="7"/>
      <c r="Z47" s="7" t="s">
        <v>436</v>
      </c>
      <c r="AA47" s="7" t="s">
        <v>446</v>
      </c>
      <c r="AB47" s="10" t="s">
        <v>1009</v>
      </c>
      <c r="AC47" s="7" t="s">
        <v>567</v>
      </c>
      <c r="AD47" s="7" t="s">
        <v>1010</v>
      </c>
      <c r="AE47" s="5" t="s">
        <v>1011</v>
      </c>
      <c r="AF47" s="11"/>
      <c r="AG47" s="11"/>
      <c r="AH47" s="11"/>
      <c r="AI47" s="11"/>
      <c r="AJ47" s="11"/>
      <c r="AK47" s="11"/>
      <c r="AL47" s="11"/>
      <c r="AM47" s="7"/>
      <c r="AN47" s="5"/>
      <c r="AO47" s="5" t="s">
        <v>453</v>
      </c>
      <c r="AP47" s="5" t="s">
        <v>479</v>
      </c>
      <c r="AQ47" s="7" t="s">
        <v>480</v>
      </c>
      <c r="AR47" s="7" t="s">
        <v>481</v>
      </c>
      <c r="AS47" s="7" t="s">
        <v>514</v>
      </c>
      <c r="AT47" s="7" t="s">
        <v>523</v>
      </c>
      <c r="AU47" s="5" t="s">
        <v>536</v>
      </c>
      <c r="AV47" s="5" t="s">
        <v>544</v>
      </c>
      <c r="AW47" s="5" t="s">
        <v>555</v>
      </c>
      <c r="AX47" s="7"/>
      <c r="AY47" s="7"/>
      <c r="AZ47" s="5"/>
      <c r="BA47" s="7"/>
      <c r="BB47" s="7"/>
      <c r="BC47" s="7"/>
      <c r="BD47" s="7"/>
      <c r="BE47" s="7"/>
      <c r="BF47" s="7"/>
      <c r="BG47" s="7"/>
      <c r="BH47" s="7"/>
      <c r="BI47" s="7"/>
      <c r="BJ47" s="7"/>
      <c r="BK47" s="7"/>
      <c r="BL47" s="7"/>
      <c r="BM47" s="7"/>
      <c r="BN47" s="7"/>
      <c r="BO47" s="7"/>
      <c r="BP47" s="7"/>
      <c r="BQ47" s="7"/>
      <c r="BR47" s="7"/>
      <c r="BS47" s="7"/>
      <c r="BT47" s="7"/>
      <c r="BU47" s="20"/>
      <c r="BV47" s="7"/>
      <c r="BW47" s="7" t="s">
        <v>492</v>
      </c>
      <c r="BX47" s="7" t="s">
        <v>575</v>
      </c>
      <c r="BY47" s="7" t="s">
        <v>567</v>
      </c>
      <c r="BZ47" s="7"/>
      <c r="CA47" s="7"/>
      <c r="CB47" s="7"/>
      <c r="CC47" s="7"/>
      <c r="CD47" s="7"/>
      <c r="CE47" s="7"/>
      <c r="CF47" s="7"/>
      <c r="CG47" s="7"/>
      <c r="CH47" s="7"/>
      <c r="CI47" s="7"/>
      <c r="CJ47" s="7"/>
      <c r="CK47" s="7"/>
      <c r="CL47" s="7"/>
      <c r="CM47" s="7"/>
      <c r="CN47" s="7"/>
      <c r="CO47" s="7"/>
      <c r="CP47" s="7"/>
      <c r="CQ47" s="7"/>
      <c r="CR47" s="7"/>
      <c r="CS47" s="7"/>
      <c r="CT47" s="7"/>
      <c r="CU47" s="7"/>
    </row>
    <row r="48" spans="1:99" ht="120" x14ac:dyDescent="0.2">
      <c r="A48" s="3">
        <v>8</v>
      </c>
      <c r="B48" s="7"/>
      <c r="C48" s="7"/>
      <c r="D48" s="7"/>
      <c r="E48" s="7"/>
      <c r="F48" s="7"/>
      <c r="G48" s="7"/>
      <c r="H48" s="7"/>
      <c r="I48" s="7"/>
      <c r="J48" s="7"/>
      <c r="K48" s="7"/>
      <c r="L48" s="7"/>
      <c r="M48" s="7"/>
      <c r="N48" s="7"/>
      <c r="O48" s="7"/>
      <c r="P48" s="7"/>
      <c r="Q48" s="7"/>
      <c r="R48" s="7"/>
      <c r="S48" s="11"/>
      <c r="T48" s="7"/>
      <c r="U48" s="7"/>
      <c r="V48" s="7"/>
      <c r="W48" s="7"/>
      <c r="X48" s="7"/>
      <c r="Y48" s="7"/>
      <c r="Z48" s="7" t="s">
        <v>437</v>
      </c>
      <c r="AA48" s="7" t="s">
        <v>447</v>
      </c>
      <c r="AB48" s="10" t="s">
        <v>1012</v>
      </c>
      <c r="AC48" s="7" t="s">
        <v>568</v>
      </c>
      <c r="AD48" s="7" t="s">
        <v>1013</v>
      </c>
      <c r="AE48" s="5" t="s">
        <v>1014</v>
      </c>
      <c r="AF48" s="11"/>
      <c r="AG48" s="11"/>
      <c r="AH48" s="11"/>
      <c r="AI48" s="11"/>
      <c r="AJ48" s="11"/>
      <c r="AK48" s="11"/>
      <c r="AL48" s="11"/>
      <c r="AM48" s="7"/>
      <c r="AN48" s="5"/>
      <c r="AO48" s="5" t="s">
        <v>455</v>
      </c>
      <c r="AP48" s="5" t="s">
        <v>482</v>
      </c>
      <c r="AQ48" s="7" t="s">
        <v>483</v>
      </c>
      <c r="AR48" s="7" t="s">
        <v>484</v>
      </c>
      <c r="AS48" s="7" t="s">
        <v>516</v>
      </c>
      <c r="AT48" s="7" t="s">
        <v>524</v>
      </c>
      <c r="AU48" s="5" t="s">
        <v>538</v>
      </c>
      <c r="AV48" s="5" t="s">
        <v>546</v>
      </c>
      <c r="AW48" s="5" t="s">
        <v>556</v>
      </c>
      <c r="AX48" s="7"/>
      <c r="AY48" s="7"/>
      <c r="AZ48" s="5"/>
      <c r="BA48" s="7"/>
      <c r="BB48" s="7"/>
      <c r="BC48" s="7"/>
      <c r="BD48" s="7"/>
      <c r="BE48" s="7"/>
      <c r="BF48" s="7"/>
      <c r="BG48" s="7"/>
      <c r="BH48" s="7"/>
      <c r="BI48" s="7"/>
      <c r="BJ48" s="7"/>
      <c r="BK48" s="7"/>
      <c r="BL48" s="7"/>
      <c r="BM48" s="7"/>
      <c r="BN48" s="7"/>
      <c r="BO48" s="7"/>
      <c r="BP48" s="7"/>
      <c r="BQ48" s="7"/>
      <c r="BR48" s="7"/>
      <c r="BS48" s="7"/>
      <c r="BT48" s="7"/>
      <c r="BU48" s="20"/>
      <c r="BV48" s="7"/>
      <c r="BW48" s="7" t="s">
        <v>493</v>
      </c>
      <c r="BX48" s="7" t="s">
        <v>576</v>
      </c>
      <c r="BY48" s="7" t="s">
        <v>568</v>
      </c>
      <c r="BZ48" s="7"/>
      <c r="CA48" s="7"/>
      <c r="CB48" s="7"/>
      <c r="CC48" s="7"/>
      <c r="CD48" s="7"/>
      <c r="CE48" s="7"/>
      <c r="CF48" s="7"/>
      <c r="CG48" s="7"/>
      <c r="CH48" s="7"/>
      <c r="CI48" s="7"/>
      <c r="CJ48" s="7"/>
      <c r="CK48" s="7"/>
      <c r="CL48" s="7"/>
      <c r="CM48" s="7"/>
      <c r="CN48" s="7"/>
      <c r="CO48" s="7"/>
      <c r="CP48" s="7"/>
      <c r="CQ48" s="7"/>
      <c r="CR48" s="7"/>
      <c r="CS48" s="7"/>
      <c r="CT48" s="7"/>
      <c r="CU48" s="7"/>
    </row>
    <row r="49" spans="1:99" ht="409" x14ac:dyDescent="0.2">
      <c r="A49" s="3">
        <v>9</v>
      </c>
      <c r="B49" s="5">
        <v>99</v>
      </c>
      <c r="C49" s="7" t="s">
        <v>1</v>
      </c>
      <c r="D49" s="7" t="s">
        <v>0</v>
      </c>
      <c r="E49" s="7" t="str">
        <f t="shared" ref="E49:E110" si="6">C49&amp;D49</f>
        <v>ON</v>
      </c>
      <c r="F49" s="7" t="s">
        <v>1</v>
      </c>
      <c r="G49" s="7" t="s">
        <v>33</v>
      </c>
      <c r="H49" s="7"/>
      <c r="I49" s="7" t="s">
        <v>34</v>
      </c>
      <c r="J49" s="7" t="s">
        <v>35</v>
      </c>
      <c r="K49" s="7">
        <v>7</v>
      </c>
      <c r="L49" s="7" t="str">
        <f t="shared" ref="L49:L110" si="7">K49&amp;F49</f>
        <v>7O</v>
      </c>
      <c r="M49" s="7">
        <v>20</v>
      </c>
      <c r="N49" s="7">
        <v>7</v>
      </c>
      <c r="O49" s="7">
        <v>860</v>
      </c>
      <c r="P49" s="7">
        <v>866</v>
      </c>
      <c r="Q49" s="7" t="s">
        <v>36</v>
      </c>
      <c r="R49" s="7">
        <v>2015</v>
      </c>
      <c r="S49" s="11"/>
      <c r="T49" s="7" t="s">
        <v>817</v>
      </c>
      <c r="U49" s="7" t="s">
        <v>818</v>
      </c>
      <c r="V49" s="7" t="s">
        <v>494</v>
      </c>
      <c r="W49" s="5" t="s">
        <v>1461</v>
      </c>
      <c r="X49" s="7" t="s">
        <v>1461</v>
      </c>
      <c r="Y49" s="7" t="s">
        <v>428</v>
      </c>
      <c r="Z49" s="11" t="s">
        <v>577</v>
      </c>
      <c r="AA49" s="11"/>
      <c r="AB49" s="11"/>
      <c r="AC49" s="11"/>
      <c r="AD49" s="11"/>
      <c r="AE49" s="11"/>
      <c r="AF49" s="11"/>
      <c r="AG49" s="11"/>
      <c r="AH49" s="11"/>
      <c r="AI49" s="11"/>
      <c r="AJ49" s="11"/>
      <c r="AK49" s="11"/>
      <c r="AL49" s="11"/>
      <c r="AM49" s="7" t="s">
        <v>822</v>
      </c>
      <c r="AN49" s="5" t="s">
        <v>821</v>
      </c>
      <c r="AO49" s="5" t="s">
        <v>580</v>
      </c>
      <c r="AP49" s="5" t="s">
        <v>578</v>
      </c>
      <c r="AQ49" s="7" t="s">
        <v>579</v>
      </c>
      <c r="AR49" s="7"/>
      <c r="AS49" s="5" t="s">
        <v>1223</v>
      </c>
      <c r="AT49" s="7" t="s">
        <v>1224</v>
      </c>
      <c r="AU49" s="7" t="s">
        <v>1225</v>
      </c>
      <c r="AV49" s="7" t="s">
        <v>1226</v>
      </c>
      <c r="AW49" s="7" t="s">
        <v>1227</v>
      </c>
      <c r="AX49" s="7" t="s">
        <v>1228</v>
      </c>
      <c r="AY49" s="7" t="s">
        <v>1229</v>
      </c>
      <c r="AZ49" s="5">
        <f t="shared" ref="AZ49:AZ50" si="8">TINV(BA49,BB49)</f>
        <v>2.3943124688532973</v>
      </c>
      <c r="BA49" s="9">
        <v>1.7000000000000001E-2</v>
      </c>
      <c r="BB49" s="9">
        <v>527</v>
      </c>
      <c r="BC49" s="9"/>
      <c r="BD49" s="9"/>
      <c r="BE49" s="9"/>
      <c r="BF49" s="9"/>
      <c r="BG49" s="9"/>
      <c r="BH49" s="9"/>
      <c r="BI49" s="9"/>
      <c r="BJ49" s="9"/>
      <c r="BK49" s="9"/>
      <c r="BL49" s="9"/>
      <c r="BM49" s="9"/>
      <c r="BN49" s="9"/>
      <c r="BO49" s="9"/>
      <c r="BP49" s="9"/>
      <c r="BQ49" s="9"/>
      <c r="BR49" s="9"/>
      <c r="BS49" s="9"/>
      <c r="BT49" s="9"/>
      <c r="BU49" s="21">
        <f t="shared" ref="BU49:BU50" si="9">(AZ49*2)/(SQRT(BB49))</f>
        <v>0.20859577860096601</v>
      </c>
      <c r="BV49" s="7"/>
      <c r="BW49" s="5" t="s">
        <v>1230</v>
      </c>
      <c r="BX49" s="7" t="s">
        <v>1231</v>
      </c>
      <c r="BY49" s="7"/>
      <c r="BZ49" s="7"/>
      <c r="CA49" s="7"/>
      <c r="CB49" s="7"/>
      <c r="CC49" s="7"/>
      <c r="CD49" s="7"/>
      <c r="CE49" s="7"/>
      <c r="CF49" s="7"/>
      <c r="CG49" s="7"/>
      <c r="CH49" s="7"/>
      <c r="CI49" s="7"/>
      <c r="CJ49" s="7"/>
      <c r="CK49" s="7"/>
      <c r="CL49" s="7"/>
      <c r="CM49" s="7"/>
      <c r="CN49" s="7"/>
      <c r="CO49" s="7"/>
      <c r="CP49" s="7"/>
      <c r="CQ49" s="7"/>
      <c r="CR49" s="7"/>
      <c r="CS49" s="7"/>
      <c r="CT49" s="7"/>
      <c r="CU49" s="7"/>
    </row>
    <row r="50" spans="1:99" ht="15" x14ac:dyDescent="0.2">
      <c r="A50" s="3">
        <v>9</v>
      </c>
      <c r="B50" s="5"/>
      <c r="C50" s="7"/>
      <c r="D50" s="7"/>
      <c r="E50" s="7"/>
      <c r="F50" s="7"/>
      <c r="G50" s="7"/>
      <c r="H50" s="7"/>
      <c r="I50" s="7"/>
      <c r="J50" s="7"/>
      <c r="K50" s="7"/>
      <c r="L50" s="7"/>
      <c r="M50" s="7"/>
      <c r="N50" s="7"/>
      <c r="O50" s="7"/>
      <c r="P50" s="7"/>
      <c r="Q50" s="7"/>
      <c r="R50" s="7"/>
      <c r="S50" s="11"/>
      <c r="T50" s="7"/>
      <c r="U50" s="7"/>
      <c r="V50" s="7"/>
      <c r="W50" s="5"/>
      <c r="X50" s="7"/>
      <c r="Y50" s="7"/>
      <c r="Z50" s="11"/>
      <c r="AA50" s="11"/>
      <c r="AB50" s="11"/>
      <c r="AC50" s="11"/>
      <c r="AD50" s="11"/>
      <c r="AE50" s="11"/>
      <c r="AF50" s="11"/>
      <c r="AG50" s="11"/>
      <c r="AH50" s="11"/>
      <c r="AI50" s="11"/>
      <c r="AJ50" s="11"/>
      <c r="AK50" s="11"/>
      <c r="AL50" s="11"/>
      <c r="AM50" s="7"/>
      <c r="AN50" s="5"/>
      <c r="AO50" s="5"/>
      <c r="AP50" s="5"/>
      <c r="AQ50" s="7"/>
      <c r="AR50" s="7"/>
      <c r="AS50" s="5"/>
      <c r="AT50" s="7"/>
      <c r="AU50" s="7"/>
      <c r="AV50" s="7"/>
      <c r="AW50" s="7"/>
      <c r="AX50" s="7"/>
      <c r="AY50" s="7"/>
      <c r="AZ50" s="11">
        <f t="shared" si="8"/>
        <v>2.6094563312922148</v>
      </c>
      <c r="BA50" s="8">
        <v>0.01</v>
      </c>
      <c r="BB50" s="8">
        <v>148</v>
      </c>
      <c r="BC50" s="8"/>
      <c r="BD50" s="8"/>
      <c r="BE50" s="8"/>
      <c r="BF50" s="8"/>
      <c r="BG50" s="8"/>
      <c r="BH50" s="8"/>
      <c r="BI50" s="8"/>
      <c r="BJ50" s="8"/>
      <c r="BK50" s="8"/>
      <c r="BL50" s="8"/>
      <c r="BM50" s="8"/>
      <c r="BN50" s="8"/>
      <c r="BO50" s="8"/>
      <c r="BP50" s="8"/>
      <c r="BQ50" s="8"/>
      <c r="BR50" s="8"/>
      <c r="BS50" s="8"/>
      <c r="BT50" s="8"/>
      <c r="BU50" s="23">
        <f t="shared" si="9"/>
        <v>0.42899197828199304</v>
      </c>
      <c r="BV50" s="7"/>
      <c r="BW50" s="5"/>
      <c r="BX50" s="7"/>
      <c r="BY50" s="7"/>
      <c r="BZ50" s="7"/>
      <c r="CA50" s="7"/>
      <c r="CB50" s="7"/>
      <c r="CC50" s="7"/>
      <c r="CD50" s="7"/>
      <c r="CE50" s="7"/>
      <c r="CF50" s="7"/>
      <c r="CG50" s="7"/>
      <c r="CH50" s="7"/>
      <c r="CI50" s="7"/>
      <c r="CJ50" s="7"/>
      <c r="CK50" s="7"/>
      <c r="CL50" s="7"/>
      <c r="CM50" s="7"/>
      <c r="CN50" s="7"/>
      <c r="CO50" s="7"/>
      <c r="CP50" s="7"/>
      <c r="CQ50" s="7"/>
      <c r="CR50" s="7"/>
      <c r="CS50" s="7"/>
      <c r="CT50" s="7"/>
      <c r="CU50" s="7"/>
    </row>
    <row r="51" spans="1:99" ht="375" x14ac:dyDescent="0.2">
      <c r="A51" s="3">
        <v>10</v>
      </c>
      <c r="B51" s="11">
        <v>102</v>
      </c>
      <c r="C51" s="5" t="s">
        <v>0</v>
      </c>
      <c r="D51" s="5" t="s">
        <v>1</v>
      </c>
      <c r="E51" s="5" t="str">
        <f t="shared" si="6"/>
        <v>NO</v>
      </c>
      <c r="F51" s="5" t="s">
        <v>1</v>
      </c>
      <c r="G51" s="5"/>
      <c r="H51" s="5" t="s">
        <v>37</v>
      </c>
      <c r="I51" s="5" t="s">
        <v>38</v>
      </c>
      <c r="J51" s="5" t="s">
        <v>39</v>
      </c>
      <c r="K51" s="5">
        <v>10</v>
      </c>
      <c r="L51" s="5" t="str">
        <f t="shared" si="7"/>
        <v>10O</v>
      </c>
      <c r="M51" s="5">
        <v>86</v>
      </c>
      <c r="N51" s="5">
        <v>5</v>
      </c>
      <c r="O51" s="5">
        <v>1189</v>
      </c>
      <c r="P51" s="5">
        <v>1202</v>
      </c>
      <c r="Q51" s="5" t="s">
        <v>40</v>
      </c>
      <c r="R51" s="5">
        <v>2015</v>
      </c>
      <c r="S51" s="19" t="s">
        <v>1191</v>
      </c>
      <c r="T51" s="5"/>
      <c r="U51" s="5"/>
      <c r="V51" s="5"/>
      <c r="W51" s="5"/>
      <c r="X51" s="5"/>
      <c r="Y51" s="5"/>
      <c r="Z51" s="5"/>
      <c r="AA51" s="5"/>
      <c r="AB51" s="5"/>
      <c r="AC51" s="5"/>
      <c r="AD51" s="5"/>
      <c r="AE51" s="11"/>
      <c r="AF51" s="11"/>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7"/>
      <c r="CD51" s="7"/>
      <c r="CE51" s="7"/>
      <c r="CF51" s="7"/>
      <c r="CG51" s="7"/>
      <c r="CH51" s="7"/>
      <c r="CI51" s="7"/>
      <c r="CJ51" s="7"/>
      <c r="CK51" s="7"/>
      <c r="CL51" s="7"/>
      <c r="CM51" s="7"/>
      <c r="CN51" s="7"/>
      <c r="CO51" s="7"/>
      <c r="CP51" s="7"/>
      <c r="CQ51" s="7"/>
      <c r="CR51" s="7"/>
      <c r="CS51" s="7"/>
      <c r="CT51" s="7"/>
      <c r="CU51" s="7"/>
    </row>
    <row r="52" spans="1:99" ht="409.5" customHeight="1" x14ac:dyDescent="0.2">
      <c r="A52" s="3">
        <v>10</v>
      </c>
      <c r="B52" s="5">
        <v>111</v>
      </c>
      <c r="C52" s="7" t="s">
        <v>1</v>
      </c>
      <c r="D52" s="7" t="s">
        <v>1</v>
      </c>
      <c r="E52" s="7" t="str">
        <f t="shared" si="6"/>
        <v>OO</v>
      </c>
      <c r="F52" s="7" t="s">
        <v>1</v>
      </c>
      <c r="G52" s="7" t="s">
        <v>41</v>
      </c>
      <c r="H52" s="7"/>
      <c r="I52" s="7" t="s">
        <v>42</v>
      </c>
      <c r="J52" s="7" t="s">
        <v>43</v>
      </c>
      <c r="K52" s="7">
        <v>6</v>
      </c>
      <c r="L52" s="7" t="str">
        <f t="shared" si="7"/>
        <v>6O</v>
      </c>
      <c r="M52" s="7">
        <v>35</v>
      </c>
      <c r="N52" s="7">
        <v>20</v>
      </c>
      <c r="O52" s="7">
        <v>7964</v>
      </c>
      <c r="P52" s="7">
        <v>7976</v>
      </c>
      <c r="Q52" s="7" t="s">
        <v>44</v>
      </c>
      <c r="R52" s="7">
        <v>2015</v>
      </c>
      <c r="S52" s="11"/>
      <c r="T52" s="7" t="s">
        <v>819</v>
      </c>
      <c r="U52" s="7" t="s">
        <v>820</v>
      </c>
      <c r="V52" s="7" t="s">
        <v>494</v>
      </c>
      <c r="W52" s="5" t="s">
        <v>823</v>
      </c>
      <c r="X52" s="7" t="s">
        <v>585</v>
      </c>
      <c r="Y52" s="5" t="s">
        <v>1016</v>
      </c>
      <c r="Z52" s="7" t="s">
        <v>581</v>
      </c>
      <c r="AA52" s="7" t="s">
        <v>1017</v>
      </c>
      <c r="AB52" s="10" t="s">
        <v>1018</v>
      </c>
      <c r="AC52" s="7"/>
      <c r="AD52" s="7" t="s">
        <v>1232</v>
      </c>
      <c r="AE52" s="5" t="s">
        <v>1019</v>
      </c>
      <c r="AF52" s="5" t="s">
        <v>1021</v>
      </c>
      <c r="AG52" s="7" t="s">
        <v>1020</v>
      </c>
      <c r="AH52" s="12" t="s">
        <v>1022</v>
      </c>
      <c r="AI52" s="11"/>
      <c r="AJ52" s="11"/>
      <c r="AK52" s="11"/>
      <c r="AL52" s="11"/>
      <c r="AM52" s="5" t="s">
        <v>825</v>
      </c>
      <c r="AN52" s="5" t="s">
        <v>824</v>
      </c>
      <c r="AO52" s="5" t="s">
        <v>584</v>
      </c>
      <c r="AP52" s="7" t="s">
        <v>582</v>
      </c>
      <c r="AQ52" s="7" t="s">
        <v>583</v>
      </c>
      <c r="AR52" s="7"/>
      <c r="AS52" s="7" t="s">
        <v>1233</v>
      </c>
      <c r="AT52" s="5" t="s">
        <v>1234</v>
      </c>
      <c r="AU52" s="5" t="s">
        <v>1235</v>
      </c>
      <c r="AV52" s="24" t="s">
        <v>1236</v>
      </c>
      <c r="AW52" s="7" t="s">
        <v>1237</v>
      </c>
      <c r="AX52" s="7"/>
      <c r="AY52" s="7"/>
      <c r="AZ52" s="11" t="e">
        <f t="shared" ref="AZ52" si="10">TINV(BA52,BB52)</f>
        <v>#NUM!</v>
      </c>
      <c r="BA52" s="8"/>
      <c r="BB52" s="8"/>
      <c r="BC52" s="8"/>
      <c r="BD52" s="8"/>
      <c r="BE52" s="8"/>
      <c r="BF52" s="8"/>
      <c r="BG52" s="8"/>
      <c r="BH52" s="8"/>
      <c r="BI52" s="8"/>
      <c r="BJ52" s="8"/>
      <c r="BK52" s="8"/>
      <c r="BL52" s="8"/>
      <c r="BM52" s="8"/>
      <c r="BN52" s="8"/>
      <c r="BO52" s="8"/>
      <c r="BP52" s="8"/>
      <c r="BQ52" s="8"/>
      <c r="BR52" s="8"/>
      <c r="BS52" s="8"/>
      <c r="BT52" s="8"/>
      <c r="BU52" s="23" t="e">
        <f t="shared" ref="BU52" si="11">(AZ52*2)/(SQRT(BB52))</f>
        <v>#NUM!</v>
      </c>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row>
    <row r="53" spans="1:99" ht="270" x14ac:dyDescent="0.2">
      <c r="A53" s="3">
        <v>11</v>
      </c>
      <c r="B53" s="5">
        <v>160</v>
      </c>
      <c r="C53" s="7" t="s">
        <v>1</v>
      </c>
      <c r="D53" s="7" t="s">
        <v>1</v>
      </c>
      <c r="E53" s="7" t="str">
        <f t="shared" si="6"/>
        <v>OO</v>
      </c>
      <c r="F53" s="7" t="s">
        <v>1</v>
      </c>
      <c r="G53" s="7" t="s">
        <v>45</v>
      </c>
      <c r="H53" s="7"/>
      <c r="I53" s="7" t="s">
        <v>46</v>
      </c>
      <c r="J53" s="7" t="s">
        <v>47</v>
      </c>
      <c r="K53" s="7">
        <v>7</v>
      </c>
      <c r="L53" s="7" t="str">
        <f t="shared" si="7"/>
        <v>7O</v>
      </c>
      <c r="M53" s="7">
        <v>20</v>
      </c>
      <c r="N53" s="7">
        <v>3</v>
      </c>
      <c r="O53" s="7">
        <v>398</v>
      </c>
      <c r="P53" s="7">
        <v>404</v>
      </c>
      <c r="Q53" s="7" t="s">
        <v>48</v>
      </c>
      <c r="R53" s="7">
        <v>2015</v>
      </c>
      <c r="S53" s="11"/>
      <c r="T53" s="5" t="s">
        <v>826</v>
      </c>
      <c r="U53" s="5" t="s">
        <v>586</v>
      </c>
      <c r="V53" s="7" t="s">
        <v>359</v>
      </c>
      <c r="W53" s="5" t="s">
        <v>828</v>
      </c>
      <c r="X53" s="7" t="s">
        <v>827</v>
      </c>
      <c r="Y53" s="7" t="s">
        <v>587</v>
      </c>
      <c r="Z53" s="7"/>
      <c r="AA53" s="7" t="s">
        <v>588</v>
      </c>
      <c r="AB53" s="10" t="s">
        <v>1023</v>
      </c>
      <c r="AC53" s="7"/>
      <c r="AD53" s="7" t="s">
        <v>1024</v>
      </c>
      <c r="AE53" s="5" t="s">
        <v>1025</v>
      </c>
      <c r="AF53" s="5"/>
      <c r="AG53" s="7" t="s">
        <v>1026</v>
      </c>
      <c r="AH53" s="7"/>
      <c r="AI53" s="5" t="s">
        <v>1027</v>
      </c>
      <c r="AJ53" s="11"/>
      <c r="AK53" s="5"/>
      <c r="AL53" s="5"/>
      <c r="AM53" s="5" t="s">
        <v>829</v>
      </c>
      <c r="AN53" s="5" t="s">
        <v>830</v>
      </c>
      <c r="AO53" s="7" t="s">
        <v>589</v>
      </c>
      <c r="AP53" s="7" t="s">
        <v>590</v>
      </c>
      <c r="AQ53" s="7" t="s">
        <v>591</v>
      </c>
      <c r="AR53" s="7"/>
      <c r="AS53" s="7" t="s">
        <v>1238</v>
      </c>
      <c r="AT53" s="7" t="s">
        <v>599</v>
      </c>
      <c r="AU53" s="7" t="s">
        <v>1239</v>
      </c>
      <c r="AV53" s="7"/>
      <c r="AW53" s="7"/>
      <c r="AX53" s="7"/>
      <c r="AY53" s="7"/>
      <c r="AZ53" s="5">
        <f t="shared" ref="AZ53" si="12">TINV(BA53,BB53)</f>
        <v>3.6407421274882741</v>
      </c>
      <c r="BA53" s="9">
        <v>2.9999999999999997E-4</v>
      </c>
      <c r="BB53" s="9">
        <v>503</v>
      </c>
      <c r="BC53" s="9"/>
      <c r="BD53" s="9"/>
      <c r="BE53" s="9"/>
      <c r="BF53" s="9"/>
      <c r="BG53" s="9"/>
      <c r="BH53" s="9"/>
      <c r="BI53" s="9"/>
      <c r="BJ53" s="9"/>
      <c r="BK53" s="9"/>
      <c r="BL53" s="9"/>
      <c r="BM53" s="9"/>
      <c r="BN53" s="9"/>
      <c r="BO53" s="9"/>
      <c r="BP53" s="9"/>
      <c r="BQ53" s="9"/>
      <c r="BR53" s="9"/>
      <c r="BS53" s="9"/>
      <c r="BT53" s="9"/>
      <c r="BU53" s="20">
        <f t="shared" ref="BU53" si="13">(AZ53*2)/(SQRT(BB53))</f>
        <v>0.32466533604370595</v>
      </c>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row>
    <row r="54" spans="1:99" ht="60" x14ac:dyDescent="0.2">
      <c r="A54" s="3">
        <v>14</v>
      </c>
      <c r="B54" s="5"/>
      <c r="C54" s="7"/>
      <c r="D54" s="7"/>
      <c r="E54" s="7"/>
      <c r="F54" s="7"/>
      <c r="G54" s="7"/>
      <c r="H54" s="7"/>
      <c r="I54" s="7"/>
      <c r="J54" s="7"/>
      <c r="K54" s="7"/>
      <c r="L54" s="7"/>
      <c r="M54" s="7"/>
      <c r="N54" s="7"/>
      <c r="O54" s="7"/>
      <c r="P54" s="7"/>
      <c r="Q54" s="7"/>
      <c r="R54" s="7"/>
      <c r="S54" s="11"/>
      <c r="T54" s="5"/>
      <c r="U54" s="5"/>
      <c r="V54" s="7"/>
      <c r="W54" s="5"/>
      <c r="X54" s="7"/>
      <c r="Y54" s="7"/>
      <c r="Z54" s="7"/>
      <c r="AA54" s="7"/>
      <c r="AB54" s="7"/>
      <c r="AC54" s="7"/>
      <c r="AD54" s="7"/>
      <c r="AE54" s="5"/>
      <c r="AF54" s="5"/>
      <c r="AG54" s="7"/>
      <c r="AH54" s="7"/>
      <c r="AI54" s="5"/>
      <c r="AJ54" s="11"/>
      <c r="AK54" s="5"/>
      <c r="AL54" s="5"/>
      <c r="AM54" s="5"/>
      <c r="AN54" s="5"/>
      <c r="AO54" s="7" t="s">
        <v>593</v>
      </c>
      <c r="AP54" s="7" t="s">
        <v>595</v>
      </c>
      <c r="AQ54" s="7" t="s">
        <v>596</v>
      </c>
      <c r="AR54" s="7"/>
      <c r="AS54" s="7"/>
      <c r="AT54" s="7"/>
      <c r="AU54" s="7"/>
      <c r="AV54" s="7" t="s">
        <v>601</v>
      </c>
      <c r="AW54" s="7"/>
      <c r="AX54" s="7"/>
      <c r="AY54" s="7"/>
      <c r="AZ54" s="5"/>
      <c r="BA54" s="9"/>
      <c r="BB54" s="9"/>
      <c r="BC54" s="9"/>
      <c r="BD54" s="9"/>
      <c r="BE54" s="9"/>
      <c r="BF54" s="9"/>
      <c r="BG54" s="9"/>
      <c r="BH54" s="9"/>
      <c r="BI54" s="9"/>
      <c r="BJ54" s="9"/>
      <c r="BK54" s="9"/>
      <c r="BL54" s="9"/>
      <c r="BM54" s="9"/>
      <c r="BN54" s="9"/>
      <c r="BO54" s="9"/>
      <c r="BP54" s="9"/>
      <c r="BQ54" s="9"/>
      <c r="BR54" s="9"/>
      <c r="BS54" s="9"/>
      <c r="BT54" s="9"/>
      <c r="BU54" s="20"/>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row>
    <row r="55" spans="1:99" ht="60" x14ac:dyDescent="0.2">
      <c r="A55" s="3">
        <v>14</v>
      </c>
      <c r="B55" s="5"/>
      <c r="C55" s="7"/>
      <c r="D55" s="7"/>
      <c r="E55" s="7"/>
      <c r="F55" s="7"/>
      <c r="G55" s="7"/>
      <c r="H55" s="7"/>
      <c r="I55" s="7"/>
      <c r="J55" s="7"/>
      <c r="K55" s="7"/>
      <c r="L55" s="7"/>
      <c r="M55" s="7"/>
      <c r="N55" s="7"/>
      <c r="O55" s="7"/>
      <c r="P55" s="7"/>
      <c r="Q55" s="7"/>
      <c r="R55" s="7"/>
      <c r="S55" s="11"/>
      <c r="T55" s="5"/>
      <c r="U55" s="5"/>
      <c r="V55" s="7"/>
      <c r="W55" s="5"/>
      <c r="X55" s="7"/>
      <c r="Y55" s="7"/>
      <c r="Z55" s="7"/>
      <c r="AA55" s="7"/>
      <c r="AB55" s="7"/>
      <c r="AC55" s="7"/>
      <c r="AD55" s="7"/>
      <c r="AE55" s="5"/>
      <c r="AF55" s="5"/>
      <c r="AG55" s="7"/>
      <c r="AH55" s="7"/>
      <c r="AI55" s="5"/>
      <c r="AJ55" s="11"/>
      <c r="AK55" s="5"/>
      <c r="AL55" s="5"/>
      <c r="AM55" s="5"/>
      <c r="AN55" s="5"/>
      <c r="AO55" s="7" t="s">
        <v>594</v>
      </c>
      <c r="AP55" s="7" t="s">
        <v>597</v>
      </c>
      <c r="AQ55" s="7" t="s">
        <v>598</v>
      </c>
      <c r="AR55" s="7"/>
      <c r="AS55" s="7"/>
      <c r="AT55" s="7"/>
      <c r="AU55" s="7"/>
      <c r="AV55" s="7" t="s">
        <v>602</v>
      </c>
      <c r="AW55" s="7"/>
      <c r="AX55" s="7"/>
      <c r="AY55" s="7"/>
      <c r="AZ55" s="5"/>
      <c r="BA55" s="9"/>
      <c r="BB55" s="9"/>
      <c r="BC55" s="9"/>
      <c r="BD55" s="9"/>
      <c r="BE55" s="9"/>
      <c r="BF55" s="9"/>
      <c r="BG55" s="9"/>
      <c r="BH55" s="9"/>
      <c r="BI55" s="9"/>
      <c r="BJ55" s="9"/>
      <c r="BK55" s="9"/>
      <c r="BL55" s="9"/>
      <c r="BM55" s="9"/>
      <c r="BN55" s="9"/>
      <c r="BO55" s="9"/>
      <c r="BP55" s="9"/>
      <c r="BQ55" s="9"/>
      <c r="BR55" s="9"/>
      <c r="BS55" s="9"/>
      <c r="BT55" s="9"/>
      <c r="BU55" s="20"/>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row>
    <row r="56" spans="1:99" ht="105" x14ac:dyDescent="0.2">
      <c r="A56" s="3">
        <v>14</v>
      </c>
      <c r="B56" s="5"/>
      <c r="C56" s="7"/>
      <c r="D56" s="7"/>
      <c r="E56" s="7"/>
      <c r="F56" s="7"/>
      <c r="G56" s="7"/>
      <c r="H56" s="7"/>
      <c r="I56" s="7"/>
      <c r="J56" s="7"/>
      <c r="K56" s="7"/>
      <c r="L56" s="7"/>
      <c r="M56" s="7"/>
      <c r="N56" s="7"/>
      <c r="O56" s="7"/>
      <c r="P56" s="7"/>
      <c r="Q56" s="7"/>
      <c r="R56" s="7"/>
      <c r="S56" s="11"/>
      <c r="T56" s="5"/>
      <c r="U56" s="5"/>
      <c r="V56" s="7"/>
      <c r="W56" s="5"/>
      <c r="X56" s="7"/>
      <c r="Y56" s="7"/>
      <c r="Z56" s="7"/>
      <c r="AA56" s="7"/>
      <c r="AB56" s="7"/>
      <c r="AC56" s="7"/>
      <c r="AD56" s="7"/>
      <c r="AE56" s="5"/>
      <c r="AF56" s="5"/>
      <c r="AG56" s="7"/>
      <c r="AH56" s="7"/>
      <c r="AI56" s="5"/>
      <c r="AJ56" s="11"/>
      <c r="AK56" s="5"/>
      <c r="AL56" s="5"/>
      <c r="AM56" s="5"/>
      <c r="AN56" s="5"/>
      <c r="AO56" s="7" t="s">
        <v>592</v>
      </c>
      <c r="AP56" s="7" t="s">
        <v>1029</v>
      </c>
      <c r="AQ56" s="7" t="s">
        <v>1028</v>
      </c>
      <c r="AR56" s="7"/>
      <c r="AS56" s="7" t="s">
        <v>1240</v>
      </c>
      <c r="AT56" s="7" t="s">
        <v>600</v>
      </c>
      <c r="AU56" s="7" t="s">
        <v>831</v>
      </c>
      <c r="AV56" s="7"/>
      <c r="AW56" s="7"/>
      <c r="AX56" s="7"/>
      <c r="AY56" s="7"/>
      <c r="AZ56" s="5">
        <f t="shared" ref="AZ56" si="14">TINV(BA56,BB56)</f>
        <v>3.912469559202163</v>
      </c>
      <c r="BA56" s="8">
        <v>1E-4</v>
      </c>
      <c r="BB56" s="9">
        <v>721</v>
      </c>
      <c r="BC56" s="9"/>
      <c r="BD56" s="9"/>
      <c r="BE56" s="9"/>
      <c r="BF56" s="9"/>
      <c r="BG56" s="9"/>
      <c r="BH56" s="9"/>
      <c r="BI56" s="9"/>
      <c r="BJ56" s="9"/>
      <c r="BK56" s="9"/>
      <c r="BL56" s="9"/>
      <c r="BM56" s="9"/>
      <c r="BN56" s="9"/>
      <c r="BO56" s="9"/>
      <c r="BP56" s="9"/>
      <c r="BQ56" s="9"/>
      <c r="BR56" s="9"/>
      <c r="BS56" s="9"/>
      <c r="BT56" s="9"/>
      <c r="BU56" s="20">
        <f t="shared" ref="BU56" si="15">(AZ56*2)/(SQRT(BB56))</f>
        <v>0.29141596116660295</v>
      </c>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row>
    <row r="57" spans="1:99" ht="153.75" customHeight="1" x14ac:dyDescent="0.2">
      <c r="A57" s="3">
        <v>15</v>
      </c>
      <c r="B57" s="11">
        <v>163</v>
      </c>
      <c r="C57" s="5" t="s">
        <v>1</v>
      </c>
      <c r="D57" s="5" t="s">
        <v>1702</v>
      </c>
      <c r="E57" s="5" t="str">
        <f t="shared" si="6"/>
        <v>OC</v>
      </c>
      <c r="F57" s="5" t="s">
        <v>1</v>
      </c>
      <c r="G57" s="5" t="s">
        <v>49</v>
      </c>
      <c r="H57" s="5"/>
      <c r="I57" s="5" t="s">
        <v>50</v>
      </c>
      <c r="J57" s="5" t="s">
        <v>51</v>
      </c>
      <c r="K57" s="7">
        <v>1</v>
      </c>
      <c r="L57" s="7" t="str">
        <f t="shared" si="7"/>
        <v>1O</v>
      </c>
      <c r="M57" s="7">
        <v>77</v>
      </c>
      <c r="N57" s="7">
        <v>3</v>
      </c>
      <c r="O57" s="7">
        <v>469</v>
      </c>
      <c r="P57" s="7">
        <v>477</v>
      </c>
      <c r="Q57" s="7" t="s">
        <v>52</v>
      </c>
      <c r="R57" s="7">
        <v>2015</v>
      </c>
      <c r="S57" s="19" t="s">
        <v>1035</v>
      </c>
      <c r="T57" s="7"/>
      <c r="U57" s="7" t="s">
        <v>1032</v>
      </c>
      <c r="V57" s="7"/>
      <c r="W57" s="7" t="s">
        <v>1030</v>
      </c>
      <c r="X57" s="7" t="s">
        <v>1031</v>
      </c>
      <c r="Y57" s="7"/>
      <c r="Z57" s="7"/>
      <c r="AA57" s="7"/>
      <c r="AB57" s="7"/>
      <c r="AC57" s="7"/>
      <c r="AD57" s="5"/>
      <c r="AE57" s="5"/>
      <c r="AF57" s="5"/>
      <c r="AG57" s="5"/>
      <c r="AH57" s="7"/>
      <c r="AI57" s="7"/>
      <c r="AJ57" s="7"/>
      <c r="AK57" s="7"/>
      <c r="AL57" s="7"/>
      <c r="AM57" s="7" t="s">
        <v>1034</v>
      </c>
      <c r="AN57" s="7" t="s">
        <v>1033</v>
      </c>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row>
    <row r="58" spans="1:99" ht="122.25" customHeight="1" x14ac:dyDescent="0.2">
      <c r="A58" s="3">
        <v>15</v>
      </c>
      <c r="B58" s="7">
        <v>167</v>
      </c>
      <c r="C58" s="7" t="s">
        <v>1</v>
      </c>
      <c r="D58" s="7" t="s">
        <v>1</v>
      </c>
      <c r="E58" s="7" t="str">
        <f t="shared" si="6"/>
        <v>OO</v>
      </c>
      <c r="F58" s="7" t="s">
        <v>1</v>
      </c>
      <c r="G58" s="7" t="s">
        <v>53</v>
      </c>
      <c r="H58" s="7"/>
      <c r="I58" s="7" t="s">
        <v>54</v>
      </c>
      <c r="J58" s="7" t="s">
        <v>55</v>
      </c>
      <c r="K58" s="7">
        <v>5</v>
      </c>
      <c r="L58" s="7" t="str">
        <f t="shared" si="7"/>
        <v>5O</v>
      </c>
      <c r="M58" s="7">
        <v>27</v>
      </c>
      <c r="N58" s="7">
        <v>3</v>
      </c>
      <c r="O58" s="7">
        <v>509</v>
      </c>
      <c r="P58" s="7">
        <v>521</v>
      </c>
      <c r="Q58" s="7" t="s">
        <v>56</v>
      </c>
      <c r="R58" s="7">
        <v>2015</v>
      </c>
      <c r="S58" s="11"/>
      <c r="T58" s="7" t="s">
        <v>832</v>
      </c>
      <c r="U58" s="7" t="s">
        <v>603</v>
      </c>
      <c r="V58" s="7"/>
      <c r="W58" s="7" t="s">
        <v>833</v>
      </c>
      <c r="X58" s="7" t="s">
        <v>53</v>
      </c>
      <c r="Y58" s="5" t="s">
        <v>604</v>
      </c>
      <c r="Z58" s="5" t="s">
        <v>1036</v>
      </c>
      <c r="AA58" s="5" t="s">
        <v>936</v>
      </c>
      <c r="AB58" s="28" t="s">
        <v>1038</v>
      </c>
      <c r="AC58" s="5"/>
      <c r="AD58" s="5"/>
      <c r="AE58" s="5" t="s">
        <v>1037</v>
      </c>
      <c r="AF58" s="11"/>
      <c r="AG58" s="5" t="s">
        <v>1039</v>
      </c>
      <c r="AH58" s="5"/>
      <c r="AI58" s="11"/>
      <c r="AJ58" s="11"/>
      <c r="AK58" s="11"/>
      <c r="AL58" s="11"/>
      <c r="AM58" s="7" t="s">
        <v>614</v>
      </c>
      <c r="AN58" s="7"/>
      <c r="AO58" s="7" t="s">
        <v>605</v>
      </c>
      <c r="AP58" s="7" t="s">
        <v>608</v>
      </c>
      <c r="AQ58" s="7" t="s">
        <v>609</v>
      </c>
      <c r="AR58" s="7"/>
      <c r="AS58" s="7" t="s">
        <v>1241</v>
      </c>
      <c r="AT58" s="7" t="s">
        <v>1242</v>
      </c>
      <c r="AU58" s="7"/>
      <c r="AV58" s="7"/>
      <c r="AW58" s="7"/>
      <c r="AX58" s="7"/>
      <c r="AY58" s="7"/>
      <c r="AZ58" s="5">
        <f t="shared" ref="AZ58:AZ62" si="16">TINV(BA58,BB58)</f>
        <v>2.0606764087363572</v>
      </c>
      <c r="BA58" s="9">
        <v>0.04</v>
      </c>
      <c r="BB58" s="9">
        <v>388</v>
      </c>
      <c r="BC58" s="9"/>
      <c r="BD58" s="9"/>
      <c r="BE58" s="9"/>
      <c r="BF58" s="9"/>
      <c r="BG58" s="9"/>
      <c r="BH58" s="9"/>
      <c r="BI58" s="9"/>
      <c r="BJ58" s="9"/>
      <c r="BK58" s="9"/>
      <c r="BL58" s="9"/>
      <c r="BM58" s="9"/>
      <c r="BN58" s="9"/>
      <c r="BO58" s="9"/>
      <c r="BP58" s="9"/>
      <c r="BQ58" s="9"/>
      <c r="BR58" s="9"/>
      <c r="BS58" s="9"/>
      <c r="BT58" s="9"/>
      <c r="BU58" s="20">
        <f t="shared" ref="BU58:BU62" si="17">(AZ58*2)/(SQRT(BB58))</f>
        <v>0.20922998891917785</v>
      </c>
      <c r="BV58" s="7" t="s">
        <v>1040</v>
      </c>
      <c r="BW58" s="7"/>
      <c r="BX58" s="7"/>
      <c r="BY58" s="7"/>
      <c r="BZ58" s="7"/>
      <c r="CA58" s="7"/>
      <c r="CB58" s="7"/>
      <c r="CC58" s="7"/>
      <c r="CD58" s="7"/>
      <c r="CE58" s="7"/>
      <c r="CF58" s="7"/>
      <c r="CG58" s="7"/>
      <c r="CH58" s="7"/>
      <c r="CI58" s="7"/>
      <c r="CJ58" s="7"/>
      <c r="CK58" s="7"/>
      <c r="CL58" s="7"/>
      <c r="CM58" s="7"/>
      <c r="CN58" s="7"/>
      <c r="CO58" s="7"/>
      <c r="CP58" s="7"/>
      <c r="CQ58" s="7"/>
      <c r="CR58" s="7"/>
      <c r="CS58" s="7"/>
      <c r="CT58" s="7"/>
      <c r="CU58" s="7"/>
    </row>
    <row r="59" spans="1:99" ht="118.5" customHeight="1" x14ac:dyDescent="0.2">
      <c r="A59" s="3">
        <v>15</v>
      </c>
      <c r="B59" s="7"/>
      <c r="C59" s="7"/>
      <c r="D59" s="7"/>
      <c r="E59" s="7"/>
      <c r="F59" s="7"/>
      <c r="G59" s="7"/>
      <c r="H59" s="7"/>
      <c r="I59" s="7"/>
      <c r="J59" s="7"/>
      <c r="K59" s="7"/>
      <c r="L59" s="7"/>
      <c r="M59" s="7"/>
      <c r="N59" s="7"/>
      <c r="O59" s="7"/>
      <c r="P59" s="7"/>
      <c r="Q59" s="7"/>
      <c r="R59" s="7"/>
      <c r="S59" s="11"/>
      <c r="T59" s="7"/>
      <c r="U59" s="7"/>
      <c r="V59" s="7"/>
      <c r="W59" s="7"/>
      <c r="X59" s="7"/>
      <c r="Y59" s="5"/>
      <c r="Z59" s="5"/>
      <c r="AA59" s="5"/>
      <c r="AB59" s="5"/>
      <c r="AC59" s="5"/>
      <c r="AD59" s="5"/>
      <c r="AE59" s="5"/>
      <c r="AF59" s="11"/>
      <c r="AG59" s="5"/>
      <c r="AH59" s="5"/>
      <c r="AI59" s="11"/>
      <c r="AJ59" s="11"/>
      <c r="AK59" s="11"/>
      <c r="AL59" s="11"/>
      <c r="AM59" s="7"/>
      <c r="AN59" s="7"/>
      <c r="AO59" s="7" t="s">
        <v>606</v>
      </c>
      <c r="AP59" s="7" t="s">
        <v>610</v>
      </c>
      <c r="AQ59" s="7" t="s">
        <v>611</v>
      </c>
      <c r="AR59" s="7"/>
      <c r="AS59" s="7"/>
      <c r="AT59" s="7"/>
      <c r="AU59" s="7" t="s">
        <v>1243</v>
      </c>
      <c r="AV59" s="7" t="s">
        <v>1244</v>
      </c>
      <c r="AW59" s="7"/>
      <c r="AX59" s="7"/>
      <c r="AY59" s="7"/>
      <c r="AZ59" s="5">
        <f t="shared" si="16"/>
        <v>2.067162384442883</v>
      </c>
      <c r="BA59" s="7">
        <v>0.04</v>
      </c>
      <c r="BB59" s="7">
        <v>201</v>
      </c>
      <c r="BC59" s="7"/>
      <c r="BD59" s="7"/>
      <c r="BE59" s="7"/>
      <c r="BF59" s="7"/>
      <c r="BG59" s="7"/>
      <c r="BH59" s="7"/>
      <c r="BI59" s="7"/>
      <c r="BJ59" s="7"/>
      <c r="BK59" s="7"/>
      <c r="BL59" s="7"/>
      <c r="BM59" s="7"/>
      <c r="BN59" s="7"/>
      <c r="BO59" s="7"/>
      <c r="BP59" s="7"/>
      <c r="BQ59" s="7"/>
      <c r="BR59" s="7"/>
      <c r="BS59" s="7"/>
      <c r="BT59" s="7"/>
      <c r="BU59" s="20">
        <f t="shared" si="17"/>
        <v>0.29161278502691873</v>
      </c>
      <c r="BV59" s="7" t="s">
        <v>1042</v>
      </c>
      <c r="BW59" s="7"/>
      <c r="BX59" s="7"/>
      <c r="BY59" s="7"/>
      <c r="BZ59" s="7"/>
      <c r="CA59" s="7"/>
      <c r="CB59" s="7"/>
      <c r="CC59" s="7"/>
      <c r="CD59" s="7"/>
      <c r="CE59" s="7"/>
      <c r="CF59" s="7"/>
      <c r="CG59" s="7"/>
      <c r="CH59" s="7"/>
      <c r="CI59" s="7"/>
      <c r="CJ59" s="7"/>
      <c r="CK59" s="7"/>
      <c r="CL59" s="7"/>
      <c r="CM59" s="7"/>
      <c r="CN59" s="7"/>
      <c r="CO59" s="7"/>
      <c r="CP59" s="7"/>
      <c r="CQ59" s="7"/>
      <c r="CR59" s="7"/>
      <c r="CS59" s="7"/>
      <c r="CT59" s="7"/>
      <c r="CU59" s="7"/>
    </row>
    <row r="60" spans="1:99" ht="104.25" customHeight="1" x14ac:dyDescent="0.2">
      <c r="A60" s="3">
        <v>15</v>
      </c>
      <c r="B60" s="7"/>
      <c r="C60" s="7"/>
      <c r="D60" s="7"/>
      <c r="E60" s="7"/>
      <c r="F60" s="7"/>
      <c r="G60" s="7"/>
      <c r="H60" s="7"/>
      <c r="I60" s="7"/>
      <c r="J60" s="7"/>
      <c r="K60" s="7"/>
      <c r="L60" s="7"/>
      <c r="M60" s="7"/>
      <c r="N60" s="7"/>
      <c r="O60" s="7"/>
      <c r="P60" s="7"/>
      <c r="Q60" s="7"/>
      <c r="R60" s="7"/>
      <c r="S60" s="11"/>
      <c r="T60" s="7"/>
      <c r="U60" s="7"/>
      <c r="V60" s="7"/>
      <c r="W60" s="7"/>
      <c r="X60" s="7"/>
      <c r="Y60" s="5"/>
      <c r="Z60" s="5"/>
      <c r="AA60" s="5"/>
      <c r="AB60" s="5"/>
      <c r="AC60" s="5"/>
      <c r="AD60" s="5"/>
      <c r="AE60" s="5"/>
      <c r="AF60" s="11"/>
      <c r="AG60" s="5"/>
      <c r="AH60" s="5"/>
      <c r="AI60" s="11"/>
      <c r="AJ60" s="11"/>
      <c r="AK60" s="11"/>
      <c r="AL60" s="11"/>
      <c r="AM60" s="7"/>
      <c r="AN60" s="7"/>
      <c r="AO60" s="7" t="s">
        <v>607</v>
      </c>
      <c r="AP60" s="7" t="s">
        <v>612</v>
      </c>
      <c r="AQ60" s="7" t="s">
        <v>613</v>
      </c>
      <c r="AR60" s="7"/>
      <c r="AS60" s="7"/>
      <c r="AT60" s="7"/>
      <c r="AU60" s="7"/>
      <c r="AV60" s="7"/>
      <c r="AW60" s="7" t="s">
        <v>1245</v>
      </c>
      <c r="AX60" s="7"/>
      <c r="AY60" s="7"/>
      <c r="AZ60" s="5">
        <f t="shared" si="16"/>
        <v>2.6387763901143395</v>
      </c>
      <c r="BA60" s="7">
        <v>8.9999999999999993E-3</v>
      </c>
      <c r="BB60" s="7">
        <v>193</v>
      </c>
      <c r="BC60" s="7"/>
      <c r="BD60" s="7"/>
      <c r="BE60" s="7"/>
      <c r="BF60" s="7"/>
      <c r="BG60" s="7"/>
      <c r="BH60" s="7"/>
      <c r="BI60" s="7"/>
      <c r="BJ60" s="7"/>
      <c r="BK60" s="7"/>
      <c r="BL60" s="7"/>
      <c r="BM60" s="7"/>
      <c r="BN60" s="7"/>
      <c r="BO60" s="7"/>
      <c r="BP60" s="7"/>
      <c r="BQ60" s="7"/>
      <c r="BR60" s="7"/>
      <c r="BS60" s="7"/>
      <c r="BT60" s="7"/>
      <c r="BU60" s="21">
        <f t="shared" si="17"/>
        <v>0.37988656166161666</v>
      </c>
      <c r="BV60" s="12" t="s">
        <v>1041</v>
      </c>
      <c r="BW60" s="7"/>
      <c r="BX60" s="7"/>
      <c r="BY60" s="7"/>
      <c r="BZ60" s="7"/>
      <c r="CA60" s="7"/>
      <c r="CB60" s="7"/>
      <c r="CC60" s="7"/>
      <c r="CD60" s="7"/>
      <c r="CE60" s="7"/>
      <c r="CF60" s="7"/>
      <c r="CG60" s="7"/>
      <c r="CH60" s="7"/>
      <c r="CI60" s="7"/>
      <c r="CJ60" s="7"/>
      <c r="CK60" s="7"/>
      <c r="CL60" s="7"/>
      <c r="CM60" s="7"/>
      <c r="CN60" s="7"/>
      <c r="CO60" s="7"/>
      <c r="CP60" s="7"/>
      <c r="CQ60" s="7"/>
      <c r="CR60" s="7"/>
      <c r="CS60" s="7"/>
      <c r="CT60" s="7"/>
      <c r="CU60" s="7"/>
    </row>
    <row r="61" spans="1:99" ht="230.25" customHeight="1" x14ac:dyDescent="0.2">
      <c r="A61" s="3">
        <v>16</v>
      </c>
      <c r="B61" s="7">
        <v>193</v>
      </c>
      <c r="C61" s="7" t="s">
        <v>1</v>
      </c>
      <c r="D61" s="7" t="s">
        <v>1702</v>
      </c>
      <c r="E61" s="7" t="str">
        <f t="shared" si="6"/>
        <v>OC</v>
      </c>
      <c r="F61" s="7" t="s">
        <v>1</v>
      </c>
      <c r="G61" s="7" t="s">
        <v>57</v>
      </c>
      <c r="H61" s="7"/>
      <c r="I61" s="7" t="s">
        <v>58</v>
      </c>
      <c r="J61" s="7" t="s">
        <v>59</v>
      </c>
      <c r="K61" s="7">
        <v>2</v>
      </c>
      <c r="L61" s="7" t="str">
        <f t="shared" si="7"/>
        <v>2O</v>
      </c>
      <c r="M61" s="7">
        <v>76</v>
      </c>
      <c r="N61" s="7">
        <v>11</v>
      </c>
      <c r="O61" s="7">
        <v>902</v>
      </c>
      <c r="P61" s="7">
        <v>910</v>
      </c>
      <c r="Q61" s="7" t="s">
        <v>60</v>
      </c>
      <c r="R61" s="7">
        <v>2014</v>
      </c>
      <c r="S61" s="11"/>
      <c r="T61" s="7" t="s">
        <v>834</v>
      </c>
      <c r="U61" s="7" t="s">
        <v>835</v>
      </c>
      <c r="V61" s="7" t="s">
        <v>494</v>
      </c>
      <c r="W61" s="7" t="s">
        <v>836</v>
      </c>
      <c r="X61" s="7" t="s">
        <v>1056</v>
      </c>
      <c r="Y61" s="7" t="s">
        <v>1043</v>
      </c>
      <c r="Z61" s="7"/>
      <c r="AA61" s="7" t="s">
        <v>616</v>
      </c>
      <c r="AB61" s="10" t="s">
        <v>1044</v>
      </c>
      <c r="AC61" s="7"/>
      <c r="AD61" s="5" t="s">
        <v>1057</v>
      </c>
      <c r="AE61" s="5" t="s">
        <v>1058</v>
      </c>
      <c r="AF61" s="5" t="s">
        <v>936</v>
      </c>
      <c r="AG61" s="7" t="s">
        <v>1045</v>
      </c>
      <c r="AH61" s="7"/>
      <c r="AI61" s="7" t="s">
        <v>1192</v>
      </c>
      <c r="AJ61" s="7"/>
      <c r="AK61" s="7"/>
      <c r="AL61" s="7"/>
      <c r="AM61" s="5" t="s">
        <v>841</v>
      </c>
      <c r="AN61" s="5"/>
      <c r="AO61" s="7" t="s">
        <v>619</v>
      </c>
      <c r="AP61" s="7" t="s">
        <v>621</v>
      </c>
      <c r="AQ61" s="7" t="s">
        <v>622</v>
      </c>
      <c r="AR61" s="7"/>
      <c r="AS61" s="7" t="s">
        <v>1246</v>
      </c>
      <c r="AT61" s="7" t="s">
        <v>1247</v>
      </c>
      <c r="AU61" s="7"/>
      <c r="AV61" s="7"/>
      <c r="AW61" s="7"/>
      <c r="AX61" s="7"/>
      <c r="AY61" s="7"/>
      <c r="AZ61" s="5">
        <f t="shared" si="16"/>
        <v>2.3299113646319469</v>
      </c>
      <c r="BA61" s="7">
        <v>0.02</v>
      </c>
      <c r="BB61" s="7">
        <v>1048</v>
      </c>
      <c r="BC61" s="7"/>
      <c r="BD61" s="7"/>
      <c r="BE61" s="7"/>
      <c r="BF61" s="7"/>
      <c r="BG61" s="7"/>
      <c r="BH61" s="7"/>
      <c r="BI61" s="7"/>
      <c r="BJ61" s="7"/>
      <c r="BK61" s="7"/>
      <c r="BL61" s="7"/>
      <c r="BM61" s="7"/>
      <c r="BN61" s="7"/>
      <c r="BO61" s="7"/>
      <c r="BP61" s="7"/>
      <c r="BQ61" s="7"/>
      <c r="BR61" s="7"/>
      <c r="BS61" s="7"/>
      <c r="BT61" s="7"/>
      <c r="BU61" s="20">
        <f t="shared" si="17"/>
        <v>0.1439424048178195</v>
      </c>
      <c r="BV61" s="16" t="s">
        <v>1048</v>
      </c>
      <c r="BW61" s="7" t="s">
        <v>1046</v>
      </c>
      <c r="BX61" s="7"/>
      <c r="BY61" s="7"/>
      <c r="BZ61" s="7"/>
      <c r="CA61" s="7"/>
      <c r="CB61" s="7"/>
      <c r="CC61" s="7"/>
      <c r="CD61" s="7"/>
      <c r="CE61" s="7"/>
      <c r="CF61" s="7"/>
      <c r="CG61" s="7"/>
      <c r="CH61" s="7"/>
      <c r="CI61" s="7"/>
      <c r="CJ61" s="7"/>
      <c r="CK61" s="7"/>
      <c r="CL61" s="7"/>
      <c r="CM61" s="7"/>
      <c r="CN61" s="7"/>
      <c r="CO61" s="7"/>
      <c r="CP61" s="7"/>
      <c r="CQ61" s="7"/>
      <c r="CR61" s="7"/>
      <c r="CS61" s="7"/>
      <c r="CT61" s="7"/>
      <c r="CU61" s="7"/>
    </row>
    <row r="62" spans="1:99" ht="120" x14ac:dyDescent="0.2">
      <c r="A62" s="3">
        <v>16</v>
      </c>
      <c r="B62" s="7"/>
      <c r="C62" s="7"/>
      <c r="D62" s="7"/>
      <c r="E62" s="7"/>
      <c r="F62" s="7"/>
      <c r="G62" s="7"/>
      <c r="H62" s="7"/>
      <c r="I62" s="7"/>
      <c r="J62" s="7"/>
      <c r="K62" s="7"/>
      <c r="L62" s="7"/>
      <c r="M62" s="7"/>
      <c r="N62" s="7"/>
      <c r="O62" s="7"/>
      <c r="P62" s="7"/>
      <c r="Q62" s="7"/>
      <c r="R62" s="7"/>
      <c r="S62" s="11"/>
      <c r="T62" s="7"/>
      <c r="U62" s="7"/>
      <c r="V62" s="7"/>
      <c r="W62" s="7"/>
      <c r="X62" s="7"/>
      <c r="Y62" s="7"/>
      <c r="Z62" s="7"/>
      <c r="AA62" s="7"/>
      <c r="AB62" s="7"/>
      <c r="AC62" s="7"/>
      <c r="AD62" s="5"/>
      <c r="AE62" s="5"/>
      <c r="AF62" s="5"/>
      <c r="AG62" s="7"/>
      <c r="AH62" s="7"/>
      <c r="AI62" s="7"/>
      <c r="AJ62" s="7"/>
      <c r="AK62" s="7"/>
      <c r="AL62" s="7"/>
      <c r="AM62" s="5"/>
      <c r="AN62" s="5"/>
      <c r="AO62" s="7" t="s">
        <v>620</v>
      </c>
      <c r="AP62" s="7" t="s">
        <v>623</v>
      </c>
      <c r="AQ62" s="7" t="s">
        <v>624</v>
      </c>
      <c r="AR62" s="7"/>
      <c r="AS62" s="7" t="s">
        <v>1248</v>
      </c>
      <c r="AT62" s="7"/>
      <c r="AU62" s="7"/>
      <c r="AV62" s="7"/>
      <c r="AW62" s="7"/>
      <c r="AX62" s="7"/>
      <c r="AY62" s="7"/>
      <c r="AZ62" s="5">
        <f t="shared" si="16"/>
        <v>2.8826994225106564</v>
      </c>
      <c r="BA62" s="7">
        <v>4.7999999999999996E-3</v>
      </c>
      <c r="BB62" s="7">
        <v>103</v>
      </c>
      <c r="BC62" s="7"/>
      <c r="BD62" s="7"/>
      <c r="BE62" s="7"/>
      <c r="BF62" s="7"/>
      <c r="BG62" s="7"/>
      <c r="BH62" s="7"/>
      <c r="BI62" s="7"/>
      <c r="BJ62" s="7"/>
      <c r="BK62" s="7"/>
      <c r="BL62" s="7"/>
      <c r="BM62" s="7"/>
      <c r="BN62" s="7"/>
      <c r="BO62" s="7"/>
      <c r="BP62" s="7"/>
      <c r="BQ62" s="7"/>
      <c r="BR62" s="7"/>
      <c r="BS62" s="7"/>
      <c r="BT62" s="7"/>
      <c r="BU62" s="21">
        <f t="shared" si="17"/>
        <v>0.56808162822941</v>
      </c>
      <c r="BV62" s="12" t="s">
        <v>1047</v>
      </c>
      <c r="BW62" s="7"/>
      <c r="BX62" s="7"/>
      <c r="BY62" s="7"/>
      <c r="BZ62" s="7"/>
      <c r="CA62" s="7"/>
      <c r="CB62" s="7"/>
      <c r="CC62" s="7"/>
      <c r="CD62" s="7"/>
      <c r="CE62" s="7"/>
      <c r="CF62" s="7"/>
      <c r="CG62" s="7"/>
      <c r="CH62" s="7"/>
      <c r="CI62" s="7"/>
      <c r="CJ62" s="7"/>
      <c r="CK62" s="7"/>
      <c r="CL62" s="7"/>
      <c r="CM62" s="7"/>
      <c r="CN62" s="7"/>
      <c r="CO62" s="7"/>
      <c r="CP62" s="7"/>
      <c r="CQ62" s="7"/>
      <c r="CR62" s="7"/>
      <c r="CS62" s="7"/>
      <c r="CT62" s="7"/>
      <c r="CU62" s="7"/>
    </row>
    <row r="63" spans="1:99" ht="60" x14ac:dyDescent="0.2">
      <c r="A63" s="3">
        <v>16</v>
      </c>
      <c r="B63" s="7"/>
      <c r="C63" s="7"/>
      <c r="D63" s="7"/>
      <c r="E63" s="7"/>
      <c r="F63" s="7"/>
      <c r="G63" s="7"/>
      <c r="H63" s="7"/>
      <c r="I63" s="7"/>
      <c r="J63" s="7"/>
      <c r="K63" s="7"/>
      <c r="L63" s="7"/>
      <c r="M63" s="7"/>
      <c r="N63" s="7"/>
      <c r="O63" s="7"/>
      <c r="P63" s="7"/>
      <c r="Q63" s="7"/>
      <c r="R63" s="7"/>
      <c r="S63" s="11"/>
      <c r="T63" s="7"/>
      <c r="U63" s="7"/>
      <c r="V63" s="7"/>
      <c r="W63" s="7"/>
      <c r="X63" s="7"/>
      <c r="Y63" s="7"/>
      <c r="Z63" s="7"/>
      <c r="AA63" s="7" t="s">
        <v>615</v>
      </c>
      <c r="AB63" s="10" t="s">
        <v>1050</v>
      </c>
      <c r="AC63" s="7"/>
      <c r="AD63" s="5" t="s">
        <v>1059</v>
      </c>
      <c r="AE63" s="5" t="s">
        <v>1060</v>
      </c>
      <c r="AF63" s="5" t="s">
        <v>936</v>
      </c>
      <c r="AG63" s="7"/>
      <c r="AH63" s="7"/>
      <c r="AI63" s="7"/>
      <c r="AJ63" s="7"/>
      <c r="AK63" s="7"/>
      <c r="AL63" s="7"/>
      <c r="AM63" s="5"/>
      <c r="AN63" s="5"/>
      <c r="AO63" s="7" t="s">
        <v>617</v>
      </c>
      <c r="AP63" s="5"/>
      <c r="AQ63" s="5"/>
      <c r="AR63" s="7"/>
      <c r="AS63" s="7" t="s">
        <v>625</v>
      </c>
      <c r="AT63" s="7"/>
      <c r="AU63" s="7"/>
      <c r="AV63" s="7"/>
      <c r="AW63" s="7"/>
      <c r="AX63" s="7"/>
      <c r="AY63" s="7"/>
      <c r="AZ63" s="5"/>
      <c r="BA63" s="7"/>
      <c r="BB63" s="7"/>
      <c r="BC63" s="7"/>
      <c r="BD63" s="7"/>
      <c r="BE63" s="7"/>
      <c r="BF63" s="7"/>
      <c r="BG63" s="7"/>
      <c r="BH63" s="7"/>
      <c r="BI63" s="7"/>
      <c r="BJ63" s="7"/>
      <c r="BK63" s="7"/>
      <c r="BL63" s="7"/>
      <c r="BM63" s="7"/>
      <c r="BN63" s="7"/>
      <c r="BO63" s="7"/>
      <c r="BP63" s="7"/>
      <c r="BQ63" s="7"/>
      <c r="BR63" s="7"/>
      <c r="BS63" s="7"/>
      <c r="BT63" s="7"/>
      <c r="BU63" s="20"/>
      <c r="BV63" s="16"/>
      <c r="BW63" s="7"/>
      <c r="BX63" s="7"/>
      <c r="BY63" s="7"/>
      <c r="BZ63" s="7"/>
      <c r="CA63" s="7"/>
      <c r="CB63" s="7"/>
      <c r="CC63" s="7"/>
      <c r="CD63" s="7"/>
      <c r="CE63" s="7"/>
      <c r="CF63" s="7"/>
      <c r="CG63" s="7"/>
      <c r="CH63" s="7"/>
      <c r="CI63" s="7"/>
      <c r="CJ63" s="7"/>
      <c r="CK63" s="7"/>
      <c r="CL63" s="7"/>
      <c r="CM63" s="7"/>
      <c r="CN63" s="7"/>
      <c r="CO63" s="7"/>
      <c r="CP63" s="7"/>
      <c r="CQ63" s="7"/>
      <c r="CR63" s="7"/>
      <c r="CS63" s="7"/>
      <c r="CT63" s="7"/>
      <c r="CU63" s="7"/>
    </row>
    <row r="64" spans="1:99" ht="120" x14ac:dyDescent="0.2">
      <c r="A64" s="3">
        <v>16</v>
      </c>
      <c r="B64" s="7"/>
      <c r="C64" s="7"/>
      <c r="D64" s="7"/>
      <c r="E64" s="7"/>
      <c r="F64" s="7"/>
      <c r="G64" s="7"/>
      <c r="H64" s="7"/>
      <c r="I64" s="7"/>
      <c r="J64" s="7"/>
      <c r="K64" s="7"/>
      <c r="L64" s="7"/>
      <c r="M64" s="7"/>
      <c r="N64" s="7"/>
      <c r="O64" s="7"/>
      <c r="P64" s="7"/>
      <c r="Q64" s="7"/>
      <c r="R64" s="7"/>
      <c r="S64" s="11"/>
      <c r="T64" s="7"/>
      <c r="U64" s="7"/>
      <c r="V64" s="7"/>
      <c r="W64" s="7"/>
      <c r="X64" s="7"/>
      <c r="Y64" s="7"/>
      <c r="Z64" s="7"/>
      <c r="AA64" s="7"/>
      <c r="AB64" s="7"/>
      <c r="AC64" s="7"/>
      <c r="AD64" s="5"/>
      <c r="AE64" s="5"/>
      <c r="AF64" s="5"/>
      <c r="AG64" s="7"/>
      <c r="AH64" s="7"/>
      <c r="AI64" s="7"/>
      <c r="AJ64" s="7"/>
      <c r="AK64" s="7"/>
      <c r="AL64" s="7"/>
      <c r="AM64" s="5"/>
      <c r="AN64" s="5"/>
      <c r="AO64" s="7" t="s">
        <v>618</v>
      </c>
      <c r="AP64" s="5"/>
      <c r="AQ64" s="5"/>
      <c r="AR64" s="7"/>
      <c r="AS64" s="7" t="s">
        <v>837</v>
      </c>
      <c r="AT64" s="7"/>
      <c r="AU64" s="7"/>
      <c r="AV64" s="7"/>
      <c r="AW64" s="7"/>
      <c r="AX64" s="7"/>
      <c r="AY64" s="7"/>
      <c r="AZ64" s="5"/>
      <c r="BA64" s="7"/>
      <c r="BB64" s="7"/>
      <c r="BC64" s="7"/>
      <c r="BD64" s="7"/>
      <c r="BE64" s="7"/>
      <c r="BF64" s="7"/>
      <c r="BG64" s="7"/>
      <c r="BH64" s="7"/>
      <c r="BI64" s="7"/>
      <c r="BJ64" s="7"/>
      <c r="BK64" s="7"/>
      <c r="BL64" s="7"/>
      <c r="BM64" s="7"/>
      <c r="BN64" s="7"/>
      <c r="BO64" s="7"/>
      <c r="BP64" s="7"/>
      <c r="BQ64" s="7"/>
      <c r="BR64" s="7"/>
      <c r="BS64" s="7"/>
      <c r="BT64" s="7"/>
      <c r="BU64" s="20"/>
      <c r="BV64" s="16"/>
      <c r="BW64" s="7"/>
      <c r="BX64" s="7"/>
      <c r="BY64" s="7"/>
      <c r="BZ64" s="7"/>
      <c r="CA64" s="7"/>
      <c r="CB64" s="7"/>
      <c r="CC64" s="7"/>
      <c r="CD64" s="7"/>
      <c r="CE64" s="7"/>
      <c r="CF64" s="7"/>
      <c r="CG64" s="7"/>
      <c r="CH64" s="7"/>
      <c r="CI64" s="7"/>
      <c r="CJ64" s="7"/>
      <c r="CK64" s="7"/>
      <c r="CL64" s="7"/>
      <c r="CM64" s="7"/>
      <c r="CN64" s="7"/>
      <c r="CO64" s="7"/>
      <c r="CP64" s="7"/>
      <c r="CQ64" s="7"/>
      <c r="CR64" s="7"/>
      <c r="CS64" s="7"/>
      <c r="CT64" s="7"/>
      <c r="CU64" s="7"/>
    </row>
    <row r="65" spans="1:99" ht="255.75" customHeight="1" x14ac:dyDescent="0.2">
      <c r="A65" s="3">
        <v>17</v>
      </c>
      <c r="B65" s="5">
        <v>210</v>
      </c>
      <c r="C65" s="7" t="s">
        <v>1</v>
      </c>
      <c r="D65" s="7" t="s">
        <v>1</v>
      </c>
      <c r="E65" s="7" t="str">
        <f t="shared" si="6"/>
        <v>OO</v>
      </c>
      <c r="F65" s="7" t="s">
        <v>1</v>
      </c>
      <c r="G65" s="7" t="s">
        <v>61</v>
      </c>
      <c r="H65" s="7"/>
      <c r="I65" s="7" t="s">
        <v>62</v>
      </c>
      <c r="J65" s="7" t="s">
        <v>63</v>
      </c>
      <c r="K65" s="7">
        <v>11</v>
      </c>
      <c r="L65" s="7" t="str">
        <f t="shared" si="7"/>
        <v>11O</v>
      </c>
      <c r="M65" s="7">
        <v>155</v>
      </c>
      <c r="N65" s="7">
        <v>10</v>
      </c>
      <c r="O65" s="7">
        <v>2180</v>
      </c>
      <c r="P65" s="7">
        <v>2187</v>
      </c>
      <c r="Q65" s="7" t="s">
        <v>64</v>
      </c>
      <c r="R65" s="7">
        <v>2014</v>
      </c>
      <c r="S65" s="11"/>
      <c r="T65" s="7" t="s">
        <v>627</v>
      </c>
      <c r="U65" s="7" t="s">
        <v>1061</v>
      </c>
      <c r="V65" s="7" t="s">
        <v>494</v>
      </c>
      <c r="W65" s="7" t="s">
        <v>839</v>
      </c>
      <c r="X65" s="7" t="s">
        <v>838</v>
      </c>
      <c r="Y65" s="7" t="s">
        <v>628</v>
      </c>
      <c r="Z65" s="5" t="s">
        <v>626</v>
      </c>
      <c r="AA65" s="7" t="s">
        <v>1049</v>
      </c>
      <c r="AB65" s="10" t="s">
        <v>1051</v>
      </c>
      <c r="AC65" s="7"/>
      <c r="AD65" s="5" t="s">
        <v>1062</v>
      </c>
      <c r="AE65" s="5" t="s">
        <v>1063</v>
      </c>
      <c r="AF65" s="11"/>
      <c r="AG65" s="11"/>
      <c r="AH65" s="7"/>
      <c r="AI65" s="7"/>
      <c r="AJ65" s="7"/>
      <c r="AK65" s="7"/>
      <c r="AL65" s="7"/>
      <c r="AM65" s="7" t="s">
        <v>841</v>
      </c>
      <c r="AN65" s="7" t="s">
        <v>840</v>
      </c>
      <c r="AO65" s="7" t="s">
        <v>631</v>
      </c>
      <c r="AP65" s="7" t="s">
        <v>633</v>
      </c>
      <c r="AQ65" s="7" t="s">
        <v>634</v>
      </c>
      <c r="AR65" s="7" t="s">
        <v>635</v>
      </c>
      <c r="AS65" s="5" t="s">
        <v>1249</v>
      </c>
      <c r="AT65" s="5" t="s">
        <v>1250</v>
      </c>
      <c r="AU65" s="5" t="s">
        <v>1251</v>
      </c>
      <c r="AV65" s="7"/>
      <c r="AW65" s="7"/>
      <c r="AX65" s="7"/>
      <c r="AY65" s="7"/>
      <c r="AZ65" s="5">
        <f t="shared" ref="AZ65:AZ70" si="18">TINV(BA65,BB65)</f>
        <v>2.8186259188463803</v>
      </c>
      <c r="BA65" s="7">
        <v>8.6E-3</v>
      </c>
      <c r="BB65" s="7">
        <v>29</v>
      </c>
      <c r="BC65" s="7"/>
      <c r="BD65" s="7"/>
      <c r="BE65" s="7"/>
      <c r="BF65" s="7"/>
      <c r="BG65" s="7"/>
      <c r="BH65" s="7"/>
      <c r="BI65" s="7"/>
      <c r="BJ65" s="7"/>
      <c r="BK65" s="7"/>
      <c r="BL65" s="7"/>
      <c r="BM65" s="7"/>
      <c r="BN65" s="7"/>
      <c r="BO65" s="7"/>
      <c r="BP65" s="7"/>
      <c r="BQ65" s="7"/>
      <c r="BR65" s="7"/>
      <c r="BS65" s="7"/>
      <c r="BT65" s="7"/>
      <c r="BU65" s="21">
        <f t="shared" ref="BU65:BU70" si="19">(AZ65*2)/(SQRT(BB65))</f>
        <v>1.0468113863895643</v>
      </c>
      <c r="BV65" s="12"/>
      <c r="BW65" s="7"/>
      <c r="BX65" s="7"/>
      <c r="BY65" s="7"/>
      <c r="BZ65" s="7"/>
      <c r="CA65" s="7"/>
      <c r="CB65" s="7"/>
      <c r="CC65" s="7"/>
      <c r="CD65" s="7"/>
      <c r="CE65" s="7"/>
      <c r="CF65" s="7"/>
      <c r="CG65" s="7"/>
      <c r="CH65" s="7"/>
      <c r="CI65" s="7"/>
      <c r="CJ65" s="7"/>
      <c r="CK65" s="7"/>
      <c r="CL65" s="7"/>
      <c r="CM65" s="7"/>
      <c r="CN65" s="7"/>
      <c r="CO65" s="7"/>
      <c r="CP65" s="7"/>
      <c r="CQ65" s="7"/>
      <c r="CR65" s="7"/>
      <c r="CS65" s="7"/>
      <c r="CT65" s="7"/>
      <c r="CU65" s="7"/>
    </row>
    <row r="66" spans="1:99" ht="144.75" customHeight="1" x14ac:dyDescent="0.2">
      <c r="A66" s="3">
        <v>17</v>
      </c>
      <c r="B66" s="5"/>
      <c r="C66" s="7"/>
      <c r="D66" s="7"/>
      <c r="E66" s="7"/>
      <c r="F66" s="7"/>
      <c r="G66" s="7"/>
      <c r="H66" s="7"/>
      <c r="I66" s="7"/>
      <c r="J66" s="7"/>
      <c r="K66" s="7"/>
      <c r="L66" s="7"/>
      <c r="M66" s="7"/>
      <c r="N66" s="7"/>
      <c r="O66" s="7"/>
      <c r="P66" s="7"/>
      <c r="Q66" s="7"/>
      <c r="R66" s="7"/>
      <c r="S66" s="11"/>
      <c r="T66" s="7"/>
      <c r="U66" s="7"/>
      <c r="V66" s="7"/>
      <c r="W66" s="7"/>
      <c r="X66" s="7"/>
      <c r="Y66" s="5" t="s">
        <v>629</v>
      </c>
      <c r="Z66" s="5" t="s">
        <v>630</v>
      </c>
      <c r="AA66" s="6" t="s">
        <v>396</v>
      </c>
      <c r="AB66" s="14" t="s">
        <v>959</v>
      </c>
      <c r="AC66" s="6"/>
      <c r="AD66" s="6" t="s">
        <v>960</v>
      </c>
      <c r="AE66" s="9" t="s">
        <v>992</v>
      </c>
      <c r="AF66" s="8" t="s">
        <v>359</v>
      </c>
      <c r="AG66" s="11"/>
      <c r="AH66" s="7"/>
      <c r="AI66" s="11"/>
      <c r="AJ66" s="11"/>
      <c r="AK66" s="11"/>
      <c r="AL66" s="11"/>
      <c r="AM66" s="7"/>
      <c r="AN66" s="7"/>
      <c r="AO66" s="7" t="s">
        <v>632</v>
      </c>
      <c r="AP66" s="7" t="s">
        <v>636</v>
      </c>
      <c r="AQ66" s="7" t="s">
        <v>637</v>
      </c>
      <c r="AR66" s="7" t="s">
        <v>638</v>
      </c>
      <c r="AS66" s="5"/>
      <c r="AT66" s="5"/>
      <c r="AU66" s="5"/>
      <c r="AV66" s="7"/>
      <c r="AW66" s="7"/>
      <c r="AX66" s="7"/>
      <c r="AY66" s="7"/>
      <c r="AZ66" s="5">
        <f t="shared" si="18"/>
        <v>2.3021039217679076</v>
      </c>
      <c r="BA66" s="7">
        <v>3.5099999999999999E-2</v>
      </c>
      <c r="BB66" s="7">
        <v>16</v>
      </c>
      <c r="BC66" s="7"/>
      <c r="BD66" s="7"/>
      <c r="BE66" s="7"/>
      <c r="BF66" s="7"/>
      <c r="BG66" s="7"/>
      <c r="BH66" s="7"/>
      <c r="BI66" s="7"/>
      <c r="BJ66" s="7"/>
      <c r="BK66" s="7"/>
      <c r="BL66" s="7"/>
      <c r="BM66" s="7"/>
      <c r="BN66" s="7"/>
      <c r="BO66" s="7"/>
      <c r="BP66" s="7"/>
      <c r="BQ66" s="7"/>
      <c r="BR66" s="7"/>
      <c r="BS66" s="7"/>
      <c r="BT66" s="7"/>
      <c r="BU66" s="21">
        <f t="shared" si="19"/>
        <v>1.1510519608839538</v>
      </c>
      <c r="BV66" s="12"/>
      <c r="BW66" s="7"/>
      <c r="BX66" s="7"/>
      <c r="BY66" s="7"/>
      <c r="BZ66" s="7"/>
      <c r="CA66" s="7"/>
      <c r="CB66" s="7"/>
      <c r="CC66" s="7"/>
      <c r="CD66" s="7"/>
      <c r="CE66" s="7"/>
      <c r="CF66" s="7"/>
      <c r="CG66" s="7"/>
      <c r="CH66" s="7"/>
      <c r="CI66" s="7"/>
      <c r="CJ66" s="7"/>
      <c r="CK66" s="7"/>
      <c r="CL66" s="7"/>
      <c r="CM66" s="7"/>
      <c r="CN66" s="7"/>
      <c r="CO66" s="7"/>
      <c r="CP66" s="7"/>
      <c r="CQ66" s="7"/>
      <c r="CR66" s="7"/>
      <c r="CS66" s="7"/>
      <c r="CT66" s="7"/>
      <c r="CU66" s="7"/>
    </row>
    <row r="67" spans="1:99" ht="153.75" customHeight="1" x14ac:dyDescent="0.2">
      <c r="A67" s="3">
        <v>18</v>
      </c>
      <c r="B67" s="5">
        <v>220</v>
      </c>
      <c r="C67" s="7" t="s">
        <v>1</v>
      </c>
      <c r="D67" s="7" t="s">
        <v>1</v>
      </c>
      <c r="E67" s="7" t="str">
        <f t="shared" si="6"/>
        <v>OO</v>
      </c>
      <c r="F67" s="7" t="s">
        <v>1</v>
      </c>
      <c r="G67" s="7" t="s">
        <v>65</v>
      </c>
      <c r="H67" s="7"/>
      <c r="I67" s="7" t="s">
        <v>66</v>
      </c>
      <c r="J67" s="7" t="s">
        <v>67</v>
      </c>
      <c r="K67" s="7">
        <v>2</v>
      </c>
      <c r="L67" s="7" t="str">
        <f t="shared" si="7"/>
        <v>2O</v>
      </c>
      <c r="M67" s="7">
        <v>76</v>
      </c>
      <c r="N67" s="7">
        <v>6</v>
      </c>
      <c r="O67" s="7">
        <v>466</v>
      </c>
      <c r="P67" s="7">
        <v>475</v>
      </c>
      <c r="Q67" s="7" t="s">
        <v>68</v>
      </c>
      <c r="R67" s="7">
        <v>2014</v>
      </c>
      <c r="S67" s="11"/>
      <c r="T67" s="7" t="s">
        <v>842</v>
      </c>
      <c r="U67" s="7" t="s">
        <v>1053</v>
      </c>
      <c r="V67" s="7" t="s">
        <v>494</v>
      </c>
      <c r="W67" s="25" t="s">
        <v>843</v>
      </c>
      <c r="X67" s="7" t="s">
        <v>639</v>
      </c>
      <c r="Y67" s="7"/>
      <c r="Z67" s="7" t="s">
        <v>641</v>
      </c>
      <c r="AA67" s="7" t="s">
        <v>640</v>
      </c>
      <c r="AB67" s="10" t="s">
        <v>1052</v>
      </c>
      <c r="AC67" s="7"/>
      <c r="AD67" s="7" t="s">
        <v>1054</v>
      </c>
      <c r="AE67" s="5" t="s">
        <v>1055</v>
      </c>
      <c r="AF67" s="11" t="s">
        <v>1193</v>
      </c>
      <c r="AG67" s="5" t="s">
        <v>1195</v>
      </c>
      <c r="AH67" s="7"/>
      <c r="AI67" s="7"/>
      <c r="AJ67" s="7"/>
      <c r="AK67" s="7"/>
      <c r="AL67" s="7"/>
      <c r="AM67" s="5" t="s">
        <v>848</v>
      </c>
      <c r="AN67" s="5" t="s">
        <v>844</v>
      </c>
      <c r="AO67" s="7" t="s">
        <v>642</v>
      </c>
      <c r="AP67" s="7">
        <v>92</v>
      </c>
      <c r="AQ67" s="7">
        <v>80</v>
      </c>
      <c r="AR67" s="7">
        <v>15</v>
      </c>
      <c r="AS67" s="7" t="s">
        <v>1194</v>
      </c>
      <c r="AT67" s="7"/>
      <c r="AU67" s="7"/>
      <c r="AV67" s="7"/>
      <c r="AW67" s="7"/>
      <c r="AX67" s="7"/>
      <c r="AY67" s="7"/>
      <c r="AZ67" s="5">
        <f t="shared" si="18"/>
        <v>1.9679835253762186</v>
      </c>
      <c r="BA67" s="11">
        <v>0.05</v>
      </c>
      <c r="BB67" s="7">
        <v>297</v>
      </c>
      <c r="BC67" s="7"/>
      <c r="BD67" s="7"/>
      <c r="BE67" s="7"/>
      <c r="BF67" s="7"/>
      <c r="BG67" s="7"/>
      <c r="BH67" s="7"/>
      <c r="BI67" s="7"/>
      <c r="BJ67" s="7"/>
      <c r="BK67" s="7"/>
      <c r="BL67" s="7"/>
      <c r="BM67" s="7"/>
      <c r="BN67" s="7"/>
      <c r="BO67" s="7"/>
      <c r="BP67" s="7"/>
      <c r="BQ67" s="7"/>
      <c r="BR67" s="7"/>
      <c r="BS67" s="7"/>
      <c r="BT67" s="7"/>
      <c r="BU67" s="21">
        <f t="shared" si="19"/>
        <v>0.22838797270461514</v>
      </c>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row>
    <row r="68" spans="1:99" ht="30" x14ac:dyDescent="0.2">
      <c r="A68" s="3">
        <v>18</v>
      </c>
      <c r="B68" s="5"/>
      <c r="C68" s="7"/>
      <c r="D68" s="7"/>
      <c r="E68" s="7"/>
      <c r="F68" s="7"/>
      <c r="G68" s="7"/>
      <c r="H68" s="7"/>
      <c r="I68" s="7"/>
      <c r="J68" s="7"/>
      <c r="K68" s="7"/>
      <c r="L68" s="7"/>
      <c r="M68" s="7"/>
      <c r="N68" s="7"/>
      <c r="O68" s="7"/>
      <c r="P68" s="7"/>
      <c r="Q68" s="7"/>
      <c r="R68" s="7"/>
      <c r="S68" s="11"/>
      <c r="T68" s="7"/>
      <c r="U68" s="7"/>
      <c r="V68" s="7"/>
      <c r="W68" s="25"/>
      <c r="X68" s="7"/>
      <c r="Y68" s="7"/>
      <c r="Z68" s="7"/>
      <c r="AA68" s="7"/>
      <c r="AB68" s="7"/>
      <c r="AC68" s="7"/>
      <c r="AD68" s="7"/>
      <c r="AE68" s="5"/>
      <c r="AF68" s="11"/>
      <c r="AG68" s="5"/>
      <c r="AH68" s="7"/>
      <c r="AI68" s="7"/>
      <c r="AJ68" s="7"/>
      <c r="AK68" s="7"/>
      <c r="AL68" s="7"/>
      <c r="AM68" s="5"/>
      <c r="AN68" s="5"/>
      <c r="AO68" s="7" t="s">
        <v>643</v>
      </c>
      <c r="AP68" s="7">
        <v>60</v>
      </c>
      <c r="AQ68" s="7">
        <v>50</v>
      </c>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row>
    <row r="69" spans="1:99" ht="208.5" customHeight="1" x14ac:dyDescent="0.2">
      <c r="A69" s="3">
        <v>19</v>
      </c>
      <c r="B69" s="5">
        <v>221</v>
      </c>
      <c r="C69" s="7" t="s">
        <v>1</v>
      </c>
      <c r="D69" s="7" t="s">
        <v>1</v>
      </c>
      <c r="E69" s="7" t="str">
        <f t="shared" si="6"/>
        <v>OO</v>
      </c>
      <c r="F69" s="7" t="s">
        <v>1</v>
      </c>
      <c r="G69" s="7" t="s">
        <v>69</v>
      </c>
      <c r="H69" s="7"/>
      <c r="I69" s="7" t="s">
        <v>70</v>
      </c>
      <c r="J69" s="7" t="s">
        <v>71</v>
      </c>
      <c r="K69" s="7">
        <v>2</v>
      </c>
      <c r="L69" s="7" t="str">
        <f t="shared" si="7"/>
        <v>2O</v>
      </c>
      <c r="M69" s="7">
        <v>76</v>
      </c>
      <c r="N69" s="7">
        <v>6</v>
      </c>
      <c r="O69" s="7">
        <v>503</v>
      </c>
      <c r="P69" s="7">
        <v>508</v>
      </c>
      <c r="Q69" s="7" t="s">
        <v>72</v>
      </c>
      <c r="R69" s="7">
        <v>2014</v>
      </c>
      <c r="S69" s="11"/>
      <c r="T69" s="7" t="s">
        <v>845</v>
      </c>
      <c r="U69" s="7" t="s">
        <v>1064</v>
      </c>
      <c r="V69" s="7"/>
      <c r="W69" s="25" t="s">
        <v>846</v>
      </c>
      <c r="X69" s="7" t="s">
        <v>644</v>
      </c>
      <c r="Y69" s="7" t="s">
        <v>645</v>
      </c>
      <c r="Z69" s="7"/>
      <c r="AA69" s="7" t="s">
        <v>646</v>
      </c>
      <c r="AB69" s="10" t="s">
        <v>1065</v>
      </c>
      <c r="AC69" s="7"/>
      <c r="AD69" s="7" t="s">
        <v>1066</v>
      </c>
      <c r="AE69" s="5" t="s">
        <v>1067</v>
      </c>
      <c r="AF69" s="11"/>
      <c r="AG69" s="7" t="s">
        <v>1252</v>
      </c>
      <c r="AH69" s="7"/>
      <c r="AI69" s="7"/>
      <c r="AJ69" s="7"/>
      <c r="AK69" s="7"/>
      <c r="AL69" s="7"/>
      <c r="AM69" s="5" t="s">
        <v>847</v>
      </c>
      <c r="AN69" s="5" t="s">
        <v>1253</v>
      </c>
      <c r="AO69" s="7" t="s">
        <v>647</v>
      </c>
      <c r="AP69" s="7">
        <v>1546</v>
      </c>
      <c r="AQ69" s="7">
        <v>2089</v>
      </c>
      <c r="AR69" s="7">
        <v>778</v>
      </c>
      <c r="AS69" s="7" t="s">
        <v>1254</v>
      </c>
      <c r="AT69" s="7" t="s">
        <v>1255</v>
      </c>
      <c r="AU69" s="7" t="s">
        <v>1256</v>
      </c>
      <c r="AV69" s="7"/>
      <c r="AW69" s="7"/>
      <c r="AX69" s="7"/>
      <c r="AY69" s="7"/>
      <c r="AZ69" s="5">
        <f t="shared" si="18"/>
        <v>3.9591539562935272</v>
      </c>
      <c r="BA69" s="7">
        <v>7.64E-5</v>
      </c>
      <c r="BB69" s="7">
        <v>4413</v>
      </c>
      <c r="BC69" s="7"/>
      <c r="BD69" s="7"/>
      <c r="BE69" s="7"/>
      <c r="BF69" s="7"/>
      <c r="BG69" s="7"/>
      <c r="BH69" s="7"/>
      <c r="BI69" s="7"/>
      <c r="BJ69" s="7"/>
      <c r="BK69" s="7"/>
      <c r="BL69" s="7"/>
      <c r="BM69" s="7"/>
      <c r="BN69" s="7"/>
      <c r="BO69" s="7"/>
      <c r="BP69" s="7"/>
      <c r="BQ69" s="7"/>
      <c r="BR69" s="7"/>
      <c r="BS69" s="7"/>
      <c r="BT69" s="7"/>
      <c r="BU69" s="21">
        <f t="shared" si="19"/>
        <v>0.1191970266307483</v>
      </c>
      <c r="BV69" s="12" t="s">
        <v>1196</v>
      </c>
      <c r="BW69" s="7"/>
      <c r="BX69" s="7"/>
      <c r="BY69" s="7"/>
      <c r="BZ69" s="7"/>
      <c r="CA69" s="7"/>
      <c r="CB69" s="7"/>
      <c r="CC69" s="7"/>
      <c r="CD69" s="7"/>
      <c r="CE69" s="7"/>
      <c r="CF69" s="7"/>
      <c r="CG69" s="7"/>
      <c r="CH69" s="7"/>
      <c r="CI69" s="7"/>
      <c r="CJ69" s="7"/>
      <c r="CK69" s="7"/>
      <c r="CL69" s="7"/>
      <c r="CM69" s="7"/>
      <c r="CN69" s="7"/>
      <c r="CO69" s="7"/>
      <c r="CP69" s="7"/>
      <c r="CQ69" s="7"/>
      <c r="CR69" s="7"/>
      <c r="CS69" s="7"/>
      <c r="CT69" s="7"/>
      <c r="CU69" s="7"/>
    </row>
    <row r="70" spans="1:99" ht="164.25" customHeight="1" x14ac:dyDescent="0.2">
      <c r="A70" s="3">
        <v>20</v>
      </c>
      <c r="B70" s="5">
        <v>226</v>
      </c>
      <c r="C70" s="7" t="s">
        <v>16</v>
      </c>
      <c r="D70" s="7" t="s">
        <v>1</v>
      </c>
      <c r="E70" s="7" t="str">
        <f t="shared" si="6"/>
        <v>XO</v>
      </c>
      <c r="F70" s="7" t="s">
        <v>1</v>
      </c>
      <c r="G70" s="7" t="s">
        <v>17</v>
      </c>
      <c r="H70" s="7" t="s">
        <v>73</v>
      </c>
      <c r="I70" s="7" t="s">
        <v>74</v>
      </c>
      <c r="J70" s="7" t="s">
        <v>75</v>
      </c>
      <c r="K70" s="7">
        <v>7</v>
      </c>
      <c r="L70" s="7" t="str">
        <f t="shared" si="7"/>
        <v>7O</v>
      </c>
      <c r="M70" s="7">
        <v>19</v>
      </c>
      <c r="N70" s="7">
        <v>9</v>
      </c>
      <c r="O70" s="7">
        <v>995</v>
      </c>
      <c r="P70" s="7">
        <v>1000</v>
      </c>
      <c r="Q70" s="7" t="s">
        <v>76</v>
      </c>
      <c r="R70" s="7">
        <v>2014</v>
      </c>
      <c r="S70" s="11"/>
      <c r="T70" s="7" t="s">
        <v>850</v>
      </c>
      <c r="U70" s="7" t="s">
        <v>849</v>
      </c>
      <c r="V70" s="7"/>
      <c r="W70" s="25" t="s">
        <v>851</v>
      </c>
      <c r="X70" s="7" t="s">
        <v>648</v>
      </c>
      <c r="Y70" s="7" t="s">
        <v>649</v>
      </c>
      <c r="Z70" s="7"/>
      <c r="AA70" s="7" t="s">
        <v>650</v>
      </c>
      <c r="AB70" s="10" t="s">
        <v>1068</v>
      </c>
      <c r="AC70" s="7"/>
      <c r="AD70" s="11" t="s">
        <v>1069</v>
      </c>
      <c r="AE70" s="5" t="s">
        <v>1070</v>
      </c>
      <c r="AF70" s="11"/>
      <c r="AG70" s="11"/>
      <c r="AH70" s="7"/>
      <c r="AI70" s="7"/>
      <c r="AJ70" s="7"/>
      <c r="AK70" s="7"/>
      <c r="AL70" s="7"/>
      <c r="AM70" s="7" t="s">
        <v>853</v>
      </c>
      <c r="AN70" s="7" t="s">
        <v>852</v>
      </c>
      <c r="AO70" s="7" t="s">
        <v>651</v>
      </c>
      <c r="AP70" s="7" t="s">
        <v>652</v>
      </c>
      <c r="AQ70" s="7" t="s">
        <v>653</v>
      </c>
      <c r="AR70" s="7" t="s">
        <v>654</v>
      </c>
      <c r="AS70" s="7" t="s">
        <v>1257</v>
      </c>
      <c r="AT70" s="7" t="s">
        <v>1258</v>
      </c>
      <c r="AU70" s="7" t="s">
        <v>854</v>
      </c>
      <c r="AV70" s="25"/>
      <c r="AW70" s="7"/>
      <c r="AX70" s="7"/>
      <c r="AY70" s="7"/>
      <c r="AZ70" s="7">
        <f t="shared" si="18"/>
        <v>3.2930406694461576</v>
      </c>
      <c r="BA70" s="11">
        <v>1E-3</v>
      </c>
      <c r="BB70" s="7">
        <v>3873</v>
      </c>
      <c r="BC70" s="7"/>
      <c r="BD70" s="7"/>
      <c r="BE70" s="7"/>
      <c r="BF70" s="7"/>
      <c r="BG70" s="7"/>
      <c r="BH70" s="7"/>
      <c r="BI70" s="7"/>
      <c r="BJ70" s="7"/>
      <c r="BK70" s="7"/>
      <c r="BL70" s="7"/>
      <c r="BM70" s="7"/>
      <c r="BN70" s="7"/>
      <c r="BO70" s="7"/>
      <c r="BP70" s="7"/>
      <c r="BQ70" s="7"/>
      <c r="BR70" s="7"/>
      <c r="BS70" s="7"/>
      <c r="BT70" s="7"/>
      <c r="BU70" s="12">
        <f t="shared" si="19"/>
        <v>0.10582867081203409</v>
      </c>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row>
    <row r="71" spans="1:99" ht="105" x14ac:dyDescent="0.2">
      <c r="A71" s="3">
        <v>21</v>
      </c>
      <c r="B71" s="11">
        <v>229</v>
      </c>
      <c r="C71" s="5" t="s">
        <v>1</v>
      </c>
      <c r="D71" s="5" t="s">
        <v>1</v>
      </c>
      <c r="E71" s="5" t="str">
        <f t="shared" si="6"/>
        <v>OO</v>
      </c>
      <c r="F71" s="5" t="s">
        <v>1</v>
      </c>
      <c r="G71" s="5" t="s">
        <v>77</v>
      </c>
      <c r="H71" s="5"/>
      <c r="I71" s="5" t="s">
        <v>78</v>
      </c>
      <c r="J71" s="5" t="s">
        <v>79</v>
      </c>
      <c r="K71" s="5">
        <v>7</v>
      </c>
      <c r="L71" s="5" t="str">
        <f t="shared" si="7"/>
        <v>7O</v>
      </c>
      <c r="M71" s="5">
        <v>19</v>
      </c>
      <c r="N71" s="5">
        <v>9</v>
      </c>
      <c r="O71" s="5">
        <v>1031</v>
      </c>
      <c r="P71" s="5">
        <v>1036</v>
      </c>
      <c r="Q71" s="5" t="s">
        <v>80</v>
      </c>
      <c r="R71" s="5">
        <v>2014</v>
      </c>
      <c r="S71" s="19" t="s">
        <v>857</v>
      </c>
      <c r="T71" s="5" t="s">
        <v>856</v>
      </c>
      <c r="U71" s="5" t="s">
        <v>855</v>
      </c>
      <c r="V71" s="25"/>
      <c r="W71" s="25"/>
      <c r="X71" s="5" t="s">
        <v>655</v>
      </c>
      <c r="Y71" s="5"/>
      <c r="Z71" s="5"/>
      <c r="AA71" s="5"/>
      <c r="AB71" s="5"/>
      <c r="AC71" s="5"/>
      <c r="AD71" s="5"/>
      <c r="AE71" s="5"/>
      <c r="AF71" s="11"/>
      <c r="AG71" s="5"/>
      <c r="AH71" s="5"/>
      <c r="AI71" s="5"/>
      <c r="AJ71" s="5"/>
      <c r="AK71" s="5"/>
      <c r="AL71" s="5"/>
      <c r="AM71" s="5" t="s">
        <v>656</v>
      </c>
      <c r="AN71" s="5"/>
      <c r="AO71" s="5"/>
      <c r="AP71" s="5"/>
      <c r="AQ71" s="5"/>
      <c r="AR71" s="5"/>
      <c r="AS71" s="5"/>
      <c r="AT71" s="5"/>
      <c r="AU71" s="5"/>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row>
    <row r="72" spans="1:99" ht="409" x14ac:dyDescent="0.2">
      <c r="A72" s="3">
        <v>22</v>
      </c>
      <c r="B72" s="11">
        <v>234</v>
      </c>
      <c r="C72" s="5" t="s">
        <v>1</v>
      </c>
      <c r="D72" s="5" t="s">
        <v>1</v>
      </c>
      <c r="E72" s="5" t="str">
        <f t="shared" si="6"/>
        <v>OO</v>
      </c>
      <c r="F72" s="5" t="s">
        <v>1</v>
      </c>
      <c r="G72" s="5" t="s">
        <v>81</v>
      </c>
      <c r="H72" s="5"/>
      <c r="I72" s="5" t="s">
        <v>82</v>
      </c>
      <c r="J72" s="5" t="s">
        <v>83</v>
      </c>
      <c r="K72" s="5">
        <v>2</v>
      </c>
      <c r="L72" s="5" t="str">
        <f t="shared" si="7"/>
        <v>2O</v>
      </c>
      <c r="M72" s="5">
        <v>76</v>
      </c>
      <c r="N72" s="5">
        <v>5</v>
      </c>
      <c r="O72" s="5">
        <v>367</v>
      </c>
      <c r="P72" s="5">
        <v>376</v>
      </c>
      <c r="Q72" s="5" t="s">
        <v>84</v>
      </c>
      <c r="R72" s="5">
        <v>2014</v>
      </c>
      <c r="S72" s="19" t="s">
        <v>858</v>
      </c>
      <c r="T72" s="5" t="s">
        <v>657</v>
      </c>
      <c r="U72" s="25"/>
      <c r="V72" s="5"/>
      <c r="W72" s="5"/>
      <c r="X72" s="5"/>
      <c r="Y72" s="5"/>
      <c r="Z72" s="5"/>
      <c r="AA72" s="5"/>
      <c r="AB72" s="5"/>
      <c r="AC72" s="5"/>
      <c r="AD72" s="5"/>
      <c r="AE72" s="5"/>
      <c r="AF72" s="11"/>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7"/>
      <c r="CL72" s="7"/>
      <c r="CM72" s="7"/>
      <c r="CN72" s="7"/>
      <c r="CO72" s="7"/>
      <c r="CP72" s="7"/>
      <c r="CQ72" s="7"/>
      <c r="CR72" s="7"/>
      <c r="CS72" s="7"/>
      <c r="CT72" s="7"/>
      <c r="CU72" s="7"/>
    </row>
    <row r="73" spans="1:99" ht="178.5" customHeight="1" x14ac:dyDescent="0.2">
      <c r="A73" s="3">
        <v>23</v>
      </c>
      <c r="B73" s="5">
        <v>244</v>
      </c>
      <c r="C73" s="5" t="s">
        <v>1</v>
      </c>
      <c r="D73" s="5" t="s">
        <v>1</v>
      </c>
      <c r="E73" s="5" t="str">
        <f t="shared" si="6"/>
        <v>OO</v>
      </c>
      <c r="F73" s="5" t="s">
        <v>1</v>
      </c>
      <c r="G73" s="5" t="s">
        <v>85</v>
      </c>
      <c r="H73" s="5"/>
      <c r="I73" s="7" t="s">
        <v>86</v>
      </c>
      <c r="J73" s="7" t="s">
        <v>87</v>
      </c>
      <c r="K73" s="7">
        <v>6</v>
      </c>
      <c r="L73" s="7" t="str">
        <f t="shared" si="7"/>
        <v>6O</v>
      </c>
      <c r="M73" s="7">
        <v>34</v>
      </c>
      <c r="N73" s="7">
        <v>29</v>
      </c>
      <c r="O73" s="7">
        <v>9516</v>
      </c>
      <c r="P73" s="7">
        <v>9521</v>
      </c>
      <c r="Q73" s="7" t="s">
        <v>88</v>
      </c>
      <c r="R73" s="7">
        <v>2014</v>
      </c>
      <c r="S73" s="11"/>
      <c r="T73" s="7" t="s">
        <v>658</v>
      </c>
      <c r="U73" s="25"/>
      <c r="V73" s="7" t="s">
        <v>494</v>
      </c>
      <c r="W73" s="25" t="s">
        <v>859</v>
      </c>
      <c r="X73" s="5" t="s">
        <v>659</v>
      </c>
      <c r="Y73" s="11" t="s">
        <v>421</v>
      </c>
      <c r="Z73" s="11" t="s">
        <v>421</v>
      </c>
      <c r="AA73" s="11" t="s">
        <v>421</v>
      </c>
      <c r="AB73" s="11"/>
      <c r="AC73" s="11"/>
      <c r="AD73" s="11"/>
      <c r="AE73" s="11"/>
      <c r="AF73" s="11"/>
      <c r="AG73" s="11"/>
      <c r="AH73" s="11"/>
      <c r="AI73" s="11"/>
      <c r="AJ73" s="11"/>
      <c r="AK73" s="11"/>
      <c r="AL73" s="11"/>
      <c r="AM73" s="7" t="s">
        <v>663</v>
      </c>
      <c r="AN73" s="7" t="s">
        <v>1197</v>
      </c>
      <c r="AO73" s="7" t="s">
        <v>660</v>
      </c>
      <c r="AP73" s="5">
        <v>44</v>
      </c>
      <c r="AQ73" s="7">
        <v>32</v>
      </c>
      <c r="AR73" s="7"/>
      <c r="AS73" s="7" t="s">
        <v>1259</v>
      </c>
      <c r="AT73" s="7" t="s">
        <v>860</v>
      </c>
      <c r="AU73" s="7" t="s">
        <v>861</v>
      </c>
      <c r="AV73" s="7"/>
      <c r="AW73" s="7"/>
      <c r="AX73" s="7"/>
      <c r="AY73" s="7"/>
      <c r="AZ73" s="7">
        <f t="shared" ref="AZ73" si="20">TINV(BA73,BB73)</f>
        <v>3.3401572982420289</v>
      </c>
      <c r="BA73" s="7">
        <v>1.2999999999999999E-3</v>
      </c>
      <c r="BB73" s="7">
        <v>76</v>
      </c>
      <c r="BC73" s="7"/>
      <c r="BD73" s="7"/>
      <c r="BE73" s="7"/>
      <c r="BF73" s="7"/>
      <c r="BG73" s="7"/>
      <c r="BH73" s="7"/>
      <c r="BI73" s="7"/>
      <c r="BJ73" s="7"/>
      <c r="BK73" s="7"/>
      <c r="BL73" s="7"/>
      <c r="BM73" s="7"/>
      <c r="BN73" s="7"/>
      <c r="BO73" s="7"/>
      <c r="BP73" s="7"/>
      <c r="BQ73" s="7"/>
      <c r="BR73" s="7"/>
      <c r="BS73" s="7"/>
      <c r="BT73" s="7"/>
      <c r="BU73" s="12">
        <f t="shared" ref="BU73" si="21">(AZ73*2)/(SQRT(BB73))</f>
        <v>0.76628463781930778</v>
      </c>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row>
    <row r="74" spans="1:99" ht="90" x14ac:dyDescent="0.2">
      <c r="A74" s="3">
        <v>24</v>
      </c>
      <c r="B74" s="11">
        <v>253</v>
      </c>
      <c r="C74" s="5" t="s">
        <v>16</v>
      </c>
      <c r="D74" s="5" t="s">
        <v>1</v>
      </c>
      <c r="E74" s="5" t="str">
        <f t="shared" si="6"/>
        <v>XO</v>
      </c>
      <c r="F74" s="5" t="s">
        <v>1</v>
      </c>
      <c r="G74" s="5" t="s">
        <v>89</v>
      </c>
      <c r="H74" s="5"/>
      <c r="I74" s="5" t="s">
        <v>90</v>
      </c>
      <c r="J74" s="5" t="s">
        <v>91</v>
      </c>
      <c r="K74" s="5">
        <v>7</v>
      </c>
      <c r="L74" s="5" t="str">
        <f t="shared" si="7"/>
        <v>7O</v>
      </c>
      <c r="M74" s="5">
        <v>19</v>
      </c>
      <c r="N74" s="5">
        <v>7</v>
      </c>
      <c r="O74" s="5">
        <v>801</v>
      </c>
      <c r="P74" s="5">
        <v>810</v>
      </c>
      <c r="Q74" s="5" t="s">
        <v>92</v>
      </c>
      <c r="R74" s="5">
        <v>2014</v>
      </c>
      <c r="S74" s="19" t="s">
        <v>862</v>
      </c>
      <c r="T74" s="5"/>
      <c r="U74" s="5" t="s">
        <v>661</v>
      </c>
      <c r="V74" s="5"/>
      <c r="W74" s="5"/>
      <c r="X74" s="5"/>
      <c r="Y74" s="5"/>
      <c r="Z74" s="5"/>
      <c r="AA74" s="5"/>
      <c r="AB74" s="5"/>
      <c r="AC74" s="5"/>
      <c r="AD74" s="5"/>
      <c r="AE74" s="5"/>
      <c r="AF74" s="11"/>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7"/>
      <c r="CM74" s="7"/>
      <c r="CN74" s="7"/>
      <c r="CO74" s="7"/>
      <c r="CP74" s="7"/>
      <c r="CQ74" s="7"/>
      <c r="CR74" s="7"/>
      <c r="CS74" s="7"/>
      <c r="CT74" s="7"/>
      <c r="CU74" s="7"/>
    </row>
    <row r="75" spans="1:99" ht="285" x14ac:dyDescent="0.2">
      <c r="A75" s="3">
        <v>25</v>
      </c>
      <c r="B75" s="5">
        <v>254</v>
      </c>
      <c r="C75" s="5" t="s">
        <v>1</v>
      </c>
      <c r="D75" s="5" t="s">
        <v>1</v>
      </c>
      <c r="E75" s="5" t="str">
        <f t="shared" si="6"/>
        <v>OO</v>
      </c>
      <c r="F75" s="5" t="s">
        <v>1</v>
      </c>
      <c r="G75" s="5" t="s">
        <v>93</v>
      </c>
      <c r="H75" s="5"/>
      <c r="I75" s="7" t="s">
        <v>94</v>
      </c>
      <c r="J75" s="7" t="s">
        <v>95</v>
      </c>
      <c r="K75" s="7">
        <v>5</v>
      </c>
      <c r="L75" s="7" t="str">
        <f t="shared" si="7"/>
        <v>5O</v>
      </c>
      <c r="M75" s="7">
        <v>26</v>
      </c>
      <c r="N75" s="7">
        <v>7</v>
      </c>
      <c r="O75" s="7">
        <v>1418</v>
      </c>
      <c r="P75" s="7">
        <v>1427</v>
      </c>
      <c r="Q75" s="7" t="s">
        <v>96</v>
      </c>
      <c r="R75" s="7">
        <v>2014</v>
      </c>
      <c r="S75" s="11"/>
      <c r="T75" s="7" t="s">
        <v>864</v>
      </c>
      <c r="U75" s="7" t="s">
        <v>863</v>
      </c>
      <c r="V75" s="7" t="s">
        <v>494</v>
      </c>
      <c r="W75" s="25" t="s">
        <v>866</v>
      </c>
      <c r="X75" s="5" t="s">
        <v>865</v>
      </c>
      <c r="Y75" s="11" t="s">
        <v>662</v>
      </c>
      <c r="Z75" s="11"/>
      <c r="AA75" s="11"/>
      <c r="AB75" s="11"/>
      <c r="AC75" s="11"/>
      <c r="AD75" s="11"/>
      <c r="AE75" s="11"/>
      <c r="AF75" s="11"/>
      <c r="AG75" s="11"/>
      <c r="AH75" s="11"/>
      <c r="AI75" s="11"/>
      <c r="AJ75" s="11"/>
      <c r="AK75" s="11"/>
      <c r="AL75" s="11"/>
      <c r="AM75" s="25" t="s">
        <v>867</v>
      </c>
      <c r="AN75" s="7" t="s">
        <v>665</v>
      </c>
      <c r="AO75" s="7" t="s">
        <v>664</v>
      </c>
      <c r="AP75" s="7">
        <v>16</v>
      </c>
      <c r="AQ75" s="7">
        <v>22</v>
      </c>
      <c r="AR75" s="7"/>
      <c r="AS75" s="7" t="s">
        <v>1260</v>
      </c>
      <c r="AT75" s="7" t="s">
        <v>1261</v>
      </c>
      <c r="AU75" s="7" t="s">
        <v>1262</v>
      </c>
      <c r="AV75" s="7"/>
      <c r="AW75" s="7"/>
      <c r="AX75" s="7"/>
      <c r="AY75" s="7"/>
      <c r="AZ75" s="5">
        <f t="shared" ref="AZ75:AZ77" si="22">TINV(BA75,BB75)</f>
        <v>2.4080017820844843</v>
      </c>
      <c r="BA75" s="7">
        <v>2.1000000000000001E-2</v>
      </c>
      <c r="BB75" s="7">
        <v>38</v>
      </c>
      <c r="BC75" s="7"/>
      <c r="BD75" s="7"/>
      <c r="BE75" s="7"/>
      <c r="BF75" s="7"/>
      <c r="BG75" s="7"/>
      <c r="BH75" s="7"/>
      <c r="BI75" s="7"/>
      <c r="BJ75" s="7"/>
      <c r="BK75" s="7"/>
      <c r="BL75" s="7"/>
      <c r="BM75" s="7"/>
      <c r="BN75" s="7"/>
      <c r="BO75" s="7"/>
      <c r="BP75" s="7"/>
      <c r="BQ75" s="7"/>
      <c r="BR75" s="7"/>
      <c r="BS75" s="7"/>
      <c r="BT75" s="7"/>
      <c r="BU75" s="21">
        <f t="shared" ref="BU75:BU77" si="23">(AZ75*2)/(SQRT(BB75))</f>
        <v>0.78125894235030768</v>
      </c>
      <c r="BV75" s="7" t="s">
        <v>1198</v>
      </c>
      <c r="BW75" s="7"/>
      <c r="BX75" s="7"/>
      <c r="BY75" s="7"/>
      <c r="BZ75" s="7"/>
      <c r="CA75" s="7"/>
      <c r="CB75" s="7"/>
      <c r="CC75" s="7"/>
      <c r="CD75" s="7"/>
      <c r="CE75" s="7"/>
      <c r="CF75" s="7"/>
      <c r="CG75" s="7"/>
      <c r="CH75" s="7"/>
      <c r="CI75" s="7"/>
      <c r="CJ75" s="7"/>
      <c r="CK75" s="7"/>
      <c r="CL75" s="7"/>
      <c r="CM75" s="7"/>
      <c r="CN75" s="7"/>
      <c r="CO75" s="7"/>
      <c r="CP75" s="7"/>
      <c r="CQ75" s="7"/>
      <c r="CR75" s="7"/>
      <c r="CS75" s="7"/>
      <c r="CT75" s="7"/>
      <c r="CU75" s="7"/>
    </row>
    <row r="76" spans="1:99" ht="165" x14ac:dyDescent="0.2">
      <c r="A76" s="3">
        <v>26</v>
      </c>
      <c r="B76" s="5">
        <v>258</v>
      </c>
      <c r="C76" s="5" t="s">
        <v>1</v>
      </c>
      <c r="D76" s="5" t="s">
        <v>0</v>
      </c>
      <c r="E76" s="5" t="str">
        <f t="shared" si="6"/>
        <v>ON</v>
      </c>
      <c r="F76" s="5" t="s">
        <v>1</v>
      </c>
      <c r="G76" s="5" t="s">
        <v>97</v>
      </c>
      <c r="H76" s="5"/>
      <c r="I76" s="5" t="s">
        <v>98</v>
      </c>
      <c r="J76" s="5" t="s">
        <v>99</v>
      </c>
      <c r="K76" s="5">
        <v>9</v>
      </c>
      <c r="L76" s="5" t="str">
        <f t="shared" si="7"/>
        <v>9O</v>
      </c>
      <c r="M76" s="5">
        <v>82</v>
      </c>
      <c r="N76" s="5">
        <v>22</v>
      </c>
      <c r="O76" s="5">
        <v>1959</v>
      </c>
      <c r="P76" s="5">
        <v>1967</v>
      </c>
      <c r="Q76" s="5" t="s">
        <v>100</v>
      </c>
      <c r="R76" s="5">
        <v>2014</v>
      </c>
      <c r="S76" s="11"/>
      <c r="T76" s="5" t="s">
        <v>1073</v>
      </c>
      <c r="U76" s="5" t="s">
        <v>1071</v>
      </c>
      <c r="V76" s="5" t="s">
        <v>494</v>
      </c>
      <c r="W76" s="5" t="s">
        <v>1072</v>
      </c>
      <c r="X76" s="5" t="s">
        <v>1074</v>
      </c>
      <c r="Y76" s="11" t="s">
        <v>428</v>
      </c>
      <c r="Z76" s="11"/>
      <c r="AA76" s="11"/>
      <c r="AB76" s="11"/>
      <c r="AC76" s="11"/>
      <c r="AD76" s="11"/>
      <c r="AE76" s="11"/>
      <c r="AF76" s="11"/>
      <c r="AG76" s="11"/>
      <c r="AH76" s="11"/>
      <c r="AI76" s="11"/>
      <c r="AJ76" s="11"/>
      <c r="AK76" s="11"/>
      <c r="AL76" s="11"/>
      <c r="AM76" s="7" t="s">
        <v>1076</v>
      </c>
      <c r="AN76" s="7" t="s">
        <v>1075</v>
      </c>
      <c r="AO76" s="7"/>
      <c r="AP76" s="7"/>
      <c r="AQ76" s="7"/>
      <c r="AR76" s="7"/>
      <c r="AS76" s="7" t="s">
        <v>1263</v>
      </c>
      <c r="AT76" s="7" t="s">
        <v>1077</v>
      </c>
      <c r="AU76" s="7"/>
      <c r="AV76" s="7"/>
      <c r="AW76" s="7"/>
      <c r="AX76" s="7"/>
      <c r="AY76" s="7"/>
      <c r="AZ76" s="5">
        <f t="shared" si="22"/>
        <v>3.3068157877526021</v>
      </c>
      <c r="BA76" s="11">
        <v>1E-3</v>
      </c>
      <c r="BB76" s="7">
        <v>600</v>
      </c>
      <c r="BC76" s="7"/>
      <c r="BD76" s="7"/>
      <c r="BE76" s="7"/>
      <c r="BF76" s="7"/>
      <c r="BG76" s="7"/>
      <c r="BH76" s="7"/>
      <c r="BI76" s="7"/>
      <c r="BJ76" s="7"/>
      <c r="BK76" s="7"/>
      <c r="BL76" s="7"/>
      <c r="BM76" s="7"/>
      <c r="BN76" s="7"/>
      <c r="BO76" s="7"/>
      <c r="BP76" s="7"/>
      <c r="BQ76" s="7"/>
      <c r="BR76" s="7"/>
      <c r="BS76" s="7"/>
      <c r="BT76" s="7"/>
      <c r="BU76" s="21">
        <f t="shared" si="23"/>
        <v>0.27000037844578245</v>
      </c>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row>
    <row r="77" spans="1:99" ht="270" x14ac:dyDescent="0.2">
      <c r="A77" s="3">
        <v>27</v>
      </c>
      <c r="B77" s="5">
        <v>271</v>
      </c>
      <c r="C77" s="5" t="s">
        <v>1</v>
      </c>
      <c r="D77" s="5" t="s">
        <v>1702</v>
      </c>
      <c r="E77" s="5" t="str">
        <f t="shared" si="6"/>
        <v>OC</v>
      </c>
      <c r="F77" s="5" t="s">
        <v>1</v>
      </c>
      <c r="G77" s="5" t="s">
        <v>101</v>
      </c>
      <c r="H77" s="5" t="s">
        <v>102</v>
      </c>
      <c r="I77" s="7" t="s">
        <v>103</v>
      </c>
      <c r="J77" s="7" t="s">
        <v>104</v>
      </c>
      <c r="K77" s="7">
        <v>2</v>
      </c>
      <c r="L77" s="7" t="str">
        <f t="shared" si="7"/>
        <v>2O</v>
      </c>
      <c r="M77" s="7">
        <v>75</v>
      </c>
      <c r="N77" s="7">
        <v>10</v>
      </c>
      <c r="O77" s="7">
        <v>790</v>
      </c>
      <c r="P77" s="7">
        <v>797</v>
      </c>
      <c r="Q77" s="7" t="s">
        <v>105</v>
      </c>
      <c r="R77" s="7">
        <v>2014</v>
      </c>
      <c r="S77" s="11"/>
      <c r="T77" s="7" t="s">
        <v>868</v>
      </c>
      <c r="U77" s="7" t="s">
        <v>1079</v>
      </c>
      <c r="V77" s="7" t="s">
        <v>494</v>
      </c>
      <c r="W77" s="25" t="s">
        <v>843</v>
      </c>
      <c r="X77" s="7" t="s">
        <v>666</v>
      </c>
      <c r="Y77" s="7" t="s">
        <v>667</v>
      </c>
      <c r="Z77" s="7"/>
      <c r="AA77" s="7" t="s">
        <v>668</v>
      </c>
      <c r="AB77" s="10" t="s">
        <v>1078</v>
      </c>
      <c r="AC77" s="7"/>
      <c r="AD77" s="11" t="s">
        <v>1080</v>
      </c>
      <c r="AE77" s="5" t="s">
        <v>1081</v>
      </c>
      <c r="AF77" s="11"/>
      <c r="AG77" s="7"/>
      <c r="AH77" s="7"/>
      <c r="AI77" s="7"/>
      <c r="AJ77" s="7"/>
      <c r="AK77" s="7"/>
      <c r="AL77" s="7"/>
      <c r="AM77" s="7" t="s">
        <v>869</v>
      </c>
      <c r="AN77" s="7"/>
      <c r="AO77" s="7" t="s">
        <v>669</v>
      </c>
      <c r="AP77" s="7">
        <v>35</v>
      </c>
      <c r="AQ77" s="7">
        <v>46</v>
      </c>
      <c r="AR77" s="7"/>
      <c r="AS77" s="7" t="s">
        <v>1264</v>
      </c>
      <c r="AT77" s="7" t="s">
        <v>1265</v>
      </c>
      <c r="AU77" s="5"/>
      <c r="AV77" s="7"/>
      <c r="AW77" s="7"/>
      <c r="AX77" s="7"/>
      <c r="AY77" s="7"/>
      <c r="AZ77" s="5">
        <f t="shared" si="22"/>
        <v>3.4147318629915833</v>
      </c>
      <c r="BA77" s="7">
        <v>1E-3</v>
      </c>
      <c r="BB77" s="7">
        <v>81</v>
      </c>
      <c r="BC77" s="7"/>
      <c r="BD77" s="7"/>
      <c r="BE77" s="7"/>
      <c r="BF77" s="7"/>
      <c r="BG77" s="7"/>
      <c r="BH77" s="7"/>
      <c r="BI77" s="7"/>
      <c r="BJ77" s="7"/>
      <c r="BK77" s="7"/>
      <c r="BL77" s="7"/>
      <c r="BM77" s="7"/>
      <c r="BN77" s="7"/>
      <c r="BO77" s="7"/>
      <c r="BP77" s="7"/>
      <c r="BQ77" s="7"/>
      <c r="BR77" s="7"/>
      <c r="BS77" s="7"/>
      <c r="BT77" s="7"/>
      <c r="BU77" s="21">
        <f t="shared" si="23"/>
        <v>0.75882930288701855</v>
      </c>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row>
    <row r="78" spans="1:99" ht="64.5" customHeight="1" x14ac:dyDescent="0.2">
      <c r="A78" s="3">
        <v>28</v>
      </c>
      <c r="B78" s="20">
        <v>272</v>
      </c>
      <c r="C78" s="5" t="s">
        <v>1</v>
      </c>
      <c r="D78" s="5" t="s">
        <v>1</v>
      </c>
      <c r="E78" s="5" t="str">
        <f t="shared" si="6"/>
        <v>OO</v>
      </c>
      <c r="F78" s="5" t="s">
        <v>1</v>
      </c>
      <c r="G78" s="5" t="s">
        <v>106</v>
      </c>
      <c r="H78" s="5"/>
      <c r="I78" s="7" t="s">
        <v>107</v>
      </c>
      <c r="J78" s="7" t="s">
        <v>108</v>
      </c>
      <c r="K78" s="7">
        <v>6</v>
      </c>
      <c r="L78" s="7" t="str">
        <f t="shared" si="7"/>
        <v>6O</v>
      </c>
      <c r="M78" s="7">
        <v>34</v>
      </c>
      <c r="N78" s="7">
        <v>19</v>
      </c>
      <c r="O78" s="7">
        <v>6537</v>
      </c>
      <c r="P78" s="7">
        <v>6545</v>
      </c>
      <c r="Q78" s="7" t="s">
        <v>109</v>
      </c>
      <c r="R78" s="7">
        <v>2014</v>
      </c>
      <c r="S78" s="11"/>
      <c r="T78" s="7" t="s">
        <v>870</v>
      </c>
      <c r="U78" s="7" t="s">
        <v>1082</v>
      </c>
      <c r="V78" s="7" t="s">
        <v>494</v>
      </c>
      <c r="W78" s="25" t="s">
        <v>846</v>
      </c>
      <c r="X78" s="7" t="s">
        <v>670</v>
      </c>
      <c r="Y78" s="7" t="s">
        <v>431</v>
      </c>
      <c r="Z78" s="7"/>
      <c r="AA78" s="7" t="s">
        <v>440</v>
      </c>
      <c r="AB78" s="10" t="s">
        <v>978</v>
      </c>
      <c r="AC78" s="7" t="s">
        <v>672</v>
      </c>
      <c r="AD78" s="7" t="s">
        <v>980</v>
      </c>
      <c r="AE78" s="5" t="s">
        <v>995</v>
      </c>
      <c r="AF78" s="11"/>
      <c r="AG78" s="7"/>
      <c r="AH78" s="7"/>
      <c r="AI78" s="7"/>
      <c r="AJ78" s="7"/>
      <c r="AK78" s="7"/>
      <c r="AL78" s="7"/>
      <c r="AM78" s="5" t="s">
        <v>876</v>
      </c>
      <c r="AN78" s="5" t="s">
        <v>877</v>
      </c>
      <c r="AO78" s="7" t="s">
        <v>680</v>
      </c>
      <c r="AP78" s="7" t="s">
        <v>674</v>
      </c>
      <c r="AQ78" s="7" t="s">
        <v>675</v>
      </c>
      <c r="AR78" s="7" t="s">
        <v>676</v>
      </c>
      <c r="AS78" s="7" t="s">
        <v>1266</v>
      </c>
      <c r="AT78" s="25" t="s">
        <v>873</v>
      </c>
      <c r="AU78" s="5" t="s">
        <v>875</v>
      </c>
      <c r="AV78" s="7" t="s">
        <v>1267</v>
      </c>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row>
    <row r="79" spans="1:99" ht="83.25" customHeight="1" x14ac:dyDescent="0.2">
      <c r="A79" s="3">
        <v>28</v>
      </c>
      <c r="B79" s="20"/>
      <c r="C79" s="5"/>
      <c r="D79" s="5"/>
      <c r="E79" s="5"/>
      <c r="F79" s="5"/>
      <c r="G79" s="5"/>
      <c r="H79" s="5"/>
      <c r="I79" s="7"/>
      <c r="J79" s="7"/>
      <c r="K79" s="7"/>
      <c r="L79" s="7"/>
      <c r="M79" s="7"/>
      <c r="N79" s="7"/>
      <c r="O79" s="7"/>
      <c r="P79" s="7"/>
      <c r="Q79" s="7"/>
      <c r="R79" s="7"/>
      <c r="S79" s="11"/>
      <c r="T79" s="7"/>
      <c r="U79" s="7"/>
      <c r="V79" s="7"/>
      <c r="W79" s="25"/>
      <c r="X79" s="7"/>
      <c r="Y79" s="7" t="s">
        <v>431</v>
      </c>
      <c r="Z79" s="7"/>
      <c r="AA79" s="7" t="s">
        <v>671</v>
      </c>
      <c r="AB79" s="10" t="s">
        <v>1083</v>
      </c>
      <c r="AC79" s="7" t="s">
        <v>673</v>
      </c>
      <c r="AD79" s="7" t="s">
        <v>1084</v>
      </c>
      <c r="AE79" s="5" t="s">
        <v>1085</v>
      </c>
      <c r="AF79" s="11"/>
      <c r="AG79" s="7"/>
      <c r="AH79" s="7"/>
      <c r="AI79" s="7"/>
      <c r="AJ79" s="7"/>
      <c r="AK79" s="7"/>
      <c r="AL79" s="7"/>
      <c r="AM79" s="5"/>
      <c r="AN79" s="5"/>
      <c r="AO79" s="7" t="s">
        <v>680</v>
      </c>
      <c r="AP79" s="7" t="s">
        <v>677</v>
      </c>
      <c r="AQ79" s="7" t="s">
        <v>678</v>
      </c>
      <c r="AR79" s="7" t="s">
        <v>679</v>
      </c>
      <c r="AS79" s="7"/>
      <c r="AT79" s="25"/>
      <c r="AU79" s="5"/>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row>
    <row r="80" spans="1:99" ht="68.25" customHeight="1" x14ac:dyDescent="0.2">
      <c r="A80" s="3">
        <v>28</v>
      </c>
      <c r="B80" s="20"/>
      <c r="C80" s="5"/>
      <c r="D80" s="5"/>
      <c r="E80" s="5"/>
      <c r="F80" s="5"/>
      <c r="G80" s="5"/>
      <c r="H80" s="5"/>
      <c r="I80" s="7"/>
      <c r="J80" s="7"/>
      <c r="K80" s="7"/>
      <c r="L80" s="7"/>
      <c r="M80" s="7"/>
      <c r="N80" s="7"/>
      <c r="O80" s="7"/>
      <c r="P80" s="7"/>
      <c r="Q80" s="7"/>
      <c r="R80" s="7"/>
      <c r="S80" s="11"/>
      <c r="T80" s="7"/>
      <c r="U80" s="7"/>
      <c r="V80" s="7"/>
      <c r="W80" s="25"/>
      <c r="X80" s="7"/>
      <c r="Y80" s="11" t="s">
        <v>428</v>
      </c>
      <c r="Z80" s="11"/>
      <c r="AA80" s="11"/>
      <c r="AB80" s="11"/>
      <c r="AC80" s="11"/>
      <c r="AD80" s="11"/>
      <c r="AE80" s="11"/>
      <c r="AF80" s="11"/>
      <c r="AG80" s="11"/>
      <c r="AH80" s="11"/>
      <c r="AI80" s="11"/>
      <c r="AJ80" s="11"/>
      <c r="AK80" s="11"/>
      <c r="AL80" s="11"/>
      <c r="AM80" s="5"/>
      <c r="AN80" s="5"/>
      <c r="AO80" s="7" t="s">
        <v>871</v>
      </c>
      <c r="AP80" s="7"/>
      <c r="AQ80" s="7"/>
      <c r="AR80" s="7"/>
      <c r="AS80" s="7"/>
      <c r="AT80" s="7" t="s">
        <v>874</v>
      </c>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row>
    <row r="81" spans="1:99" ht="68.25" customHeight="1" x14ac:dyDescent="0.2">
      <c r="A81" s="3">
        <v>28</v>
      </c>
      <c r="B81" s="20"/>
      <c r="C81" s="5"/>
      <c r="D81" s="5"/>
      <c r="E81" s="5"/>
      <c r="F81" s="5"/>
      <c r="G81" s="5"/>
      <c r="H81" s="5"/>
      <c r="I81" s="7"/>
      <c r="J81" s="7"/>
      <c r="K81" s="7"/>
      <c r="L81" s="7"/>
      <c r="M81" s="7"/>
      <c r="N81" s="7"/>
      <c r="O81" s="7"/>
      <c r="P81" s="7"/>
      <c r="Q81" s="7"/>
      <c r="R81" s="7"/>
      <c r="S81" s="11"/>
      <c r="T81" s="7"/>
      <c r="U81" s="7"/>
      <c r="V81" s="7"/>
      <c r="W81" s="25"/>
      <c r="X81" s="7"/>
      <c r="Y81" s="7"/>
      <c r="Z81" s="7"/>
      <c r="AA81" s="7"/>
      <c r="AB81" s="7"/>
      <c r="AC81" s="7"/>
      <c r="AD81" s="7"/>
      <c r="AE81" s="11"/>
      <c r="AF81" s="11"/>
      <c r="AG81" s="7"/>
      <c r="AH81" s="7"/>
      <c r="AI81" s="7"/>
      <c r="AJ81" s="7"/>
      <c r="AK81" s="7"/>
      <c r="AL81" s="7"/>
      <c r="AM81" s="5"/>
      <c r="AN81" s="5"/>
      <c r="AO81" s="7" t="s">
        <v>872</v>
      </c>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row>
    <row r="82" spans="1:99" ht="141" customHeight="1" x14ac:dyDescent="0.2">
      <c r="A82" s="3">
        <v>29</v>
      </c>
      <c r="B82" s="5">
        <v>299</v>
      </c>
      <c r="C82" s="5" t="s">
        <v>1</v>
      </c>
      <c r="D82" s="5" t="s">
        <v>1</v>
      </c>
      <c r="E82" s="5" t="str">
        <f t="shared" si="6"/>
        <v>OO</v>
      </c>
      <c r="F82" s="5" t="s">
        <v>1</v>
      </c>
      <c r="G82" s="5" t="s">
        <v>110</v>
      </c>
      <c r="H82" s="5"/>
      <c r="I82" s="7" t="s">
        <v>111</v>
      </c>
      <c r="J82" s="7" t="s">
        <v>112</v>
      </c>
      <c r="K82" s="7">
        <v>4</v>
      </c>
      <c r="L82" s="7" t="str">
        <f t="shared" si="7"/>
        <v>4O</v>
      </c>
      <c r="M82" s="7">
        <v>24</v>
      </c>
      <c r="N82" s="7">
        <v>5</v>
      </c>
      <c r="O82" s="7">
        <v>1230</v>
      </c>
      <c r="P82" s="7">
        <v>1246</v>
      </c>
      <c r="Q82" s="7" t="s">
        <v>113</v>
      </c>
      <c r="R82" s="7">
        <v>2014</v>
      </c>
      <c r="S82" s="11"/>
      <c r="T82" s="7" t="s">
        <v>879</v>
      </c>
      <c r="U82" s="7" t="s">
        <v>1268</v>
      </c>
      <c r="V82" s="7" t="s">
        <v>494</v>
      </c>
      <c r="W82" s="29" t="s">
        <v>846</v>
      </c>
      <c r="X82" s="7" t="s">
        <v>681</v>
      </c>
      <c r="Y82" s="7" t="s">
        <v>682</v>
      </c>
      <c r="Z82" s="7"/>
      <c r="AA82" s="7" t="s">
        <v>683</v>
      </c>
      <c r="AB82" s="10" t="s">
        <v>1086</v>
      </c>
      <c r="AC82" s="7"/>
      <c r="AD82" s="7" t="s">
        <v>1087</v>
      </c>
      <c r="AE82" s="5" t="s">
        <v>1088</v>
      </c>
      <c r="AF82" s="11"/>
      <c r="AG82" s="7"/>
      <c r="AH82" s="7"/>
      <c r="AI82" s="7"/>
      <c r="AJ82" s="7"/>
      <c r="AK82" s="7"/>
      <c r="AL82" s="7"/>
      <c r="AM82" s="5" t="s">
        <v>880</v>
      </c>
      <c r="AN82" s="5"/>
      <c r="AO82" s="5" t="s">
        <v>881</v>
      </c>
      <c r="AP82" s="7" t="s">
        <v>887</v>
      </c>
      <c r="AQ82" s="7" t="s">
        <v>906</v>
      </c>
      <c r="AR82" s="7" t="s">
        <v>907</v>
      </c>
      <c r="AS82" s="7" t="s">
        <v>917</v>
      </c>
      <c r="AT82" s="25"/>
      <c r="AU82" s="7" t="s">
        <v>919</v>
      </c>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row>
    <row r="83" spans="1:99" ht="75" x14ac:dyDescent="0.2">
      <c r="A83" s="3">
        <v>29</v>
      </c>
      <c r="B83" s="5"/>
      <c r="C83" s="5"/>
      <c r="D83" s="5"/>
      <c r="E83" s="5"/>
      <c r="F83" s="5"/>
      <c r="G83" s="5"/>
      <c r="H83" s="5"/>
      <c r="I83" s="7"/>
      <c r="J83" s="7"/>
      <c r="K83" s="7"/>
      <c r="L83" s="7"/>
      <c r="M83" s="7"/>
      <c r="N83" s="7"/>
      <c r="O83" s="7"/>
      <c r="P83" s="7"/>
      <c r="Q83" s="7"/>
      <c r="R83" s="7"/>
      <c r="S83" s="11"/>
      <c r="T83" s="7"/>
      <c r="U83" s="7"/>
      <c r="V83" s="7"/>
      <c r="W83" s="29"/>
      <c r="X83" s="7"/>
      <c r="Y83" s="7" t="s">
        <v>682</v>
      </c>
      <c r="Z83" s="7"/>
      <c r="AA83" s="7" t="s">
        <v>684</v>
      </c>
      <c r="AB83" s="10" t="s">
        <v>1089</v>
      </c>
      <c r="AC83" s="7"/>
      <c r="AD83" s="7" t="s">
        <v>1090</v>
      </c>
      <c r="AE83" s="5" t="s">
        <v>1091</v>
      </c>
      <c r="AF83" s="11"/>
      <c r="AG83" s="7"/>
      <c r="AH83" s="7"/>
      <c r="AI83" s="7"/>
      <c r="AJ83" s="7"/>
      <c r="AK83" s="7"/>
      <c r="AL83" s="7"/>
      <c r="AM83" s="5"/>
      <c r="AN83" s="5"/>
      <c r="AO83" s="7" t="s">
        <v>882</v>
      </c>
      <c r="AP83" s="7" t="s">
        <v>888</v>
      </c>
      <c r="AQ83" s="7" t="s">
        <v>897</v>
      </c>
      <c r="AR83" s="7" t="s">
        <v>908</v>
      </c>
      <c r="AS83" s="7"/>
      <c r="AT83" s="25"/>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row>
    <row r="84" spans="1:99" ht="120" x14ac:dyDescent="0.2">
      <c r="A84" s="3">
        <v>29</v>
      </c>
      <c r="B84" s="5"/>
      <c r="C84" s="5"/>
      <c r="D84" s="5"/>
      <c r="E84" s="5"/>
      <c r="F84" s="5"/>
      <c r="G84" s="5"/>
      <c r="H84" s="5"/>
      <c r="I84" s="7"/>
      <c r="J84" s="7"/>
      <c r="K84" s="7"/>
      <c r="L84" s="7"/>
      <c r="M84" s="7"/>
      <c r="N84" s="7"/>
      <c r="O84" s="7"/>
      <c r="P84" s="7"/>
      <c r="Q84" s="7"/>
      <c r="R84" s="7"/>
      <c r="S84" s="11"/>
      <c r="T84" s="7"/>
      <c r="U84" s="7"/>
      <c r="V84" s="7"/>
      <c r="W84" s="29"/>
      <c r="X84" s="7"/>
      <c r="Y84" s="7" t="s">
        <v>629</v>
      </c>
      <c r="Z84" s="6" t="s">
        <v>1092</v>
      </c>
      <c r="AA84" s="6" t="s">
        <v>396</v>
      </c>
      <c r="AB84" s="14" t="s">
        <v>959</v>
      </c>
      <c r="AC84" s="6"/>
      <c r="AD84" s="6" t="s">
        <v>960</v>
      </c>
      <c r="AE84" s="9" t="s">
        <v>992</v>
      </c>
      <c r="AF84" s="8" t="s">
        <v>359</v>
      </c>
      <c r="AG84" s="7"/>
      <c r="AH84" s="7"/>
      <c r="AI84" s="7"/>
      <c r="AJ84" s="7"/>
      <c r="AK84" s="7"/>
      <c r="AL84" s="7"/>
      <c r="AM84" s="5"/>
      <c r="AN84" s="5"/>
      <c r="AO84" s="7" t="s">
        <v>883</v>
      </c>
      <c r="AP84" s="7" t="s">
        <v>889</v>
      </c>
      <c r="AQ84" s="7" t="s">
        <v>898</v>
      </c>
      <c r="AR84" s="7" t="s">
        <v>909</v>
      </c>
      <c r="AS84" s="7"/>
      <c r="AT84" s="25"/>
      <c r="AU84" s="7" t="s">
        <v>920</v>
      </c>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row>
    <row r="85" spans="1:99" ht="75" x14ac:dyDescent="0.2">
      <c r="A85" s="3">
        <v>29</v>
      </c>
      <c r="B85" s="5"/>
      <c r="C85" s="5"/>
      <c r="D85" s="5"/>
      <c r="E85" s="5"/>
      <c r="F85" s="5"/>
      <c r="G85" s="5"/>
      <c r="H85" s="5"/>
      <c r="I85" s="7"/>
      <c r="J85" s="7"/>
      <c r="K85" s="7"/>
      <c r="L85" s="7"/>
      <c r="M85" s="7"/>
      <c r="N85" s="7"/>
      <c r="O85" s="7"/>
      <c r="P85" s="7"/>
      <c r="Q85" s="7"/>
      <c r="R85" s="7"/>
      <c r="S85" s="11"/>
      <c r="T85" s="7"/>
      <c r="U85" s="7"/>
      <c r="V85" s="7"/>
      <c r="W85" s="29"/>
      <c r="X85" s="7"/>
      <c r="Y85" s="7" t="s">
        <v>685</v>
      </c>
      <c r="Z85" s="7"/>
      <c r="AA85" s="7" t="s">
        <v>687</v>
      </c>
      <c r="AB85" s="10" t="s">
        <v>1093</v>
      </c>
      <c r="AC85" s="7"/>
      <c r="AD85" s="7" t="s">
        <v>1094</v>
      </c>
      <c r="AE85" s="5" t="s">
        <v>1095</v>
      </c>
      <c r="AF85" s="11"/>
      <c r="AG85" s="7"/>
      <c r="AH85" s="7"/>
      <c r="AI85" s="7"/>
      <c r="AJ85" s="7"/>
      <c r="AK85" s="7"/>
      <c r="AL85" s="7"/>
      <c r="AM85" s="5"/>
      <c r="AN85" s="5"/>
      <c r="AO85" s="7" t="s">
        <v>884</v>
      </c>
      <c r="AP85" s="7" t="s">
        <v>890</v>
      </c>
      <c r="AQ85" s="7" t="s">
        <v>899</v>
      </c>
      <c r="AR85" s="7" t="s">
        <v>910</v>
      </c>
      <c r="AS85" s="7"/>
      <c r="AT85" s="25"/>
      <c r="AU85" s="7" t="s">
        <v>922</v>
      </c>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row>
    <row r="86" spans="1:99" ht="75" x14ac:dyDescent="0.2">
      <c r="A86" s="3">
        <v>29</v>
      </c>
      <c r="B86" s="5"/>
      <c r="C86" s="5"/>
      <c r="D86" s="5"/>
      <c r="E86" s="5"/>
      <c r="F86" s="5"/>
      <c r="G86" s="5"/>
      <c r="H86" s="5"/>
      <c r="I86" s="7"/>
      <c r="J86" s="7"/>
      <c r="K86" s="7"/>
      <c r="L86" s="7"/>
      <c r="M86" s="7"/>
      <c r="N86" s="7"/>
      <c r="O86" s="7"/>
      <c r="P86" s="7"/>
      <c r="Q86" s="7"/>
      <c r="R86" s="7"/>
      <c r="S86" s="11"/>
      <c r="T86" s="7"/>
      <c r="U86" s="7"/>
      <c r="V86" s="7"/>
      <c r="W86" s="29"/>
      <c r="X86" s="7"/>
      <c r="Y86" s="7" t="s">
        <v>685</v>
      </c>
      <c r="Z86" s="7"/>
      <c r="AA86" s="7" t="s">
        <v>686</v>
      </c>
      <c r="AB86" s="10" t="s">
        <v>1096</v>
      </c>
      <c r="AC86" s="7"/>
      <c r="AD86" s="7" t="s">
        <v>1097</v>
      </c>
      <c r="AE86" s="5" t="s">
        <v>1099</v>
      </c>
      <c r="AF86" s="11"/>
      <c r="AG86" s="7"/>
      <c r="AH86" s="7"/>
      <c r="AI86" s="7"/>
      <c r="AJ86" s="7"/>
      <c r="AK86" s="7"/>
      <c r="AL86" s="7"/>
      <c r="AM86" s="5"/>
      <c r="AN86" s="5"/>
      <c r="AO86" s="7" t="s">
        <v>884</v>
      </c>
      <c r="AP86" s="7" t="s">
        <v>891</v>
      </c>
      <c r="AQ86" s="7" t="s">
        <v>900</v>
      </c>
      <c r="AR86" s="7" t="s">
        <v>911</v>
      </c>
      <c r="AS86" s="7"/>
      <c r="AT86" s="25"/>
      <c r="AU86" s="7" t="s">
        <v>921</v>
      </c>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row>
    <row r="87" spans="1:99" ht="75" x14ac:dyDescent="0.2">
      <c r="A87" s="3">
        <v>29</v>
      </c>
      <c r="B87" s="5"/>
      <c r="C87" s="5"/>
      <c r="D87" s="5"/>
      <c r="E87" s="5"/>
      <c r="F87" s="5"/>
      <c r="G87" s="5"/>
      <c r="H87" s="5"/>
      <c r="I87" s="7"/>
      <c r="J87" s="7"/>
      <c r="K87" s="7"/>
      <c r="L87" s="7"/>
      <c r="M87" s="7"/>
      <c r="N87" s="7"/>
      <c r="O87" s="7"/>
      <c r="P87" s="7"/>
      <c r="Q87" s="7"/>
      <c r="R87" s="7"/>
      <c r="S87" s="11"/>
      <c r="T87" s="7"/>
      <c r="U87" s="7"/>
      <c r="V87" s="7"/>
      <c r="W87" s="29"/>
      <c r="X87" s="7"/>
      <c r="Y87" s="7" t="s">
        <v>688</v>
      </c>
      <c r="Z87" s="7"/>
      <c r="AA87" s="7" t="s">
        <v>689</v>
      </c>
      <c r="AB87" s="10" t="s">
        <v>1098</v>
      </c>
      <c r="AC87" s="7"/>
      <c r="AD87" s="7" t="s">
        <v>1100</v>
      </c>
      <c r="AE87" s="5" t="s">
        <v>1101</v>
      </c>
      <c r="AF87" s="11"/>
      <c r="AG87" s="7"/>
      <c r="AH87" s="7"/>
      <c r="AI87" s="7"/>
      <c r="AJ87" s="7"/>
      <c r="AK87" s="7"/>
      <c r="AL87" s="7"/>
      <c r="AM87" s="5"/>
      <c r="AN87" s="5"/>
      <c r="AO87" s="7" t="s">
        <v>881</v>
      </c>
      <c r="AP87" s="7" t="s">
        <v>892</v>
      </c>
      <c r="AQ87" s="7" t="s">
        <v>901</v>
      </c>
      <c r="AR87" s="7" t="s">
        <v>912</v>
      </c>
      <c r="AS87" s="7"/>
      <c r="AT87" s="25" t="s">
        <v>918</v>
      </c>
      <c r="AU87" s="7" t="s">
        <v>924</v>
      </c>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row>
    <row r="88" spans="1:99" ht="75" x14ac:dyDescent="0.2">
      <c r="A88" s="3">
        <v>29</v>
      </c>
      <c r="B88" s="5"/>
      <c r="C88" s="5"/>
      <c r="D88" s="5"/>
      <c r="E88" s="5"/>
      <c r="F88" s="5"/>
      <c r="G88" s="5"/>
      <c r="H88" s="5"/>
      <c r="I88" s="7"/>
      <c r="J88" s="7"/>
      <c r="K88" s="7"/>
      <c r="L88" s="7"/>
      <c r="M88" s="7"/>
      <c r="N88" s="7"/>
      <c r="O88" s="7"/>
      <c r="P88" s="7"/>
      <c r="Q88" s="7"/>
      <c r="R88" s="7"/>
      <c r="S88" s="11"/>
      <c r="T88" s="7"/>
      <c r="U88" s="7"/>
      <c r="V88" s="7"/>
      <c r="W88" s="29"/>
      <c r="X88" s="7"/>
      <c r="Y88" s="7" t="s">
        <v>688</v>
      </c>
      <c r="Z88" s="7"/>
      <c r="AA88" s="7" t="s">
        <v>690</v>
      </c>
      <c r="AB88" s="10" t="s">
        <v>1102</v>
      </c>
      <c r="AC88" s="7"/>
      <c r="AD88" s="7" t="s">
        <v>1103</v>
      </c>
      <c r="AE88" s="5" t="s">
        <v>1104</v>
      </c>
      <c r="AF88" s="26"/>
      <c r="AG88" s="7"/>
      <c r="AH88" s="7"/>
      <c r="AI88" s="7"/>
      <c r="AJ88" s="7"/>
      <c r="AK88" s="7"/>
      <c r="AL88" s="7"/>
      <c r="AM88" s="5"/>
      <c r="AN88" s="5"/>
      <c r="AO88" s="7" t="s">
        <v>885</v>
      </c>
      <c r="AP88" s="7" t="s">
        <v>893</v>
      </c>
      <c r="AQ88" s="7" t="s">
        <v>902</v>
      </c>
      <c r="AR88" s="7" t="s">
        <v>913</v>
      </c>
      <c r="AS88" s="7"/>
      <c r="AT88" s="25"/>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row>
    <row r="89" spans="1:99" ht="75" x14ac:dyDescent="0.2">
      <c r="A89" s="3">
        <v>29</v>
      </c>
      <c r="B89" s="5"/>
      <c r="C89" s="5"/>
      <c r="D89" s="5"/>
      <c r="E89" s="5"/>
      <c r="F89" s="5"/>
      <c r="G89" s="5"/>
      <c r="H89" s="5"/>
      <c r="I89" s="7"/>
      <c r="J89" s="7"/>
      <c r="K89" s="7"/>
      <c r="L89" s="7"/>
      <c r="M89" s="7"/>
      <c r="N89" s="7"/>
      <c r="O89" s="7"/>
      <c r="P89" s="7"/>
      <c r="Q89" s="7"/>
      <c r="R89" s="7"/>
      <c r="S89" s="11"/>
      <c r="T89" s="7"/>
      <c r="U89" s="7"/>
      <c r="V89" s="7"/>
      <c r="W89" s="29"/>
      <c r="X89" s="7"/>
      <c r="Y89" s="7" t="s">
        <v>691</v>
      </c>
      <c r="Z89" s="7"/>
      <c r="AA89" s="7" t="s">
        <v>692</v>
      </c>
      <c r="AB89" s="10" t="s">
        <v>1105</v>
      </c>
      <c r="AC89" s="7"/>
      <c r="AD89" s="11" t="s">
        <v>1106</v>
      </c>
      <c r="AE89" s="5" t="s">
        <v>1107</v>
      </c>
      <c r="AF89" s="11"/>
      <c r="AG89" s="7"/>
      <c r="AH89" s="7"/>
      <c r="AI89" s="7"/>
      <c r="AJ89" s="7"/>
      <c r="AK89" s="7"/>
      <c r="AL89" s="7"/>
      <c r="AM89" s="5"/>
      <c r="AN89" s="5"/>
      <c r="AO89" s="7" t="s">
        <v>883</v>
      </c>
      <c r="AP89" s="7" t="s">
        <v>894</v>
      </c>
      <c r="AQ89" s="7" t="s">
        <v>903</v>
      </c>
      <c r="AR89" s="7" t="s">
        <v>914</v>
      </c>
      <c r="AS89" s="7"/>
      <c r="AT89" s="25"/>
      <c r="AU89" s="7" t="s">
        <v>925</v>
      </c>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row>
    <row r="90" spans="1:99" ht="105" x14ac:dyDescent="0.2">
      <c r="A90" s="3">
        <v>29</v>
      </c>
      <c r="B90" s="5"/>
      <c r="C90" s="5"/>
      <c r="D90" s="5"/>
      <c r="E90" s="5"/>
      <c r="F90" s="5"/>
      <c r="G90" s="5"/>
      <c r="H90" s="5"/>
      <c r="I90" s="7"/>
      <c r="J90" s="7"/>
      <c r="K90" s="7"/>
      <c r="L90" s="7"/>
      <c r="M90" s="7"/>
      <c r="N90" s="7"/>
      <c r="O90" s="7"/>
      <c r="P90" s="7"/>
      <c r="Q90" s="7"/>
      <c r="R90" s="7"/>
      <c r="S90" s="11"/>
      <c r="T90" s="7"/>
      <c r="U90" s="7"/>
      <c r="V90" s="7"/>
      <c r="W90" s="29"/>
      <c r="X90" s="7"/>
      <c r="Y90" s="7" t="s">
        <v>693</v>
      </c>
      <c r="Z90" s="7"/>
      <c r="AA90" s="7" t="s">
        <v>694</v>
      </c>
      <c r="AB90" s="10" t="s">
        <v>1108</v>
      </c>
      <c r="AC90" s="7"/>
      <c r="AD90" s="11" t="s">
        <v>1109</v>
      </c>
      <c r="AE90" s="5" t="s">
        <v>1110</v>
      </c>
      <c r="AF90" s="11"/>
      <c r="AG90" s="7"/>
      <c r="AH90" s="7"/>
      <c r="AI90" s="7"/>
      <c r="AJ90" s="7"/>
      <c r="AK90" s="7"/>
      <c r="AL90" s="7"/>
      <c r="AM90" s="5"/>
      <c r="AN90" s="5"/>
      <c r="AO90" s="7" t="s">
        <v>885</v>
      </c>
      <c r="AP90" s="7" t="s">
        <v>895</v>
      </c>
      <c r="AQ90" s="7" t="s">
        <v>904</v>
      </c>
      <c r="AR90" s="7" t="s">
        <v>915</v>
      </c>
      <c r="AS90" s="7"/>
      <c r="AT90" s="25"/>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row>
    <row r="91" spans="1:99" ht="90" x14ac:dyDescent="0.2">
      <c r="A91" s="3">
        <v>29</v>
      </c>
      <c r="B91" s="5"/>
      <c r="C91" s="5"/>
      <c r="D91" s="5"/>
      <c r="E91" s="5"/>
      <c r="F91" s="5"/>
      <c r="G91" s="5"/>
      <c r="H91" s="5"/>
      <c r="I91" s="7"/>
      <c r="J91" s="7"/>
      <c r="K91" s="7"/>
      <c r="L91" s="7"/>
      <c r="M91" s="7"/>
      <c r="N91" s="7"/>
      <c r="O91" s="7"/>
      <c r="P91" s="7"/>
      <c r="Q91" s="7"/>
      <c r="R91" s="7"/>
      <c r="S91" s="11"/>
      <c r="T91" s="7"/>
      <c r="U91" s="7"/>
      <c r="V91" s="7"/>
      <c r="W91" s="29"/>
      <c r="X91" s="7"/>
      <c r="Y91" s="11" t="s">
        <v>428</v>
      </c>
      <c r="Z91" s="26"/>
      <c r="AA91" s="26"/>
      <c r="AB91" s="11"/>
      <c r="AC91" s="11"/>
      <c r="AD91" s="11"/>
      <c r="AE91" s="11"/>
      <c r="AF91" s="11"/>
      <c r="AG91" s="11"/>
      <c r="AH91" s="11"/>
      <c r="AI91" s="11"/>
      <c r="AJ91" s="11"/>
      <c r="AK91" s="11"/>
      <c r="AL91" s="11"/>
      <c r="AM91" s="5"/>
      <c r="AN91" s="5"/>
      <c r="AO91" s="7" t="s">
        <v>886</v>
      </c>
      <c r="AP91" s="7" t="s">
        <v>896</v>
      </c>
      <c r="AQ91" s="7" t="s">
        <v>905</v>
      </c>
      <c r="AR91" s="7" t="s">
        <v>916</v>
      </c>
      <c r="AS91" s="7"/>
      <c r="AT91" s="25"/>
      <c r="AU91" s="7" t="s">
        <v>923</v>
      </c>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row>
    <row r="92" spans="1:99" ht="180" x14ac:dyDescent="0.2">
      <c r="A92" s="3">
        <v>30</v>
      </c>
      <c r="B92" s="5">
        <v>300</v>
      </c>
      <c r="C92" s="5" t="s">
        <v>1</v>
      </c>
      <c r="D92" s="5" t="s">
        <v>1</v>
      </c>
      <c r="E92" s="5" t="str">
        <f t="shared" si="6"/>
        <v>OO</v>
      </c>
      <c r="F92" s="5" t="s">
        <v>1</v>
      </c>
      <c r="G92" s="5" t="s">
        <v>114</v>
      </c>
      <c r="H92" s="5"/>
      <c r="I92" s="7" t="s">
        <v>115</v>
      </c>
      <c r="J92" s="7" t="s">
        <v>116</v>
      </c>
      <c r="K92" s="7">
        <v>2</v>
      </c>
      <c r="L92" s="7" t="str">
        <f t="shared" si="7"/>
        <v>2O</v>
      </c>
      <c r="M92" s="7">
        <v>75</v>
      </c>
      <c r="N92" s="7">
        <v>9</v>
      </c>
      <c r="O92" s="7">
        <v>693</v>
      </c>
      <c r="P92" s="7">
        <v>700</v>
      </c>
      <c r="Q92" s="7" t="s">
        <v>117</v>
      </c>
      <c r="R92" s="7">
        <v>2014</v>
      </c>
      <c r="S92" s="11"/>
      <c r="T92" s="7" t="s">
        <v>695</v>
      </c>
      <c r="U92" s="25" t="s">
        <v>1121</v>
      </c>
      <c r="V92" s="7"/>
      <c r="W92" s="25" t="s">
        <v>926</v>
      </c>
      <c r="X92" s="7" t="s">
        <v>699</v>
      </c>
      <c r="Y92" s="7" t="s">
        <v>696</v>
      </c>
      <c r="Z92" s="7"/>
      <c r="AA92" s="7" t="s">
        <v>697</v>
      </c>
      <c r="AB92" s="10" t="s">
        <v>1111</v>
      </c>
      <c r="AC92" s="7"/>
      <c r="AD92" s="7" t="s">
        <v>1112</v>
      </c>
      <c r="AE92" s="5" t="s">
        <v>1113</v>
      </c>
      <c r="AF92" s="11"/>
      <c r="AG92" s="7"/>
      <c r="AH92" s="7"/>
      <c r="AI92" s="7"/>
      <c r="AJ92" s="7"/>
      <c r="AK92" s="7"/>
      <c r="AL92" s="7"/>
      <c r="AM92" s="11"/>
      <c r="AN92" s="11"/>
      <c r="AO92" s="7" t="s">
        <v>698</v>
      </c>
      <c r="AP92" s="7" t="s">
        <v>700</v>
      </c>
      <c r="AQ92" s="7" t="s">
        <v>701</v>
      </c>
      <c r="AR92" s="7"/>
      <c r="AS92" s="7" t="s">
        <v>1269</v>
      </c>
      <c r="AT92" s="7" t="s">
        <v>927</v>
      </c>
      <c r="AU92" s="11" t="s">
        <v>702</v>
      </c>
      <c r="AV92" s="25"/>
      <c r="AW92" s="25"/>
      <c r="AX92" s="25"/>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row>
    <row r="93" spans="1:99" ht="114.75" customHeight="1" x14ac:dyDescent="0.2">
      <c r="A93" s="3">
        <v>31</v>
      </c>
      <c r="B93" s="5">
        <v>319</v>
      </c>
      <c r="C93" s="5" t="s">
        <v>1</v>
      </c>
      <c r="D93" s="5" t="s">
        <v>1</v>
      </c>
      <c r="E93" s="5" t="str">
        <f t="shared" si="6"/>
        <v>OO</v>
      </c>
      <c r="F93" s="5" t="s">
        <v>1</v>
      </c>
      <c r="G93" s="5" t="s">
        <v>118</v>
      </c>
      <c r="H93" s="5"/>
      <c r="I93" s="7" t="s">
        <v>119</v>
      </c>
      <c r="J93" s="7" t="s">
        <v>120</v>
      </c>
      <c r="K93" s="7">
        <v>7</v>
      </c>
      <c r="L93" s="7" t="str">
        <f t="shared" si="7"/>
        <v>7O</v>
      </c>
      <c r="M93" s="7">
        <v>19</v>
      </c>
      <c r="N93" s="7">
        <v>3</v>
      </c>
      <c r="O93" s="7">
        <v>311</v>
      </c>
      <c r="P93" s="7">
        <v>316</v>
      </c>
      <c r="Q93" s="7" t="s">
        <v>121</v>
      </c>
      <c r="R93" s="7">
        <v>2014</v>
      </c>
      <c r="S93" s="11"/>
      <c r="T93" s="7" t="s">
        <v>1122</v>
      </c>
      <c r="U93" s="7" t="s">
        <v>1123</v>
      </c>
      <c r="V93" s="7" t="s">
        <v>494</v>
      </c>
      <c r="W93" s="7" t="s">
        <v>843</v>
      </c>
      <c r="X93" s="7" t="s">
        <v>1171</v>
      </c>
      <c r="Y93" s="7" t="s">
        <v>629</v>
      </c>
      <c r="Z93" s="7" t="s">
        <v>704</v>
      </c>
      <c r="AA93" s="6" t="s">
        <v>396</v>
      </c>
      <c r="AB93" s="14" t="s">
        <v>959</v>
      </c>
      <c r="AC93" s="6"/>
      <c r="AD93" s="6" t="s">
        <v>960</v>
      </c>
      <c r="AE93" s="9" t="s">
        <v>992</v>
      </c>
      <c r="AF93" s="9" t="s">
        <v>1173</v>
      </c>
      <c r="AG93" s="7"/>
      <c r="AH93" s="7"/>
      <c r="AI93" s="7"/>
      <c r="AJ93" s="7"/>
      <c r="AK93" s="7"/>
      <c r="AL93" s="7"/>
      <c r="AM93" s="7" t="s">
        <v>706</v>
      </c>
      <c r="AN93" s="7"/>
      <c r="AO93" s="5"/>
      <c r="AP93" s="5" t="s">
        <v>1175</v>
      </c>
      <c r="AQ93" s="5" t="s">
        <v>1176</v>
      </c>
      <c r="AR93" s="5" t="s">
        <v>1177</v>
      </c>
      <c r="AS93" s="5" t="s">
        <v>1181</v>
      </c>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row>
    <row r="94" spans="1:99" ht="15" x14ac:dyDescent="0.2">
      <c r="A94" s="3">
        <v>31</v>
      </c>
      <c r="B94" s="5"/>
      <c r="C94" s="5"/>
      <c r="D94" s="5"/>
      <c r="E94" s="5"/>
      <c r="F94" s="5"/>
      <c r="G94" s="5"/>
      <c r="H94" s="5"/>
      <c r="I94" s="7"/>
      <c r="J94" s="7"/>
      <c r="K94" s="7"/>
      <c r="L94" s="7"/>
      <c r="M94" s="7"/>
      <c r="N94" s="7"/>
      <c r="O94" s="7"/>
      <c r="P94" s="7"/>
      <c r="Q94" s="7"/>
      <c r="R94" s="7"/>
      <c r="S94" s="11"/>
      <c r="T94" s="7"/>
      <c r="U94" s="7"/>
      <c r="V94" s="7"/>
      <c r="W94" s="7"/>
      <c r="X94" s="7"/>
      <c r="Y94" s="7"/>
      <c r="Z94" s="7"/>
      <c r="AA94" s="6"/>
      <c r="AB94" s="14"/>
      <c r="AC94" s="6"/>
      <c r="AD94" s="6"/>
      <c r="AE94" s="9"/>
      <c r="AF94" s="9"/>
      <c r="AG94" s="7"/>
      <c r="AH94" s="7"/>
      <c r="AI94" s="7"/>
      <c r="AJ94" s="7"/>
      <c r="AK94" s="7"/>
      <c r="AL94" s="7"/>
      <c r="AM94" s="7"/>
      <c r="AN94" s="7"/>
      <c r="AO94" s="5" t="s">
        <v>1178</v>
      </c>
      <c r="AP94" s="5">
        <v>12</v>
      </c>
      <c r="AQ94" s="5">
        <v>22</v>
      </c>
      <c r="AR94" s="5">
        <v>7</v>
      </c>
      <c r="AS94" s="5"/>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row>
    <row r="95" spans="1:99" ht="15" x14ac:dyDescent="0.2">
      <c r="A95" s="3">
        <v>31</v>
      </c>
      <c r="B95" s="5"/>
      <c r="C95" s="5"/>
      <c r="D95" s="5"/>
      <c r="E95" s="5"/>
      <c r="F95" s="5"/>
      <c r="G95" s="5"/>
      <c r="H95" s="5"/>
      <c r="I95" s="7"/>
      <c r="J95" s="7"/>
      <c r="K95" s="7"/>
      <c r="L95" s="7"/>
      <c r="M95" s="7"/>
      <c r="N95" s="7"/>
      <c r="O95" s="7"/>
      <c r="P95" s="7"/>
      <c r="Q95" s="7"/>
      <c r="R95" s="7"/>
      <c r="S95" s="11"/>
      <c r="T95" s="7"/>
      <c r="U95" s="7"/>
      <c r="V95" s="7"/>
      <c r="W95" s="7"/>
      <c r="X95" s="7"/>
      <c r="Y95" s="7"/>
      <c r="Z95" s="7"/>
      <c r="AA95" s="6"/>
      <c r="AB95" s="14"/>
      <c r="AC95" s="6"/>
      <c r="AD95" s="6"/>
      <c r="AE95" s="9"/>
      <c r="AF95" s="9"/>
      <c r="AG95" s="7"/>
      <c r="AH95" s="7"/>
      <c r="AI95" s="7"/>
      <c r="AJ95" s="7"/>
      <c r="AK95" s="7"/>
      <c r="AL95" s="7"/>
      <c r="AM95" s="7"/>
      <c r="AN95" s="7"/>
      <c r="AO95" s="5" t="s">
        <v>1179</v>
      </c>
      <c r="AP95" s="5">
        <v>15</v>
      </c>
      <c r="AQ95" s="5">
        <v>52</v>
      </c>
      <c r="AR95" s="5">
        <v>17</v>
      </c>
      <c r="AS95" s="5"/>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row>
    <row r="96" spans="1:99" ht="45" customHeight="1" x14ac:dyDescent="0.2">
      <c r="A96" s="3">
        <v>31</v>
      </c>
      <c r="B96" s="5"/>
      <c r="C96" s="5"/>
      <c r="D96" s="5"/>
      <c r="E96" s="5"/>
      <c r="F96" s="5"/>
      <c r="G96" s="5"/>
      <c r="H96" s="5"/>
      <c r="I96" s="7"/>
      <c r="J96" s="7"/>
      <c r="K96" s="7"/>
      <c r="L96" s="7"/>
      <c r="M96" s="7"/>
      <c r="N96" s="7"/>
      <c r="O96" s="7"/>
      <c r="P96" s="7"/>
      <c r="Q96" s="7"/>
      <c r="R96" s="7"/>
      <c r="S96" s="11"/>
      <c r="T96" s="7"/>
      <c r="U96" s="7"/>
      <c r="V96" s="7"/>
      <c r="W96" s="7"/>
      <c r="X96" s="7"/>
      <c r="Y96" s="7" t="s">
        <v>703</v>
      </c>
      <c r="Z96" s="7" t="s">
        <v>1172</v>
      </c>
      <c r="AA96" s="11" t="s">
        <v>705</v>
      </c>
      <c r="AB96" s="7"/>
      <c r="AC96" s="7"/>
      <c r="AD96" s="7"/>
      <c r="AE96" s="5"/>
      <c r="AF96" s="5" t="s">
        <v>1174</v>
      </c>
      <c r="AG96" s="7"/>
      <c r="AH96" s="7"/>
      <c r="AI96" s="7"/>
      <c r="AJ96" s="7"/>
      <c r="AK96" s="7"/>
      <c r="AL96" s="7"/>
      <c r="AM96" s="7"/>
      <c r="AN96" s="7"/>
      <c r="AO96" s="5" t="s">
        <v>1180</v>
      </c>
      <c r="AP96" s="5">
        <v>12</v>
      </c>
      <c r="AQ96" s="5">
        <v>26</v>
      </c>
      <c r="AR96" s="5">
        <v>13</v>
      </c>
      <c r="AS96" s="5"/>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row>
    <row r="97" spans="1:99" ht="255.75" customHeight="1" x14ac:dyDescent="0.2">
      <c r="A97" s="3">
        <v>32</v>
      </c>
      <c r="B97" s="5">
        <v>326</v>
      </c>
      <c r="C97" s="5" t="s">
        <v>1</v>
      </c>
      <c r="D97" s="5" t="s">
        <v>1</v>
      </c>
      <c r="E97" s="5" t="str">
        <f t="shared" si="6"/>
        <v>OO</v>
      </c>
      <c r="F97" s="5" t="s">
        <v>1</v>
      </c>
      <c r="G97" s="5" t="s">
        <v>122</v>
      </c>
      <c r="H97" s="5"/>
      <c r="I97" s="7" t="s">
        <v>123</v>
      </c>
      <c r="J97" s="7" t="s">
        <v>124</v>
      </c>
      <c r="K97" s="7">
        <v>2</v>
      </c>
      <c r="L97" s="7" t="str">
        <f t="shared" si="7"/>
        <v>2O</v>
      </c>
      <c r="M97" s="7">
        <v>75</v>
      </c>
      <c r="N97" s="7">
        <v>5</v>
      </c>
      <c r="O97" s="7">
        <v>398</v>
      </c>
      <c r="P97" s="7">
        <v>405</v>
      </c>
      <c r="Q97" s="7" t="s">
        <v>125</v>
      </c>
      <c r="R97" s="7">
        <v>2014</v>
      </c>
      <c r="S97" s="11"/>
      <c r="T97" s="7" t="s">
        <v>1124</v>
      </c>
      <c r="U97" s="7" t="s">
        <v>1270</v>
      </c>
      <c r="V97" s="7" t="s">
        <v>494</v>
      </c>
      <c r="W97" s="7" t="s">
        <v>843</v>
      </c>
      <c r="X97" s="7" t="s">
        <v>707</v>
      </c>
      <c r="Y97" s="5" t="s">
        <v>1114</v>
      </c>
      <c r="Z97" s="7"/>
      <c r="AA97" s="7" t="s">
        <v>708</v>
      </c>
      <c r="AB97" s="10" t="s">
        <v>1116</v>
      </c>
      <c r="AC97" s="7"/>
      <c r="AD97" s="7" t="s">
        <v>1271</v>
      </c>
      <c r="AE97" s="5" t="s">
        <v>1115</v>
      </c>
      <c r="AF97" s="11"/>
      <c r="AG97" s="7" t="s">
        <v>1168</v>
      </c>
      <c r="AH97" s="7"/>
      <c r="AI97" s="11"/>
      <c r="AJ97" s="26"/>
      <c r="AK97" s="11"/>
      <c r="AL97" s="11"/>
      <c r="AM97" s="7" t="s">
        <v>1170</v>
      </c>
      <c r="AN97" s="7" t="s">
        <v>1169</v>
      </c>
      <c r="AO97" s="7" t="s">
        <v>709</v>
      </c>
      <c r="AP97" s="7" t="s">
        <v>711</v>
      </c>
      <c r="AQ97" s="7" t="s">
        <v>712</v>
      </c>
      <c r="AR97" s="7"/>
      <c r="AS97" s="7" t="s">
        <v>1272</v>
      </c>
      <c r="AT97" s="7" t="s">
        <v>1273</v>
      </c>
      <c r="AU97" s="5" t="s">
        <v>715</v>
      </c>
      <c r="AV97" s="7"/>
      <c r="AW97" s="7"/>
      <c r="AX97" s="7"/>
      <c r="AY97" s="7"/>
      <c r="AZ97" s="5">
        <f t="shared" ref="AZ97:AZ100" si="24">TINV(BA97,BB97)</f>
        <v>2.3604123147319283</v>
      </c>
      <c r="BA97" s="7">
        <v>0.02</v>
      </c>
      <c r="BB97" s="7">
        <v>111</v>
      </c>
      <c r="BC97" s="7"/>
      <c r="BD97" s="7"/>
      <c r="BE97" s="7"/>
      <c r="BF97" s="7"/>
      <c r="BG97" s="7"/>
      <c r="BH97" s="7"/>
      <c r="BI97" s="7"/>
      <c r="BJ97" s="7"/>
      <c r="BK97" s="7"/>
      <c r="BL97" s="7"/>
      <c r="BM97" s="7"/>
      <c r="BN97" s="7"/>
      <c r="BO97" s="7"/>
      <c r="BP97" s="7"/>
      <c r="BQ97" s="7"/>
      <c r="BR97" s="7"/>
      <c r="BS97" s="7"/>
      <c r="BT97" s="7"/>
      <c r="BU97" s="21">
        <f t="shared" ref="BU97:BU100" si="25">(AZ97*2)/(SQRT(BB97))</f>
        <v>0.44808084436009482</v>
      </c>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row>
    <row r="98" spans="1:99" ht="43.5" customHeight="1" x14ac:dyDescent="0.2">
      <c r="A98" s="3">
        <v>32</v>
      </c>
      <c r="B98" s="5"/>
      <c r="C98" s="5"/>
      <c r="D98" s="5"/>
      <c r="E98" s="5"/>
      <c r="F98" s="5"/>
      <c r="G98" s="5"/>
      <c r="H98" s="5"/>
      <c r="I98" s="7"/>
      <c r="J98" s="7"/>
      <c r="K98" s="7"/>
      <c r="L98" s="7"/>
      <c r="M98" s="7"/>
      <c r="N98" s="7"/>
      <c r="O98" s="7"/>
      <c r="P98" s="7"/>
      <c r="Q98" s="7"/>
      <c r="R98" s="7"/>
      <c r="S98" s="11"/>
      <c r="T98" s="7"/>
      <c r="U98" s="7"/>
      <c r="V98" s="7"/>
      <c r="W98" s="7"/>
      <c r="X98" s="7"/>
      <c r="Y98" s="5"/>
      <c r="Z98" s="7"/>
      <c r="AA98" s="7"/>
      <c r="AB98" s="7"/>
      <c r="AC98" s="7"/>
      <c r="AD98" s="7"/>
      <c r="AE98" s="5"/>
      <c r="AF98" s="11"/>
      <c r="AG98" s="7"/>
      <c r="AH98" s="7"/>
      <c r="AI98" s="11"/>
      <c r="AJ98" s="26"/>
      <c r="AK98" s="11"/>
      <c r="AL98" s="11"/>
      <c r="AM98" s="7"/>
      <c r="AN98" s="7"/>
      <c r="AO98" s="7" t="s">
        <v>710</v>
      </c>
      <c r="AP98" s="7" t="s">
        <v>713</v>
      </c>
      <c r="AQ98" s="7" t="s">
        <v>714</v>
      </c>
      <c r="AR98" s="7"/>
      <c r="AS98" s="7"/>
      <c r="AT98" s="7"/>
      <c r="AU98" s="5"/>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row>
    <row r="99" spans="1:99" ht="270" x14ac:dyDescent="0.2">
      <c r="A99" s="3">
        <v>33</v>
      </c>
      <c r="B99" s="5">
        <v>327</v>
      </c>
      <c r="C99" s="5" t="s">
        <v>1</v>
      </c>
      <c r="D99" s="5" t="s">
        <v>1</v>
      </c>
      <c r="E99" s="5" t="str">
        <f t="shared" si="6"/>
        <v>OO</v>
      </c>
      <c r="F99" s="5" t="s">
        <v>1</v>
      </c>
      <c r="G99" s="5" t="s">
        <v>126</v>
      </c>
      <c r="H99" s="5"/>
      <c r="I99" s="5" t="s">
        <v>127</v>
      </c>
      <c r="J99" s="5" t="s">
        <v>128</v>
      </c>
      <c r="K99" s="5">
        <v>9</v>
      </c>
      <c r="L99" s="5" t="str">
        <f t="shared" si="7"/>
        <v>9O</v>
      </c>
      <c r="M99" s="5">
        <v>82</v>
      </c>
      <c r="N99" s="5">
        <v>8</v>
      </c>
      <c r="O99" s="5">
        <v>691</v>
      </c>
      <c r="P99" s="5">
        <v>697</v>
      </c>
      <c r="Q99" s="5" t="s">
        <v>129</v>
      </c>
      <c r="R99" s="5">
        <v>2014</v>
      </c>
      <c r="S99" s="11"/>
      <c r="T99" s="5" t="s">
        <v>1125</v>
      </c>
      <c r="U99" s="5" t="s">
        <v>1274</v>
      </c>
      <c r="V99" s="5" t="s">
        <v>494</v>
      </c>
      <c r="W99" s="5" t="s">
        <v>859</v>
      </c>
      <c r="X99" s="5" t="s">
        <v>716</v>
      </c>
      <c r="Y99" s="11" t="s">
        <v>428</v>
      </c>
      <c r="Z99" s="11"/>
      <c r="AA99" s="11"/>
      <c r="AB99" s="11"/>
      <c r="AC99" s="11"/>
      <c r="AD99" s="11"/>
      <c r="AE99" s="11"/>
      <c r="AF99" s="11"/>
      <c r="AG99" s="11"/>
      <c r="AH99" s="11"/>
      <c r="AI99" s="11"/>
      <c r="AJ99" s="11"/>
      <c r="AK99" s="11"/>
      <c r="AL99" s="11"/>
      <c r="AM99" s="5" t="s">
        <v>1166</v>
      </c>
      <c r="AN99" s="5" t="s">
        <v>1165</v>
      </c>
      <c r="AO99" s="5" t="s">
        <v>717</v>
      </c>
      <c r="AP99" s="5" t="s">
        <v>1163</v>
      </c>
      <c r="AQ99" s="5" t="s">
        <v>1164</v>
      </c>
      <c r="AR99" s="5"/>
      <c r="AS99" s="5" t="s">
        <v>1275</v>
      </c>
      <c r="AT99" s="5" t="s">
        <v>1167</v>
      </c>
      <c r="AU99" s="5" t="s">
        <v>1276</v>
      </c>
      <c r="AV99" s="7"/>
      <c r="AW99" s="7"/>
      <c r="AX99" s="7"/>
      <c r="AY99" s="7"/>
      <c r="AZ99" s="5">
        <f t="shared" si="24"/>
        <v>3.1656153816178176</v>
      </c>
      <c r="BA99" s="7">
        <v>3.0000000000000001E-3</v>
      </c>
      <c r="BB99" s="7">
        <v>39</v>
      </c>
      <c r="BC99" s="7"/>
      <c r="BD99" s="7"/>
      <c r="BE99" s="7"/>
      <c r="BF99" s="7"/>
      <c r="BG99" s="7"/>
      <c r="BH99" s="7"/>
      <c r="BI99" s="7"/>
      <c r="BJ99" s="7"/>
      <c r="BK99" s="7"/>
      <c r="BL99" s="7"/>
      <c r="BM99" s="7"/>
      <c r="BN99" s="7"/>
      <c r="BO99" s="7"/>
      <c r="BP99" s="7"/>
      <c r="BQ99" s="7"/>
      <c r="BR99" s="7"/>
      <c r="BS99" s="7"/>
      <c r="BT99" s="7"/>
      <c r="BU99" s="21">
        <f t="shared" si="25"/>
        <v>1.013808293430895</v>
      </c>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row>
    <row r="100" spans="1:99" ht="102.25" customHeight="1" x14ac:dyDescent="0.2">
      <c r="A100" s="3">
        <v>34</v>
      </c>
      <c r="B100" s="5">
        <v>337</v>
      </c>
      <c r="C100" s="5" t="s">
        <v>1</v>
      </c>
      <c r="D100" s="5" t="s">
        <v>1</v>
      </c>
      <c r="E100" s="5" t="str">
        <f t="shared" si="6"/>
        <v>OO</v>
      </c>
      <c r="F100" s="5" t="s">
        <v>1</v>
      </c>
      <c r="G100" s="5" t="s">
        <v>130</v>
      </c>
      <c r="H100" s="5"/>
      <c r="I100" s="7" t="s">
        <v>131</v>
      </c>
      <c r="J100" s="7" t="s">
        <v>132</v>
      </c>
      <c r="K100" s="7">
        <v>6</v>
      </c>
      <c r="L100" s="7" t="str">
        <f t="shared" si="7"/>
        <v>6O</v>
      </c>
      <c r="M100" s="7">
        <v>34</v>
      </c>
      <c r="N100" s="7">
        <v>3</v>
      </c>
      <c r="O100" s="7">
        <v>1051</v>
      </c>
      <c r="P100" s="7">
        <v>1056</v>
      </c>
      <c r="Q100" s="7" t="s">
        <v>133</v>
      </c>
      <c r="R100" s="7">
        <v>2014</v>
      </c>
      <c r="S100" s="11"/>
      <c r="T100" s="7" t="s">
        <v>1126</v>
      </c>
      <c r="U100" s="7" t="s">
        <v>1127</v>
      </c>
      <c r="V100" s="7"/>
      <c r="W100" s="13"/>
      <c r="X100" s="7" t="s">
        <v>1155</v>
      </c>
      <c r="Y100" s="7" t="s">
        <v>718</v>
      </c>
      <c r="Z100" s="7"/>
      <c r="AA100" s="7" t="s">
        <v>719</v>
      </c>
      <c r="AB100" s="10" t="s">
        <v>1117</v>
      </c>
      <c r="AC100" s="7"/>
      <c r="AD100" s="7" t="s">
        <v>1118</v>
      </c>
      <c r="AE100" s="5" t="s">
        <v>1119</v>
      </c>
      <c r="AF100" s="5"/>
      <c r="AG100" s="7" t="s">
        <v>1162</v>
      </c>
      <c r="AH100" s="7"/>
      <c r="AI100" s="7"/>
      <c r="AJ100" s="7"/>
      <c r="AK100" s="7"/>
      <c r="AL100" s="7"/>
      <c r="AM100" s="7" t="s">
        <v>1157</v>
      </c>
      <c r="AN100" s="7" t="s">
        <v>1156</v>
      </c>
      <c r="AO100" s="7" t="s">
        <v>1158</v>
      </c>
      <c r="AP100" s="7" t="s">
        <v>722</v>
      </c>
      <c r="AQ100" s="7" t="s">
        <v>723</v>
      </c>
      <c r="AR100" s="7"/>
      <c r="AS100" s="5" t="s">
        <v>1159</v>
      </c>
      <c r="AT100" s="7" t="s">
        <v>1277</v>
      </c>
      <c r="AU100" s="7" t="s">
        <v>1278</v>
      </c>
      <c r="AV100" s="7"/>
      <c r="AW100" s="7"/>
      <c r="AX100" s="7"/>
      <c r="AY100" s="7"/>
      <c r="AZ100" s="5">
        <f t="shared" si="24"/>
        <v>2.4156385575416852</v>
      </c>
      <c r="BA100" s="7">
        <v>1.6E-2</v>
      </c>
      <c r="BB100" s="7">
        <v>611</v>
      </c>
      <c r="BC100" s="7"/>
      <c r="BD100" s="7"/>
      <c r="BE100" s="7"/>
      <c r="BF100" s="7"/>
      <c r="BG100" s="7"/>
      <c r="BH100" s="7"/>
      <c r="BI100" s="7"/>
      <c r="BJ100" s="7"/>
      <c r="BK100" s="7"/>
      <c r="BL100" s="7"/>
      <c r="BM100" s="7"/>
      <c r="BN100" s="7"/>
      <c r="BO100" s="7"/>
      <c r="BP100" s="7"/>
      <c r="BQ100" s="7"/>
      <c r="BR100" s="7"/>
      <c r="BS100" s="7"/>
      <c r="BT100" s="7"/>
      <c r="BU100" s="21">
        <f t="shared" si="25"/>
        <v>0.1954525512121362</v>
      </c>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row>
    <row r="101" spans="1:99" ht="45" x14ac:dyDescent="0.2">
      <c r="A101" s="3">
        <v>34</v>
      </c>
      <c r="B101" s="5"/>
      <c r="C101" s="5"/>
      <c r="D101" s="5"/>
      <c r="E101" s="5"/>
      <c r="F101" s="5"/>
      <c r="G101" s="5"/>
      <c r="H101" s="5"/>
      <c r="I101" s="7"/>
      <c r="J101" s="7"/>
      <c r="K101" s="7"/>
      <c r="L101" s="7"/>
      <c r="M101" s="7"/>
      <c r="N101" s="7"/>
      <c r="O101" s="7"/>
      <c r="P101" s="7"/>
      <c r="Q101" s="7"/>
      <c r="R101" s="7"/>
      <c r="S101" s="11"/>
      <c r="T101" s="7"/>
      <c r="U101" s="7"/>
      <c r="V101" s="7"/>
      <c r="W101" s="13"/>
      <c r="X101" s="7"/>
      <c r="Y101" s="7"/>
      <c r="Z101" s="7"/>
      <c r="AA101" s="7"/>
      <c r="AB101" s="7"/>
      <c r="AC101" s="7"/>
      <c r="AD101" s="7"/>
      <c r="AE101" s="5"/>
      <c r="AF101" s="5"/>
      <c r="AG101" s="7"/>
      <c r="AH101" s="7"/>
      <c r="AI101" s="7"/>
      <c r="AJ101" s="7"/>
      <c r="AK101" s="7"/>
      <c r="AL101" s="7"/>
      <c r="AM101" s="7"/>
      <c r="AN101" s="7"/>
      <c r="AO101" s="7" t="s">
        <v>720</v>
      </c>
      <c r="AP101" s="7" t="s">
        <v>724</v>
      </c>
      <c r="AQ101" s="7" t="s">
        <v>725</v>
      </c>
      <c r="AR101" s="7"/>
      <c r="AS101" s="5" t="s">
        <v>1160</v>
      </c>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row>
    <row r="102" spans="1:99" ht="45" x14ac:dyDescent="0.2">
      <c r="A102" s="3">
        <v>34</v>
      </c>
      <c r="B102" s="5"/>
      <c r="C102" s="5"/>
      <c r="D102" s="5"/>
      <c r="E102" s="5"/>
      <c r="F102" s="5"/>
      <c r="G102" s="5"/>
      <c r="H102" s="5"/>
      <c r="I102" s="7"/>
      <c r="J102" s="7"/>
      <c r="K102" s="7"/>
      <c r="L102" s="7"/>
      <c r="M102" s="7"/>
      <c r="N102" s="7"/>
      <c r="O102" s="7"/>
      <c r="P102" s="7"/>
      <c r="Q102" s="7"/>
      <c r="R102" s="7"/>
      <c r="S102" s="11"/>
      <c r="T102" s="7"/>
      <c r="U102" s="7"/>
      <c r="V102" s="7"/>
      <c r="W102" s="13"/>
      <c r="X102" s="7"/>
      <c r="Y102" s="7"/>
      <c r="Z102" s="7"/>
      <c r="AA102" s="7"/>
      <c r="AB102" s="7"/>
      <c r="AC102" s="7"/>
      <c r="AD102" s="7"/>
      <c r="AE102" s="5"/>
      <c r="AF102" s="5"/>
      <c r="AG102" s="7"/>
      <c r="AH102" s="7"/>
      <c r="AI102" s="7"/>
      <c r="AJ102" s="7"/>
      <c r="AK102" s="7"/>
      <c r="AL102" s="7"/>
      <c r="AM102" s="7"/>
      <c r="AN102" s="7"/>
      <c r="AO102" s="7" t="s">
        <v>721</v>
      </c>
      <c r="AP102" s="7" t="s">
        <v>726</v>
      </c>
      <c r="AQ102" s="7" t="s">
        <v>727</v>
      </c>
      <c r="AR102" s="7"/>
      <c r="AS102" s="5" t="s">
        <v>1161</v>
      </c>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row>
    <row r="103" spans="1:99" ht="165" x14ac:dyDescent="0.2">
      <c r="A103" s="3">
        <v>35</v>
      </c>
      <c r="B103" s="5">
        <v>340</v>
      </c>
      <c r="C103" s="5" t="s">
        <v>1</v>
      </c>
      <c r="D103" s="5" t="s">
        <v>196</v>
      </c>
      <c r="E103" s="5" t="str">
        <f t="shared" si="6"/>
        <v>OG2</v>
      </c>
      <c r="F103" s="5" t="s">
        <v>1</v>
      </c>
      <c r="G103" s="5" t="s">
        <v>1279</v>
      </c>
      <c r="H103" s="5"/>
      <c r="I103" s="7" t="s">
        <v>134</v>
      </c>
      <c r="J103" s="7" t="s">
        <v>135</v>
      </c>
      <c r="K103" s="7">
        <v>7</v>
      </c>
      <c r="L103" s="7" t="str">
        <f t="shared" si="7"/>
        <v>7O</v>
      </c>
      <c r="M103" s="7">
        <v>19</v>
      </c>
      <c r="N103" s="7">
        <v>1</v>
      </c>
      <c r="O103" s="7">
        <v>63</v>
      </c>
      <c r="P103" s="7">
        <v>68</v>
      </c>
      <c r="Q103" s="7" t="s">
        <v>136</v>
      </c>
      <c r="R103" s="7">
        <v>2014</v>
      </c>
      <c r="S103" s="11"/>
      <c r="T103" s="7" t="s">
        <v>1129</v>
      </c>
      <c r="U103" s="7" t="s">
        <v>1128</v>
      </c>
      <c r="V103" s="7" t="s">
        <v>1148</v>
      </c>
      <c r="W103" s="25" t="s">
        <v>1147</v>
      </c>
      <c r="X103" s="5" t="s">
        <v>1280</v>
      </c>
      <c r="Y103" s="7" t="s">
        <v>728</v>
      </c>
      <c r="Z103" s="7"/>
      <c r="AA103" s="7" t="s">
        <v>729</v>
      </c>
      <c r="AB103" s="10" t="s">
        <v>1120</v>
      </c>
      <c r="AC103" s="7"/>
      <c r="AD103" s="7" t="s">
        <v>1130</v>
      </c>
      <c r="AE103" s="5" t="s">
        <v>1131</v>
      </c>
      <c r="AF103" s="5"/>
      <c r="AG103" s="7"/>
      <c r="AH103" s="7"/>
      <c r="AI103" s="12" t="s">
        <v>1149</v>
      </c>
      <c r="AJ103" s="7" t="s">
        <v>1150</v>
      </c>
      <c r="AK103" s="7"/>
      <c r="AL103" s="7"/>
      <c r="AM103" s="7" t="s">
        <v>1154</v>
      </c>
      <c r="AN103" s="7" t="s">
        <v>1152</v>
      </c>
      <c r="AO103" s="7" t="s">
        <v>730</v>
      </c>
      <c r="AP103" s="11"/>
      <c r="AQ103" s="11"/>
      <c r="AR103" s="11"/>
      <c r="AS103" s="7" t="s">
        <v>1281</v>
      </c>
      <c r="AT103" s="7" t="s">
        <v>1153</v>
      </c>
      <c r="AU103" s="7"/>
      <c r="AV103" s="7"/>
      <c r="AW103" s="7"/>
      <c r="AX103" s="7"/>
      <c r="AY103" s="7"/>
      <c r="AZ103" s="5">
        <f t="shared" ref="AZ103:AZ105" si="26">TINV(BA103,BB103)</f>
        <v>4.5983402749634728</v>
      </c>
      <c r="BA103" s="7">
        <v>5.2000000000000002E-6</v>
      </c>
      <c r="BB103" s="7">
        <v>598</v>
      </c>
      <c r="BC103" s="7"/>
      <c r="BD103" s="7"/>
      <c r="BE103" s="7"/>
      <c r="BF103" s="7"/>
      <c r="BG103" s="7"/>
      <c r="BH103" s="7"/>
      <c r="BI103" s="7"/>
      <c r="BJ103" s="7"/>
      <c r="BK103" s="7"/>
      <c r="BL103" s="7"/>
      <c r="BM103" s="7"/>
      <c r="BN103" s="7"/>
      <c r="BO103" s="7"/>
      <c r="BP103" s="7"/>
      <c r="BQ103" s="7"/>
      <c r="BR103" s="7"/>
      <c r="BS103" s="7"/>
      <c r="BT103" s="7"/>
      <c r="BU103" s="21">
        <f t="shared" ref="BU103:BU105" si="27">(AZ103*2)/(SQRT(BB103))</f>
        <v>0.37608023484243108</v>
      </c>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row>
    <row r="104" spans="1:99" ht="114.75" customHeight="1" x14ac:dyDescent="0.2">
      <c r="A104" s="3">
        <v>36</v>
      </c>
      <c r="B104" s="5">
        <v>342</v>
      </c>
      <c r="C104" s="5" t="s">
        <v>1</v>
      </c>
      <c r="D104" s="5" t="s">
        <v>1702</v>
      </c>
      <c r="E104" s="5" t="str">
        <f t="shared" si="6"/>
        <v>OC</v>
      </c>
      <c r="F104" s="5" t="s">
        <v>1</v>
      </c>
      <c r="G104" s="5" t="s">
        <v>137</v>
      </c>
      <c r="H104" s="5"/>
      <c r="I104" s="7" t="s">
        <v>138</v>
      </c>
      <c r="J104" s="7" t="s">
        <v>139</v>
      </c>
      <c r="K104" s="7">
        <v>7</v>
      </c>
      <c r="L104" s="7" t="str">
        <f t="shared" si="7"/>
        <v>7O</v>
      </c>
      <c r="M104" s="7">
        <v>19</v>
      </c>
      <c r="N104" s="7">
        <v>1</v>
      </c>
      <c r="O104" s="7">
        <v>129</v>
      </c>
      <c r="P104" s="7">
        <v>139</v>
      </c>
      <c r="Q104" s="7" t="s">
        <v>140</v>
      </c>
      <c r="R104" s="7">
        <v>2014</v>
      </c>
      <c r="S104" s="11"/>
      <c r="T104" s="7" t="s">
        <v>1135</v>
      </c>
      <c r="U104" s="7" t="s">
        <v>1282</v>
      </c>
      <c r="V104" s="7" t="s">
        <v>494</v>
      </c>
      <c r="W104" s="7" t="s">
        <v>843</v>
      </c>
      <c r="X104" s="5" t="s">
        <v>1283</v>
      </c>
      <c r="Y104" s="7" t="s">
        <v>1146</v>
      </c>
      <c r="Z104" s="7"/>
      <c r="AA104" s="7" t="s">
        <v>731</v>
      </c>
      <c r="AB104" s="10" t="s">
        <v>1132</v>
      </c>
      <c r="AC104" s="7" t="s">
        <v>1151</v>
      </c>
      <c r="AD104" s="7" t="s">
        <v>1133</v>
      </c>
      <c r="AE104" s="5" t="s">
        <v>1144</v>
      </c>
      <c r="AF104" s="5" t="s">
        <v>1136</v>
      </c>
      <c r="AG104" s="7" t="s">
        <v>1145</v>
      </c>
      <c r="AH104" s="7"/>
      <c r="AI104" s="7"/>
      <c r="AJ104" s="7"/>
      <c r="AK104" s="7"/>
      <c r="AL104" s="7"/>
      <c r="AM104" s="7" t="s">
        <v>1137</v>
      </c>
      <c r="AN104" s="7" t="s">
        <v>1284</v>
      </c>
      <c r="AO104" s="7" t="s">
        <v>1138</v>
      </c>
      <c r="AP104" s="7" t="s">
        <v>1140</v>
      </c>
      <c r="AQ104" s="7" t="s">
        <v>1141</v>
      </c>
      <c r="AR104" s="7"/>
      <c r="AS104" s="7" t="s">
        <v>1285</v>
      </c>
      <c r="AT104" s="7"/>
      <c r="AU104" s="7"/>
      <c r="AV104" s="7"/>
      <c r="AW104" s="7"/>
      <c r="AX104" s="7"/>
      <c r="AY104" s="7"/>
      <c r="AZ104" s="5">
        <f t="shared" si="26"/>
        <v>2.7052660624242373</v>
      </c>
      <c r="BA104" s="5">
        <v>8.0000000000000002E-3</v>
      </c>
      <c r="BB104" s="7">
        <v>102</v>
      </c>
      <c r="BC104" s="7"/>
      <c r="BD104" s="7"/>
      <c r="BE104" s="7"/>
      <c r="BF104" s="7"/>
      <c r="BG104" s="7"/>
      <c r="BH104" s="7"/>
      <c r="BI104" s="7"/>
      <c r="BJ104" s="7"/>
      <c r="BK104" s="7"/>
      <c r="BL104" s="7"/>
      <c r="BM104" s="7"/>
      <c r="BN104" s="7"/>
      <c r="BO104" s="7"/>
      <c r="BP104" s="7"/>
      <c r="BQ104" s="7"/>
      <c r="BR104" s="7"/>
      <c r="BS104" s="7"/>
      <c r="BT104" s="7"/>
      <c r="BU104" s="21">
        <f t="shared" si="27"/>
        <v>0.53572250896150819</v>
      </c>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row>
    <row r="105" spans="1:99" ht="303" customHeight="1" x14ac:dyDescent="0.2">
      <c r="A105" s="3">
        <v>36</v>
      </c>
      <c r="B105" s="5"/>
      <c r="C105" s="5"/>
      <c r="D105" s="5"/>
      <c r="E105" s="5"/>
      <c r="F105" s="5"/>
      <c r="G105" s="5"/>
      <c r="H105" s="5"/>
      <c r="I105" s="7"/>
      <c r="J105" s="7"/>
      <c r="K105" s="7"/>
      <c r="L105" s="7"/>
      <c r="M105" s="7"/>
      <c r="N105" s="7"/>
      <c r="O105" s="7"/>
      <c r="P105" s="7"/>
      <c r="Q105" s="7"/>
      <c r="R105" s="7"/>
      <c r="S105" s="11"/>
      <c r="T105" s="7"/>
      <c r="U105" s="7"/>
      <c r="V105" s="7"/>
      <c r="W105" s="7"/>
      <c r="X105" s="5"/>
      <c r="Y105" s="7"/>
      <c r="Z105" s="7"/>
      <c r="AA105" s="7"/>
      <c r="AB105" s="7"/>
      <c r="AC105" s="7"/>
      <c r="AD105" s="7"/>
      <c r="AE105" s="5"/>
      <c r="AF105" s="5"/>
      <c r="AG105" s="7"/>
      <c r="AH105" s="7"/>
      <c r="AI105" s="7"/>
      <c r="AJ105" s="7"/>
      <c r="AK105" s="7"/>
      <c r="AL105" s="7"/>
      <c r="AM105" s="7"/>
      <c r="AN105" s="7"/>
      <c r="AO105" s="7" t="s">
        <v>1139</v>
      </c>
      <c r="AP105" s="7" t="s">
        <v>1142</v>
      </c>
      <c r="AQ105" s="7" t="s">
        <v>1143</v>
      </c>
      <c r="AR105" s="7"/>
      <c r="AS105" s="7" t="s">
        <v>1286</v>
      </c>
      <c r="AT105" s="7"/>
      <c r="AU105" s="7"/>
      <c r="AV105" s="7"/>
      <c r="AW105" s="7"/>
      <c r="AX105" s="7"/>
      <c r="AY105" s="7"/>
      <c r="AZ105" s="5">
        <f t="shared" si="26"/>
        <v>2.7676238706866152</v>
      </c>
      <c r="BA105" s="7">
        <v>6.0000000000000001E-3</v>
      </c>
      <c r="BB105" s="7">
        <v>298</v>
      </c>
      <c r="BC105" s="7"/>
      <c r="BD105" s="7"/>
      <c r="BE105" s="7"/>
      <c r="BF105" s="7"/>
      <c r="BG105" s="7"/>
      <c r="BH105" s="7"/>
      <c r="BI105" s="7"/>
      <c r="BJ105" s="7"/>
      <c r="BK105" s="7"/>
      <c r="BL105" s="7"/>
      <c r="BM105" s="7"/>
      <c r="BN105" s="7"/>
      <c r="BO105" s="7"/>
      <c r="BP105" s="7"/>
      <c r="BQ105" s="7"/>
      <c r="BR105" s="7"/>
      <c r="BS105" s="7"/>
      <c r="BT105" s="7"/>
      <c r="BU105" s="20">
        <f t="shared" si="27"/>
        <v>0.32064829233461628</v>
      </c>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row>
    <row r="106" spans="1:99" ht="114.75" customHeight="1" x14ac:dyDescent="0.2">
      <c r="A106" s="3">
        <v>36</v>
      </c>
      <c r="B106" s="11">
        <v>355</v>
      </c>
      <c r="C106" s="11" t="s">
        <v>1</v>
      </c>
      <c r="D106" s="11" t="s">
        <v>1</v>
      </c>
      <c r="E106" s="11" t="str">
        <f t="shared" si="6"/>
        <v>OO</v>
      </c>
      <c r="F106" s="11" t="s">
        <v>1</v>
      </c>
      <c r="G106" s="11" t="s">
        <v>141</v>
      </c>
      <c r="H106" s="11"/>
      <c r="I106" s="11" t="s">
        <v>142</v>
      </c>
      <c r="J106" s="11" t="s">
        <v>143</v>
      </c>
      <c r="K106" s="11">
        <v>10</v>
      </c>
      <c r="L106" s="11" t="str">
        <f t="shared" si="7"/>
        <v>10O</v>
      </c>
      <c r="M106" s="11">
        <v>80</v>
      </c>
      <c r="N106" s="11">
        <v>4</v>
      </c>
      <c r="O106" s="11">
        <v>1090</v>
      </c>
      <c r="P106" s="11">
        <v>1100</v>
      </c>
      <c r="Q106" s="11" t="s">
        <v>144</v>
      </c>
      <c r="R106" s="11">
        <v>2013</v>
      </c>
      <c r="S106" s="11"/>
      <c r="T106" s="11" t="s">
        <v>732</v>
      </c>
      <c r="U106" s="7" t="s">
        <v>1134</v>
      </c>
      <c r="V106" s="11"/>
      <c r="W106" s="11" t="s">
        <v>733</v>
      </c>
      <c r="X106" s="11"/>
      <c r="Y106" s="11" t="s">
        <v>734</v>
      </c>
      <c r="Z106" s="11"/>
      <c r="AA106" s="11" t="s">
        <v>736</v>
      </c>
      <c r="AB106" s="11"/>
      <c r="AC106" s="11"/>
      <c r="AD106" s="11"/>
      <c r="AE106" s="11"/>
      <c r="AF106" s="11"/>
      <c r="AG106" s="11"/>
      <c r="AH106" s="11"/>
      <c r="AI106" s="11"/>
      <c r="AJ106" s="11"/>
      <c r="AK106" s="11"/>
      <c r="AL106" s="11"/>
      <c r="AM106" s="11"/>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row>
    <row r="107" spans="1:99" ht="15" x14ac:dyDescent="0.2">
      <c r="A107" s="3">
        <v>36</v>
      </c>
      <c r="B107" s="11"/>
      <c r="C107" s="11"/>
      <c r="D107" s="11"/>
      <c r="E107" s="11"/>
      <c r="F107" s="11"/>
      <c r="G107" s="11"/>
      <c r="H107" s="11"/>
      <c r="I107" s="11"/>
      <c r="J107" s="11"/>
      <c r="K107" s="11"/>
      <c r="L107" s="11"/>
      <c r="M107" s="11"/>
      <c r="N107" s="11"/>
      <c r="O107" s="11"/>
      <c r="P107" s="11"/>
      <c r="Q107" s="11"/>
      <c r="R107" s="11"/>
      <c r="S107" s="11"/>
      <c r="T107" s="11"/>
      <c r="U107" s="7"/>
      <c r="V107" s="11"/>
      <c r="W107" s="11"/>
      <c r="X107" s="11"/>
      <c r="Y107" s="11" t="s">
        <v>735</v>
      </c>
      <c r="Z107" s="11" t="s">
        <v>740</v>
      </c>
      <c r="AA107" s="11"/>
      <c r="AB107" s="11"/>
      <c r="AC107" s="11"/>
      <c r="AD107" s="11"/>
      <c r="AE107" s="11"/>
      <c r="AF107" s="11"/>
      <c r="AG107" s="11"/>
      <c r="AH107" s="11"/>
      <c r="AI107" s="11"/>
      <c r="AJ107" s="11"/>
      <c r="AK107" s="11"/>
      <c r="AL107" s="11"/>
      <c r="AM107" s="11"/>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row>
    <row r="108" spans="1:99" ht="90" x14ac:dyDescent="0.2">
      <c r="A108" s="3">
        <v>37</v>
      </c>
      <c r="B108" s="5">
        <v>358</v>
      </c>
      <c r="C108" s="5" t="s">
        <v>16</v>
      </c>
      <c r="D108" s="5" t="s">
        <v>1</v>
      </c>
      <c r="E108" s="5" t="str">
        <f t="shared" si="6"/>
        <v>XO</v>
      </c>
      <c r="F108" s="5" t="s">
        <v>1</v>
      </c>
      <c r="G108" s="5" t="s">
        <v>145</v>
      </c>
      <c r="H108" s="5"/>
      <c r="I108" s="5" t="s">
        <v>146</v>
      </c>
      <c r="J108" s="5" t="s">
        <v>147</v>
      </c>
      <c r="K108" s="5">
        <v>7</v>
      </c>
      <c r="L108" s="5" t="str">
        <f t="shared" si="7"/>
        <v>7O</v>
      </c>
      <c r="M108" s="5">
        <v>18</v>
      </c>
      <c r="N108" s="5">
        <v>11</v>
      </c>
      <c r="O108" s="5">
        <v>1205</v>
      </c>
      <c r="P108" s="5">
        <v>1210</v>
      </c>
      <c r="Q108" s="5" t="s">
        <v>148</v>
      </c>
      <c r="R108" s="5">
        <v>2013</v>
      </c>
      <c r="S108" s="11"/>
      <c r="T108" s="5"/>
      <c r="U108" s="5" t="s">
        <v>737</v>
      </c>
      <c r="V108" s="5"/>
      <c r="W108" s="5" t="s">
        <v>738</v>
      </c>
      <c r="X108" s="5"/>
      <c r="Y108" s="5"/>
      <c r="Z108" s="5"/>
      <c r="AA108" s="7" t="s">
        <v>736</v>
      </c>
      <c r="AB108" s="7"/>
      <c r="AC108" s="7"/>
      <c r="AD108" s="7"/>
      <c r="AE108" s="5"/>
      <c r="AF108" s="5"/>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row>
    <row r="109" spans="1:99" ht="285" x14ac:dyDescent="0.2">
      <c r="A109" s="3">
        <v>38</v>
      </c>
      <c r="B109" s="5">
        <v>363</v>
      </c>
      <c r="C109" s="5" t="s">
        <v>1</v>
      </c>
      <c r="D109" s="5" t="s">
        <v>1</v>
      </c>
      <c r="E109" s="5" t="str">
        <f t="shared" si="6"/>
        <v>OO</v>
      </c>
      <c r="F109" s="5" t="s">
        <v>1</v>
      </c>
      <c r="G109" s="5" t="s">
        <v>149</v>
      </c>
      <c r="H109" s="5"/>
      <c r="I109" s="7" t="s">
        <v>150</v>
      </c>
      <c r="J109" s="7" t="s">
        <v>151</v>
      </c>
      <c r="K109" s="7">
        <v>11</v>
      </c>
      <c r="L109" s="7" t="str">
        <f t="shared" si="7"/>
        <v>11O</v>
      </c>
      <c r="M109" s="5">
        <v>154</v>
      </c>
      <c r="N109" s="5">
        <v>11</v>
      </c>
      <c r="O109" s="5">
        <v>2266</v>
      </c>
      <c r="P109" s="5">
        <v>2276</v>
      </c>
      <c r="Q109" s="5" t="s">
        <v>152</v>
      </c>
      <c r="R109" s="5">
        <v>2013</v>
      </c>
      <c r="S109" s="5"/>
      <c r="T109" s="5"/>
      <c r="U109" s="5" t="s">
        <v>739</v>
      </c>
      <c r="V109" s="5"/>
      <c r="W109" s="5" t="s">
        <v>741</v>
      </c>
      <c r="X109" s="5"/>
      <c r="Y109" s="5" t="s">
        <v>740</v>
      </c>
      <c r="Z109" s="5"/>
      <c r="AA109" s="5"/>
      <c r="AB109" s="5"/>
      <c r="AC109" s="5"/>
      <c r="AD109" s="5"/>
      <c r="AE109" s="5"/>
      <c r="AF109" s="5"/>
      <c r="AG109" s="5"/>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row>
    <row r="110" spans="1:99" ht="409" x14ac:dyDescent="0.2">
      <c r="A110" s="3">
        <v>39</v>
      </c>
      <c r="B110" s="5">
        <v>368</v>
      </c>
      <c r="C110" s="5" t="s">
        <v>1</v>
      </c>
      <c r="D110" s="5" t="s">
        <v>1702</v>
      </c>
      <c r="E110" s="5" t="str">
        <f t="shared" si="6"/>
        <v>OC</v>
      </c>
      <c r="F110" s="5" t="s">
        <v>1</v>
      </c>
      <c r="G110" s="5" t="s">
        <v>153</v>
      </c>
      <c r="H110" s="5"/>
      <c r="I110" s="7" t="s">
        <v>154</v>
      </c>
      <c r="J110" s="7" t="s">
        <v>155</v>
      </c>
      <c r="K110" s="7">
        <v>2</v>
      </c>
      <c r="L110" s="7" t="str">
        <f t="shared" si="7"/>
        <v>2O</v>
      </c>
      <c r="M110" s="5">
        <v>74</v>
      </c>
      <c r="N110" s="5">
        <v>8</v>
      </c>
      <c r="O110" s="5">
        <v>607</v>
      </c>
      <c r="P110" s="5">
        <v>614</v>
      </c>
      <c r="Q110" s="5" t="s">
        <v>156</v>
      </c>
      <c r="R110" s="5">
        <v>2013</v>
      </c>
      <c r="S110" s="5"/>
      <c r="T110" s="5"/>
      <c r="U110" s="5"/>
      <c r="V110" s="5"/>
      <c r="W110" s="5"/>
      <c r="X110" s="5"/>
      <c r="Y110" s="5"/>
      <c r="Z110" s="5"/>
      <c r="AA110" s="5"/>
      <c r="AB110" s="5"/>
      <c r="AC110" s="5"/>
      <c r="AD110" s="5"/>
      <c r="AE110" s="5"/>
      <c r="AF110" s="5"/>
      <c r="AG110" s="5"/>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row>
    <row r="111" spans="1:99" ht="225" x14ac:dyDescent="0.2">
      <c r="A111" s="3">
        <v>40</v>
      </c>
      <c r="B111" s="5">
        <v>376</v>
      </c>
      <c r="C111" s="5" t="s">
        <v>1</v>
      </c>
      <c r="D111" s="5" t="s">
        <v>1702</v>
      </c>
      <c r="E111" s="5" t="str">
        <f t="shared" ref="E111:E154" si="28">C111&amp;D111</f>
        <v>OC</v>
      </c>
      <c r="F111" s="5" t="s">
        <v>1</v>
      </c>
      <c r="G111" s="5" t="s">
        <v>157</v>
      </c>
      <c r="H111" s="5"/>
      <c r="I111" s="7" t="s">
        <v>158</v>
      </c>
      <c r="J111" s="7" t="s">
        <v>159</v>
      </c>
      <c r="K111" s="7">
        <v>4</v>
      </c>
      <c r="L111" s="7" t="str">
        <f t="shared" ref="L111:L154" si="29">K111&amp;F111</f>
        <v>4O</v>
      </c>
      <c r="M111" s="5">
        <v>23</v>
      </c>
      <c r="N111" s="5">
        <v>9</v>
      </c>
      <c r="O111" s="5">
        <v>2044</v>
      </c>
      <c r="P111" s="5">
        <v>2057</v>
      </c>
      <c r="Q111" s="5" t="s">
        <v>160</v>
      </c>
      <c r="R111" s="5">
        <v>2013</v>
      </c>
      <c r="S111" s="5"/>
      <c r="T111" s="5"/>
      <c r="U111" s="5"/>
      <c r="V111" s="5"/>
      <c r="W111" s="5"/>
      <c r="X111" s="5"/>
      <c r="Y111" s="5"/>
      <c r="Z111" s="5"/>
      <c r="AA111" s="5"/>
      <c r="AB111" s="5"/>
      <c r="AC111" s="5"/>
      <c r="AD111" s="5"/>
      <c r="AE111" s="5"/>
      <c r="AF111" s="5"/>
      <c r="AG111" s="5"/>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row>
    <row r="112" spans="1:99" ht="225" x14ac:dyDescent="0.2">
      <c r="A112" s="3">
        <v>41</v>
      </c>
      <c r="B112" s="5">
        <v>382</v>
      </c>
      <c r="C112" s="5" t="s">
        <v>1</v>
      </c>
      <c r="D112" s="5" t="s">
        <v>1</v>
      </c>
      <c r="E112" s="5" t="str">
        <f t="shared" si="28"/>
        <v>OO</v>
      </c>
      <c r="F112" s="5" t="s">
        <v>1</v>
      </c>
      <c r="G112" s="5" t="s">
        <v>161</v>
      </c>
      <c r="H112" s="5"/>
      <c r="I112" s="7" t="s">
        <v>162</v>
      </c>
      <c r="J112" s="7" t="s">
        <v>163</v>
      </c>
      <c r="K112" s="7">
        <v>7</v>
      </c>
      <c r="L112" s="7" t="str">
        <f t="shared" si="29"/>
        <v>7O</v>
      </c>
      <c r="M112" s="5">
        <v>18</v>
      </c>
      <c r="N112" s="5">
        <v>8</v>
      </c>
      <c r="O112" s="5">
        <v>875</v>
      </c>
      <c r="P112" s="5">
        <v>881</v>
      </c>
      <c r="Q112" s="5" t="s">
        <v>164</v>
      </c>
      <c r="R112" s="5">
        <v>2013</v>
      </c>
      <c r="S112" s="5"/>
      <c r="T112" s="5"/>
      <c r="U112" s="5"/>
      <c r="V112" s="5"/>
      <c r="W112" s="5"/>
      <c r="X112" s="5"/>
      <c r="Y112" s="5"/>
      <c r="Z112" s="5"/>
      <c r="AA112" s="5"/>
      <c r="AB112" s="5"/>
      <c r="AC112" s="5"/>
      <c r="AD112" s="5"/>
      <c r="AE112" s="5"/>
      <c r="AF112" s="5"/>
      <c r="AG112" s="5"/>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row>
    <row r="113" spans="1:99" ht="135" x14ac:dyDescent="0.2">
      <c r="A113" s="3">
        <v>42</v>
      </c>
      <c r="B113" s="5">
        <v>388</v>
      </c>
      <c r="C113" s="5" t="s">
        <v>1</v>
      </c>
      <c r="D113" s="5" t="s">
        <v>1</v>
      </c>
      <c r="E113" s="5" t="str">
        <f t="shared" si="28"/>
        <v>OO</v>
      </c>
      <c r="F113" s="5" t="s">
        <v>1</v>
      </c>
      <c r="G113" s="5" t="s">
        <v>165</v>
      </c>
      <c r="H113" s="5"/>
      <c r="I113" s="7" t="s">
        <v>166</v>
      </c>
      <c r="J113" s="7" t="s">
        <v>167</v>
      </c>
      <c r="K113" s="7">
        <v>2</v>
      </c>
      <c r="L113" s="7" t="str">
        <f t="shared" si="29"/>
        <v>2O</v>
      </c>
      <c r="M113" s="5">
        <v>74</v>
      </c>
      <c r="N113" s="5">
        <v>2</v>
      </c>
      <c r="O113" s="5">
        <v>84</v>
      </c>
      <c r="P113" s="5">
        <v>89</v>
      </c>
      <c r="Q113" s="5" t="s">
        <v>168</v>
      </c>
      <c r="R113" s="5">
        <v>2013</v>
      </c>
      <c r="S113" s="5"/>
      <c r="T113" s="5"/>
      <c r="U113" s="5"/>
      <c r="V113" s="5"/>
      <c r="W113" s="5"/>
      <c r="X113" s="5"/>
      <c r="Y113" s="5"/>
      <c r="Z113" s="5"/>
      <c r="AA113" s="5"/>
      <c r="AB113" s="5"/>
      <c r="AC113" s="5"/>
      <c r="AD113" s="5"/>
      <c r="AE113" s="5"/>
      <c r="AF113" s="5"/>
      <c r="AG113" s="5"/>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row>
    <row r="114" spans="1:99" ht="240" x14ac:dyDescent="0.2">
      <c r="A114" s="3">
        <v>43</v>
      </c>
      <c r="B114" s="5">
        <v>393</v>
      </c>
      <c r="C114" s="5" t="s">
        <v>1</v>
      </c>
      <c r="D114" s="5" t="s">
        <v>2414</v>
      </c>
      <c r="E114" s="5" t="str">
        <f t="shared" si="28"/>
        <v>ONH</v>
      </c>
      <c r="F114" s="5" t="s">
        <v>1</v>
      </c>
      <c r="G114" s="5" t="s">
        <v>169</v>
      </c>
      <c r="H114" s="5" t="s">
        <v>170</v>
      </c>
      <c r="I114" s="7" t="s">
        <v>171</v>
      </c>
      <c r="J114" s="7" t="s">
        <v>172</v>
      </c>
      <c r="K114" s="7">
        <v>7</v>
      </c>
      <c r="L114" s="7" t="str">
        <f t="shared" si="29"/>
        <v>7O</v>
      </c>
      <c r="M114" s="5">
        <v>18</v>
      </c>
      <c r="N114" s="5">
        <v>7</v>
      </c>
      <c r="O114" s="5">
        <v>813</v>
      </c>
      <c r="P114" s="5">
        <v>823</v>
      </c>
      <c r="Q114" s="5" t="s">
        <v>173</v>
      </c>
      <c r="R114" s="5">
        <v>2013</v>
      </c>
      <c r="S114" s="5"/>
      <c r="T114" s="5"/>
      <c r="U114" s="5"/>
      <c r="V114" s="5"/>
      <c r="W114" s="5"/>
      <c r="X114" s="5"/>
      <c r="Y114" s="5"/>
      <c r="Z114" s="5"/>
      <c r="AA114" s="5"/>
      <c r="AB114" s="5"/>
      <c r="AC114" s="5"/>
      <c r="AD114" s="5"/>
      <c r="AE114" s="5"/>
      <c r="AF114" s="5"/>
      <c r="AG114" s="5"/>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row>
    <row r="115" spans="1:99" ht="150" x14ac:dyDescent="0.2">
      <c r="A115" s="3">
        <v>44</v>
      </c>
      <c r="B115" s="5">
        <v>435</v>
      </c>
      <c r="C115" s="5" t="s">
        <v>1</v>
      </c>
      <c r="D115" s="5" t="s">
        <v>1</v>
      </c>
      <c r="E115" s="5" t="str">
        <f t="shared" si="28"/>
        <v>OO</v>
      </c>
      <c r="F115" s="5" t="s">
        <v>1</v>
      </c>
      <c r="G115" s="5" t="s">
        <v>174</v>
      </c>
      <c r="H115" s="5"/>
      <c r="I115" s="7" t="s">
        <v>175</v>
      </c>
      <c r="J115" s="7" t="s">
        <v>176</v>
      </c>
      <c r="K115" s="7">
        <v>7</v>
      </c>
      <c r="L115" s="7" t="str">
        <f t="shared" si="29"/>
        <v>7O</v>
      </c>
      <c r="M115" s="5">
        <v>18</v>
      </c>
      <c r="N115" s="5">
        <v>5</v>
      </c>
      <c r="O115" s="5">
        <v>607</v>
      </c>
      <c r="P115" s="5">
        <v>613</v>
      </c>
      <c r="Q115" s="5" t="s">
        <v>177</v>
      </c>
      <c r="R115" s="5">
        <v>2013</v>
      </c>
      <c r="S115" s="5"/>
      <c r="T115" s="5"/>
      <c r="U115" s="5"/>
      <c r="V115" s="5"/>
      <c r="W115" s="5"/>
      <c r="X115" s="5"/>
      <c r="Y115" s="5"/>
      <c r="Z115" s="5"/>
      <c r="AA115" s="5"/>
      <c r="AB115" s="5"/>
      <c r="AC115" s="5"/>
      <c r="AD115" s="5"/>
      <c r="AE115" s="5"/>
      <c r="AF115" s="5"/>
      <c r="AG115" s="5"/>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row>
    <row r="116" spans="1:99" ht="135" x14ac:dyDescent="0.2">
      <c r="A116" s="3">
        <v>45</v>
      </c>
      <c r="B116" s="5">
        <v>447</v>
      </c>
      <c r="C116" s="5" t="s">
        <v>1</v>
      </c>
      <c r="D116" s="5" t="s">
        <v>1</v>
      </c>
      <c r="E116" s="5" t="str">
        <f t="shared" si="28"/>
        <v>OO</v>
      </c>
      <c r="F116" s="5" t="s">
        <v>1</v>
      </c>
      <c r="G116" s="5" t="s">
        <v>178</v>
      </c>
      <c r="H116" s="5"/>
      <c r="I116" s="7" t="s">
        <v>179</v>
      </c>
      <c r="J116" s="7" t="s">
        <v>180</v>
      </c>
      <c r="K116" s="7">
        <v>5</v>
      </c>
      <c r="L116" s="7" t="str">
        <f t="shared" si="29"/>
        <v>5O</v>
      </c>
      <c r="M116" s="5">
        <v>25</v>
      </c>
      <c r="N116" s="5">
        <v>4</v>
      </c>
      <c r="O116" s="5">
        <v>571</v>
      </c>
      <c r="P116" s="5">
        <v>579</v>
      </c>
      <c r="Q116" s="5"/>
      <c r="R116" s="5">
        <v>2013</v>
      </c>
      <c r="S116" s="5"/>
      <c r="T116" s="5"/>
      <c r="U116" s="5"/>
      <c r="V116" s="5"/>
      <c r="W116" s="5"/>
      <c r="X116" s="5"/>
      <c r="Y116" s="5"/>
      <c r="Z116" s="5"/>
      <c r="AA116" s="5"/>
      <c r="AB116" s="5"/>
      <c r="AC116" s="5"/>
      <c r="AD116" s="5"/>
      <c r="AE116" s="5"/>
      <c r="AF116" s="5"/>
      <c r="AG116" s="5"/>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row>
    <row r="117" spans="1:99" ht="135" x14ac:dyDescent="0.2">
      <c r="A117" s="3">
        <v>46</v>
      </c>
      <c r="B117" s="5">
        <v>456</v>
      </c>
      <c r="C117" s="5" t="s">
        <v>1</v>
      </c>
      <c r="D117" s="5" t="s">
        <v>1</v>
      </c>
      <c r="E117" s="5" t="str">
        <f t="shared" si="28"/>
        <v>OO</v>
      </c>
      <c r="F117" s="5" t="s">
        <v>1</v>
      </c>
      <c r="G117" s="5" t="s">
        <v>181</v>
      </c>
      <c r="H117" s="5"/>
      <c r="I117" s="7" t="s">
        <v>182</v>
      </c>
      <c r="J117" s="7" t="s">
        <v>183</v>
      </c>
      <c r="K117" s="7">
        <v>11</v>
      </c>
      <c r="L117" s="7" t="str">
        <f t="shared" si="29"/>
        <v>11O</v>
      </c>
      <c r="M117" s="5">
        <v>154</v>
      </c>
      <c r="N117" s="5">
        <v>3</v>
      </c>
      <c r="O117" s="5">
        <v>377</v>
      </c>
      <c r="P117" s="5">
        <v>384</v>
      </c>
      <c r="Q117" s="5" t="s">
        <v>184</v>
      </c>
      <c r="R117" s="5">
        <v>2013</v>
      </c>
      <c r="S117" s="5"/>
      <c r="T117" s="5"/>
      <c r="U117" s="5"/>
      <c r="V117" s="5"/>
      <c r="W117" s="5"/>
      <c r="X117" s="5"/>
      <c r="Y117" s="5"/>
      <c r="Z117" s="5"/>
      <c r="AA117" s="5"/>
      <c r="AB117" s="5"/>
      <c r="AC117" s="5"/>
      <c r="AD117" s="5"/>
      <c r="AE117" s="5"/>
      <c r="AF117" s="5"/>
      <c r="AG117" s="5"/>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row>
    <row r="118" spans="1:99" ht="195" x14ac:dyDescent="0.2">
      <c r="A118" s="3">
        <v>46</v>
      </c>
      <c r="B118" s="5">
        <v>457</v>
      </c>
      <c r="C118" s="5" t="s">
        <v>1</v>
      </c>
      <c r="D118" s="5" t="s">
        <v>1</v>
      </c>
      <c r="E118" s="5" t="str">
        <f t="shared" si="28"/>
        <v>OO</v>
      </c>
      <c r="F118" s="5" t="s">
        <v>1</v>
      </c>
      <c r="G118" s="5" t="s">
        <v>185</v>
      </c>
      <c r="H118" s="5"/>
      <c r="I118" s="7" t="s">
        <v>186</v>
      </c>
      <c r="J118" s="7" t="s">
        <v>187</v>
      </c>
      <c r="K118" s="7">
        <v>11</v>
      </c>
      <c r="L118" s="7" t="str">
        <f t="shared" si="29"/>
        <v>11O</v>
      </c>
      <c r="M118" s="5">
        <v>154</v>
      </c>
      <c r="N118" s="5">
        <v>3</v>
      </c>
      <c r="O118" s="5">
        <v>427</v>
      </c>
      <c r="P118" s="5">
        <v>433</v>
      </c>
      <c r="Q118" s="5" t="s">
        <v>188</v>
      </c>
      <c r="R118" s="5">
        <v>2013</v>
      </c>
      <c r="S118" s="5"/>
      <c r="T118" s="5"/>
      <c r="U118" s="5"/>
      <c r="V118" s="5"/>
      <c r="W118" s="5"/>
      <c r="X118" s="5"/>
      <c r="Y118" s="5"/>
      <c r="Z118" s="5"/>
      <c r="AA118" s="5"/>
      <c r="AB118" s="5"/>
      <c r="AC118" s="5"/>
      <c r="AD118" s="5"/>
      <c r="AE118" s="5"/>
      <c r="AF118" s="5"/>
      <c r="AG118" s="5"/>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row>
    <row r="119" spans="1:99" ht="165" x14ac:dyDescent="0.2">
      <c r="A119" s="3">
        <v>47</v>
      </c>
      <c r="B119" s="5">
        <v>458</v>
      </c>
      <c r="C119" s="5" t="s">
        <v>1</v>
      </c>
      <c r="D119" s="5" t="s">
        <v>1</v>
      </c>
      <c r="E119" s="5" t="str">
        <f t="shared" si="28"/>
        <v>OO</v>
      </c>
      <c r="F119" s="5" t="s">
        <v>1</v>
      </c>
      <c r="G119" s="5" t="s">
        <v>189</v>
      </c>
      <c r="H119" s="5"/>
      <c r="I119" s="7" t="s">
        <v>190</v>
      </c>
      <c r="J119" s="7" t="s">
        <v>191</v>
      </c>
      <c r="K119" s="7">
        <v>2</v>
      </c>
      <c r="L119" s="7" t="str">
        <f t="shared" si="29"/>
        <v>2O</v>
      </c>
      <c r="M119" s="5">
        <v>73</v>
      </c>
      <c r="N119" s="5">
        <v>5</v>
      </c>
      <c r="O119" s="5">
        <v>422</v>
      </c>
      <c r="P119" s="5">
        <v>428</v>
      </c>
      <c r="Q119" s="5" t="s">
        <v>192</v>
      </c>
      <c r="R119" s="5">
        <v>2013</v>
      </c>
      <c r="S119" s="5"/>
      <c r="T119" s="5"/>
      <c r="U119" s="5"/>
      <c r="V119" s="5"/>
      <c r="W119" s="5"/>
      <c r="X119" s="5"/>
      <c r="Y119" s="5"/>
      <c r="Z119" s="5"/>
      <c r="AA119" s="5"/>
      <c r="AB119" s="5"/>
      <c r="AC119" s="5"/>
      <c r="AD119" s="5"/>
      <c r="AE119" s="5"/>
      <c r="AF119" s="5"/>
      <c r="AG119" s="5"/>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row>
    <row r="120" spans="1:99" ht="240" x14ac:dyDescent="0.2">
      <c r="A120" s="3">
        <v>48</v>
      </c>
      <c r="B120" s="5">
        <v>471</v>
      </c>
      <c r="C120" s="5" t="s">
        <v>1</v>
      </c>
      <c r="D120" s="5" t="s">
        <v>1</v>
      </c>
      <c r="E120" s="5" t="str">
        <f t="shared" si="28"/>
        <v>OO</v>
      </c>
      <c r="F120" s="5" t="s">
        <v>1</v>
      </c>
      <c r="G120" s="5" t="s">
        <v>1287</v>
      </c>
      <c r="H120" s="5"/>
      <c r="I120" s="7" t="s">
        <v>193</v>
      </c>
      <c r="J120" s="7" t="s">
        <v>194</v>
      </c>
      <c r="K120" s="7">
        <v>7</v>
      </c>
      <c r="L120" s="7" t="str">
        <f t="shared" si="29"/>
        <v>7O</v>
      </c>
      <c r="M120" s="5">
        <v>18</v>
      </c>
      <c r="N120" s="5">
        <v>2</v>
      </c>
      <c r="O120" s="5">
        <v>255</v>
      </c>
      <c r="P120" s="5">
        <v>263</v>
      </c>
      <c r="Q120" s="5" t="s">
        <v>195</v>
      </c>
      <c r="R120" s="5">
        <v>2013</v>
      </c>
      <c r="S120" s="5"/>
      <c r="T120" s="5"/>
      <c r="U120" s="5"/>
      <c r="V120" s="5"/>
      <c r="W120" s="5"/>
      <c r="X120" s="5"/>
      <c r="Y120" s="5"/>
      <c r="Z120" s="5"/>
      <c r="AA120" s="5"/>
      <c r="AB120" s="5"/>
      <c r="AC120" s="5"/>
      <c r="AD120" s="5"/>
      <c r="AE120" s="5"/>
      <c r="AF120" s="5"/>
      <c r="AG120" s="5"/>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row>
    <row r="121" spans="1:99" ht="195" x14ac:dyDescent="0.2">
      <c r="A121" s="3">
        <v>49</v>
      </c>
      <c r="B121" s="5">
        <v>476</v>
      </c>
      <c r="C121" s="5" t="s">
        <v>196</v>
      </c>
      <c r="D121" s="5">
        <v>0</v>
      </c>
      <c r="E121" s="5" t="str">
        <f t="shared" si="28"/>
        <v>G20</v>
      </c>
      <c r="F121" s="5" t="s">
        <v>1</v>
      </c>
      <c r="G121" s="5" t="s">
        <v>197</v>
      </c>
      <c r="H121" s="5"/>
      <c r="I121" s="5" t="s">
        <v>198</v>
      </c>
      <c r="J121" s="5" t="s">
        <v>199</v>
      </c>
      <c r="K121" s="5">
        <v>6</v>
      </c>
      <c r="L121" s="5" t="str">
        <f t="shared" si="29"/>
        <v>6O</v>
      </c>
      <c r="M121" s="5">
        <v>76</v>
      </c>
      <c r="N121" s="5">
        <v>9</v>
      </c>
      <c r="O121" s="5" t="s">
        <v>200</v>
      </c>
      <c r="P121" s="5" t="s">
        <v>201</v>
      </c>
      <c r="Q121" s="5"/>
      <c r="R121" s="5">
        <v>2011</v>
      </c>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row>
    <row r="122" spans="1:99" ht="270" x14ac:dyDescent="0.2">
      <c r="A122" s="3">
        <v>50</v>
      </c>
      <c r="B122" s="5">
        <v>476</v>
      </c>
      <c r="C122" s="5" t="s">
        <v>1</v>
      </c>
      <c r="D122" s="5">
        <v>0</v>
      </c>
      <c r="E122" s="5" t="str">
        <f t="shared" si="28"/>
        <v>O0</v>
      </c>
      <c r="F122" s="5" t="s">
        <v>1</v>
      </c>
      <c r="G122" s="5" t="s">
        <v>202</v>
      </c>
      <c r="H122" s="5"/>
      <c r="I122" s="7" t="s">
        <v>203</v>
      </c>
      <c r="J122" s="7" t="s">
        <v>204</v>
      </c>
      <c r="K122" s="7">
        <v>9</v>
      </c>
      <c r="L122" s="7" t="str">
        <f t="shared" si="29"/>
        <v>9O</v>
      </c>
      <c r="M122" s="5">
        <v>33</v>
      </c>
      <c r="N122" s="5">
        <v>1</v>
      </c>
      <c r="O122" s="5">
        <v>286</v>
      </c>
      <c r="P122" s="5" t="s">
        <v>205</v>
      </c>
      <c r="Q122" s="5" t="s">
        <v>206</v>
      </c>
      <c r="R122" s="5">
        <v>2013</v>
      </c>
      <c r="S122" s="5"/>
      <c r="T122" s="5"/>
      <c r="U122" s="5"/>
      <c r="V122" s="5"/>
      <c r="W122" s="5"/>
      <c r="X122" s="5"/>
      <c r="Y122" s="5"/>
      <c r="Z122" s="5"/>
      <c r="AA122" s="5"/>
      <c r="AB122" s="5"/>
      <c r="AC122" s="5"/>
      <c r="AD122" s="5"/>
      <c r="AE122" s="5"/>
      <c r="AF122" s="5"/>
      <c r="AG122" s="5"/>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row>
    <row r="123" spans="1:99" ht="135" x14ac:dyDescent="0.2">
      <c r="A123" s="3">
        <v>51</v>
      </c>
      <c r="B123" s="5">
        <v>479</v>
      </c>
      <c r="C123" s="5" t="s">
        <v>1</v>
      </c>
      <c r="D123" s="5" t="s">
        <v>1</v>
      </c>
      <c r="E123" s="5" t="str">
        <f t="shared" si="28"/>
        <v>OO</v>
      </c>
      <c r="F123" s="5" t="s">
        <v>1</v>
      </c>
      <c r="G123" s="5" t="s">
        <v>207</v>
      </c>
      <c r="H123" s="5"/>
      <c r="I123" s="7" t="s">
        <v>208</v>
      </c>
      <c r="J123" s="7" t="s">
        <v>209</v>
      </c>
      <c r="K123" s="7">
        <v>9</v>
      </c>
      <c r="L123" s="7" t="str">
        <f t="shared" si="29"/>
        <v>9O</v>
      </c>
      <c r="M123" s="5">
        <v>80</v>
      </c>
      <c r="N123" s="5">
        <v>1</v>
      </c>
      <c r="O123" s="5">
        <v>92</v>
      </c>
      <c r="P123" s="5">
        <v>99</v>
      </c>
      <c r="Q123" s="5" t="s">
        <v>210</v>
      </c>
      <c r="R123" s="5">
        <v>2013</v>
      </c>
      <c r="S123" s="5"/>
      <c r="T123" s="5"/>
      <c r="U123" s="5"/>
      <c r="V123" s="5"/>
      <c r="W123" s="5"/>
      <c r="X123" s="5"/>
      <c r="Y123" s="5"/>
      <c r="Z123" s="5"/>
      <c r="AA123" s="5"/>
      <c r="AB123" s="5"/>
      <c r="AC123" s="5"/>
      <c r="AD123" s="5"/>
      <c r="AE123" s="5"/>
      <c r="AF123" s="5"/>
      <c r="AG123" s="5"/>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row>
    <row r="124" spans="1:99" ht="90" x14ac:dyDescent="0.2">
      <c r="A124" s="3">
        <v>52</v>
      </c>
      <c r="B124" s="5">
        <v>483</v>
      </c>
      <c r="C124" s="5" t="s">
        <v>1</v>
      </c>
      <c r="D124" s="5" t="s">
        <v>1</v>
      </c>
      <c r="E124" s="5" t="str">
        <f t="shared" si="28"/>
        <v>OO</v>
      </c>
      <c r="F124" s="5" t="s">
        <v>1</v>
      </c>
      <c r="G124" s="5" t="s">
        <v>211</v>
      </c>
      <c r="H124" s="5"/>
      <c r="I124" s="7" t="s">
        <v>212</v>
      </c>
      <c r="J124" s="7" t="s">
        <v>213</v>
      </c>
      <c r="K124" s="7">
        <v>6</v>
      </c>
      <c r="L124" s="7" t="str">
        <f t="shared" si="29"/>
        <v>6O</v>
      </c>
      <c r="M124" s="5">
        <v>32</v>
      </c>
      <c r="N124" s="5">
        <v>50</v>
      </c>
      <c r="O124" s="5">
        <v>18227</v>
      </c>
      <c r="P124" s="5">
        <v>18233</v>
      </c>
      <c r="Q124" s="5" t="s">
        <v>214</v>
      </c>
      <c r="R124" s="5">
        <v>2012</v>
      </c>
      <c r="S124" s="5"/>
      <c r="T124" s="5"/>
      <c r="U124" s="5"/>
      <c r="V124" s="5"/>
      <c r="W124" s="5"/>
      <c r="X124" s="5"/>
      <c r="Y124" s="5"/>
      <c r="Z124" s="5"/>
      <c r="AA124" s="5"/>
      <c r="AB124" s="5"/>
      <c r="AC124" s="5"/>
      <c r="AD124" s="5"/>
      <c r="AE124" s="5"/>
      <c r="AF124" s="5"/>
      <c r="AG124" s="5"/>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row>
    <row r="125" spans="1:99" ht="135" x14ac:dyDescent="0.2">
      <c r="A125" s="3">
        <v>53</v>
      </c>
      <c r="B125" s="5">
        <v>496</v>
      </c>
      <c r="C125" s="5" t="s">
        <v>0</v>
      </c>
      <c r="D125" s="5" t="s">
        <v>1</v>
      </c>
      <c r="E125" s="5" t="str">
        <f t="shared" si="28"/>
        <v>NO</v>
      </c>
      <c r="F125" s="5" t="s">
        <v>1</v>
      </c>
      <c r="G125" s="5" t="s">
        <v>1288</v>
      </c>
      <c r="H125" s="5" t="s">
        <v>215</v>
      </c>
      <c r="I125" s="5" t="s">
        <v>216</v>
      </c>
      <c r="J125" s="5" t="s">
        <v>217</v>
      </c>
      <c r="K125" s="5">
        <v>7</v>
      </c>
      <c r="L125" s="5" t="str">
        <f t="shared" si="29"/>
        <v>7O</v>
      </c>
      <c r="M125" s="5">
        <v>17</v>
      </c>
      <c r="N125" s="5">
        <v>11</v>
      </c>
      <c r="O125" s="5">
        <v>1086</v>
      </c>
      <c r="P125" s="5">
        <v>1092</v>
      </c>
      <c r="Q125" s="5" t="s">
        <v>218</v>
      </c>
      <c r="R125" s="5">
        <v>2012</v>
      </c>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row>
    <row r="126" spans="1:99" ht="60" x14ac:dyDescent="0.2">
      <c r="A126" s="3">
        <v>54</v>
      </c>
      <c r="B126" s="5">
        <v>499</v>
      </c>
      <c r="C126" s="5" t="s">
        <v>1</v>
      </c>
      <c r="D126" s="5"/>
      <c r="E126" s="5" t="str">
        <f t="shared" si="28"/>
        <v>O</v>
      </c>
      <c r="F126" s="5" t="s">
        <v>1</v>
      </c>
      <c r="G126" s="5" t="s">
        <v>219</v>
      </c>
      <c r="H126" s="5"/>
      <c r="I126" s="7" t="s">
        <v>220</v>
      </c>
      <c r="J126" s="7" t="s">
        <v>221</v>
      </c>
      <c r="K126" s="7">
        <v>9</v>
      </c>
      <c r="L126" s="7" t="str">
        <f t="shared" si="29"/>
        <v>9O</v>
      </c>
      <c r="M126" s="5">
        <v>79</v>
      </c>
      <c r="N126" s="5">
        <v>19</v>
      </c>
      <c r="O126" s="5">
        <v>1961</v>
      </c>
      <c r="P126" s="5">
        <v>1969</v>
      </c>
      <c r="Q126" s="5" t="s">
        <v>222</v>
      </c>
      <c r="R126" s="5">
        <v>2012</v>
      </c>
      <c r="S126" s="5"/>
      <c r="T126" s="5"/>
      <c r="U126" s="5"/>
      <c r="V126" s="5"/>
      <c r="W126" s="5"/>
      <c r="X126" s="5"/>
      <c r="Y126" s="5"/>
      <c r="Z126" s="5"/>
      <c r="AA126" s="5"/>
      <c r="AB126" s="5"/>
      <c r="AC126" s="5"/>
      <c r="AD126" s="5"/>
      <c r="AE126" s="5"/>
      <c r="AF126" s="5"/>
      <c r="AG126" s="5"/>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row>
    <row r="127" spans="1:99" ht="225" x14ac:dyDescent="0.2">
      <c r="A127" s="3">
        <v>55</v>
      </c>
      <c r="B127" s="5">
        <v>500</v>
      </c>
      <c r="C127" s="5" t="s">
        <v>1</v>
      </c>
      <c r="D127" s="5"/>
      <c r="E127" s="5" t="str">
        <f t="shared" si="28"/>
        <v>O</v>
      </c>
      <c r="F127" s="5" t="s">
        <v>1</v>
      </c>
      <c r="G127" s="5" t="s">
        <v>223</v>
      </c>
      <c r="H127" s="5"/>
      <c r="I127" s="7" t="s">
        <v>224</v>
      </c>
      <c r="J127" s="7" t="s">
        <v>225</v>
      </c>
      <c r="K127" s="7">
        <v>2</v>
      </c>
      <c r="L127" s="7" t="str">
        <f t="shared" si="29"/>
        <v>2O</v>
      </c>
      <c r="M127" s="5">
        <v>72</v>
      </c>
      <c r="N127" s="5">
        <v>9</v>
      </c>
      <c r="O127" s="5">
        <v>758</v>
      </c>
      <c r="P127" s="5">
        <v>765</v>
      </c>
      <c r="Q127" s="5" t="s">
        <v>226</v>
      </c>
      <c r="R127" s="5">
        <v>2012</v>
      </c>
      <c r="S127" s="5"/>
      <c r="T127" s="5"/>
      <c r="U127" s="5"/>
      <c r="V127" s="5"/>
      <c r="W127" s="5"/>
      <c r="X127" s="5"/>
      <c r="Y127" s="5"/>
      <c r="Z127" s="5"/>
      <c r="AA127" s="5"/>
      <c r="AB127" s="5"/>
      <c r="AC127" s="5"/>
      <c r="AD127" s="5"/>
      <c r="AE127" s="5"/>
      <c r="AF127" s="5"/>
      <c r="AG127" s="5"/>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row>
    <row r="128" spans="1:99" ht="240" x14ac:dyDescent="0.2">
      <c r="A128" s="3">
        <v>56</v>
      </c>
      <c r="B128" s="5">
        <v>504</v>
      </c>
      <c r="C128" s="5" t="s">
        <v>1</v>
      </c>
      <c r="D128" s="5"/>
      <c r="E128" s="5" t="str">
        <f t="shared" si="28"/>
        <v>O</v>
      </c>
      <c r="F128" s="5" t="s">
        <v>1</v>
      </c>
      <c r="G128" s="5" t="s">
        <v>227</v>
      </c>
      <c r="H128" s="5"/>
      <c r="I128" s="7" t="s">
        <v>228</v>
      </c>
      <c r="J128" s="7" t="s">
        <v>229</v>
      </c>
      <c r="K128" s="7">
        <v>2</v>
      </c>
      <c r="L128" s="7" t="str">
        <f t="shared" si="29"/>
        <v>2O</v>
      </c>
      <c r="M128" s="5">
        <v>72</v>
      </c>
      <c r="N128" s="5">
        <v>8</v>
      </c>
      <c r="O128" s="5">
        <v>677</v>
      </c>
      <c r="P128" s="5">
        <v>683</v>
      </c>
      <c r="Q128" s="5" t="s">
        <v>230</v>
      </c>
      <c r="R128" s="5">
        <v>2012</v>
      </c>
      <c r="S128" s="5"/>
      <c r="T128" s="5"/>
      <c r="U128" s="5"/>
      <c r="V128" s="5"/>
      <c r="W128" s="5"/>
      <c r="X128" s="5"/>
      <c r="Y128" s="5"/>
      <c r="Z128" s="5"/>
      <c r="AA128" s="5"/>
      <c r="AB128" s="5"/>
      <c r="AC128" s="5"/>
      <c r="AD128" s="5"/>
      <c r="AE128" s="5"/>
      <c r="AF128" s="5"/>
      <c r="AG128" s="5"/>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row>
    <row r="129" spans="1:99" ht="135" x14ac:dyDescent="0.2">
      <c r="A129" s="3">
        <v>57</v>
      </c>
      <c r="B129" s="5">
        <v>511</v>
      </c>
      <c r="C129" s="5" t="s">
        <v>1</v>
      </c>
      <c r="D129" s="5"/>
      <c r="E129" s="5" t="str">
        <f t="shared" si="28"/>
        <v>O</v>
      </c>
      <c r="F129" s="5" t="s">
        <v>1</v>
      </c>
      <c r="G129" s="5" t="s">
        <v>231</v>
      </c>
      <c r="H129" s="5"/>
      <c r="I129" s="5" t="s">
        <v>232</v>
      </c>
      <c r="J129" s="5" t="s">
        <v>233</v>
      </c>
      <c r="K129" s="7">
        <v>7</v>
      </c>
      <c r="L129" s="7" t="str">
        <f t="shared" si="29"/>
        <v>7O</v>
      </c>
      <c r="M129" s="5">
        <v>17</v>
      </c>
      <c r="N129" s="5">
        <v>10</v>
      </c>
      <c r="O129" s="5">
        <v>1007</v>
      </c>
      <c r="P129" s="5">
        <v>1016</v>
      </c>
      <c r="Q129" s="5" t="s">
        <v>234</v>
      </c>
      <c r="R129" s="5">
        <v>2012</v>
      </c>
      <c r="S129" s="5"/>
      <c r="T129" s="5"/>
      <c r="U129" s="5"/>
      <c r="V129" s="5"/>
      <c r="W129" s="5"/>
      <c r="X129" s="5"/>
      <c r="Y129" s="5"/>
      <c r="Z129" s="5"/>
      <c r="AA129" s="5"/>
      <c r="AB129" s="5"/>
      <c r="AC129" s="5"/>
      <c r="AD129" s="5"/>
      <c r="AE129" s="5"/>
      <c r="AF129" s="5"/>
      <c r="AG129" s="5"/>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row>
    <row r="130" spans="1:99" ht="240" x14ac:dyDescent="0.2">
      <c r="A130" s="3">
        <v>58</v>
      </c>
      <c r="B130" s="5">
        <v>513</v>
      </c>
      <c r="C130" s="5" t="s">
        <v>1</v>
      </c>
      <c r="D130" s="5"/>
      <c r="E130" s="5" t="str">
        <f t="shared" si="28"/>
        <v>O</v>
      </c>
      <c r="F130" s="5" t="s">
        <v>1</v>
      </c>
      <c r="G130" s="5" t="s">
        <v>235</v>
      </c>
      <c r="H130" s="5"/>
      <c r="I130" s="7" t="s">
        <v>236</v>
      </c>
      <c r="J130" s="7" t="s">
        <v>237</v>
      </c>
      <c r="K130" s="7">
        <v>1</v>
      </c>
      <c r="L130" s="7" t="str">
        <f t="shared" si="29"/>
        <v>1O</v>
      </c>
      <c r="M130" s="5">
        <v>72</v>
      </c>
      <c r="N130" s="5">
        <v>3</v>
      </c>
      <c r="O130" s="5">
        <v>324</v>
      </c>
      <c r="P130" s="5">
        <v>334</v>
      </c>
      <c r="Q130" s="5" t="s">
        <v>238</v>
      </c>
      <c r="R130" s="5">
        <v>2012</v>
      </c>
      <c r="S130" s="5"/>
      <c r="T130" s="5"/>
      <c r="U130" s="5"/>
      <c r="V130" s="5"/>
      <c r="W130" s="5"/>
      <c r="X130" s="5"/>
      <c r="Y130" s="5"/>
      <c r="Z130" s="5"/>
      <c r="AA130" s="5"/>
      <c r="AB130" s="5"/>
      <c r="AC130" s="5"/>
      <c r="AD130" s="5"/>
      <c r="AE130" s="5"/>
      <c r="AF130" s="5"/>
      <c r="AG130" s="5"/>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row>
    <row r="131" spans="1:99" ht="409" x14ac:dyDescent="0.2">
      <c r="A131" s="3">
        <v>59</v>
      </c>
      <c r="B131" s="5">
        <v>520</v>
      </c>
      <c r="C131" s="5" t="s">
        <v>1</v>
      </c>
      <c r="D131" s="5"/>
      <c r="E131" s="5" t="str">
        <f t="shared" si="28"/>
        <v>O</v>
      </c>
      <c r="F131" s="5" t="s">
        <v>1</v>
      </c>
      <c r="G131" s="5" t="s">
        <v>1289</v>
      </c>
      <c r="H131" s="5"/>
      <c r="I131" s="7" t="s">
        <v>239</v>
      </c>
      <c r="J131" s="7" t="s">
        <v>240</v>
      </c>
      <c r="K131" s="7">
        <v>7</v>
      </c>
      <c r="L131" s="7" t="str">
        <f t="shared" si="29"/>
        <v>7O</v>
      </c>
      <c r="M131" s="5">
        <v>17</v>
      </c>
      <c r="N131" s="5">
        <v>9</v>
      </c>
      <c r="O131" s="5">
        <v>906</v>
      </c>
      <c r="P131" s="5">
        <v>917</v>
      </c>
      <c r="Q131" s="5" t="s">
        <v>241</v>
      </c>
      <c r="R131" s="5">
        <v>2012</v>
      </c>
      <c r="S131" s="5"/>
      <c r="T131" s="5"/>
      <c r="U131" s="5"/>
      <c r="V131" s="5"/>
      <c r="W131" s="5"/>
      <c r="X131" s="5"/>
      <c r="Y131" s="5"/>
      <c r="Z131" s="5"/>
      <c r="AA131" s="5"/>
      <c r="AB131" s="5"/>
      <c r="AC131" s="5"/>
      <c r="AD131" s="5"/>
      <c r="AE131" s="5"/>
      <c r="AF131" s="5"/>
      <c r="AG131" s="5"/>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row>
    <row r="132" spans="1:99" ht="75" x14ac:dyDescent="0.2">
      <c r="A132" s="3">
        <v>60</v>
      </c>
      <c r="B132" s="5">
        <v>526</v>
      </c>
      <c r="C132" s="5" t="s">
        <v>1</v>
      </c>
      <c r="D132" s="5"/>
      <c r="E132" s="5" t="str">
        <f t="shared" si="28"/>
        <v>O</v>
      </c>
      <c r="F132" s="5" t="s">
        <v>1</v>
      </c>
      <c r="G132" s="5" t="s">
        <v>242</v>
      </c>
      <c r="H132" s="5"/>
      <c r="I132" s="7" t="s">
        <v>243</v>
      </c>
      <c r="J132" s="7" t="s">
        <v>244</v>
      </c>
      <c r="K132" s="7">
        <v>7</v>
      </c>
      <c r="L132" s="7" t="str">
        <f t="shared" si="29"/>
        <v>7O</v>
      </c>
      <c r="M132" s="5">
        <v>17</v>
      </c>
      <c r="N132" s="5">
        <v>8</v>
      </c>
      <c r="O132" s="5">
        <v>809</v>
      </c>
      <c r="P132" s="5">
        <v>817</v>
      </c>
      <c r="Q132" s="5" t="s">
        <v>245</v>
      </c>
      <c r="R132" s="5">
        <v>2012</v>
      </c>
      <c r="S132" s="5"/>
      <c r="T132" s="5"/>
      <c r="U132" s="5"/>
      <c r="V132" s="5"/>
      <c r="W132" s="5"/>
      <c r="X132" s="5"/>
      <c r="Y132" s="5"/>
      <c r="Z132" s="5"/>
      <c r="AA132" s="5"/>
      <c r="AB132" s="5"/>
      <c r="AC132" s="5"/>
      <c r="AD132" s="5"/>
      <c r="AE132" s="5"/>
      <c r="AF132" s="5"/>
      <c r="AG132" s="5"/>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row>
    <row r="133" spans="1:99" ht="135" x14ac:dyDescent="0.2">
      <c r="A133" s="3">
        <v>62</v>
      </c>
      <c r="B133" s="5">
        <v>528</v>
      </c>
      <c r="C133" s="5" t="s">
        <v>1</v>
      </c>
      <c r="D133" s="5"/>
      <c r="E133" s="5" t="str">
        <f t="shared" si="28"/>
        <v>O</v>
      </c>
      <c r="F133" s="5" t="s">
        <v>1</v>
      </c>
      <c r="G133" s="5" t="s">
        <v>246</v>
      </c>
      <c r="H133" s="5"/>
      <c r="I133" s="7" t="s">
        <v>247</v>
      </c>
      <c r="J133" s="7" t="s">
        <v>248</v>
      </c>
      <c r="K133" s="7">
        <v>2</v>
      </c>
      <c r="L133" s="7" t="str">
        <f t="shared" si="29"/>
        <v>2O</v>
      </c>
      <c r="M133" s="5">
        <v>72</v>
      </c>
      <c r="N133" s="5">
        <v>3</v>
      </c>
      <c r="O133" s="5">
        <v>175</v>
      </c>
      <c r="P133" s="5">
        <v>181</v>
      </c>
      <c r="Q133" s="5" t="s">
        <v>249</v>
      </c>
      <c r="R133" s="5">
        <v>2012</v>
      </c>
      <c r="S133" s="5"/>
      <c r="T133" s="5"/>
      <c r="U133" s="5"/>
      <c r="V133" s="5"/>
      <c r="W133" s="5"/>
      <c r="X133" s="5"/>
      <c r="Y133" s="5"/>
      <c r="Z133" s="5"/>
      <c r="AA133" s="5"/>
      <c r="AB133" s="5"/>
      <c r="AC133" s="5"/>
      <c r="AD133" s="5"/>
      <c r="AE133" s="5"/>
      <c r="AF133" s="5"/>
      <c r="AG133" s="5"/>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row>
    <row r="134" spans="1:99" ht="150" x14ac:dyDescent="0.2">
      <c r="A134" s="3">
        <v>63</v>
      </c>
      <c r="B134" s="5">
        <v>529</v>
      </c>
      <c r="C134" s="5" t="s">
        <v>1</v>
      </c>
      <c r="D134" s="5"/>
      <c r="E134" s="5" t="str">
        <f t="shared" si="28"/>
        <v>O</v>
      </c>
      <c r="F134" s="5" t="s">
        <v>1</v>
      </c>
      <c r="G134" s="5" t="s">
        <v>250</v>
      </c>
      <c r="H134" s="5"/>
      <c r="I134" s="7" t="s">
        <v>251</v>
      </c>
      <c r="J134" s="7" t="s">
        <v>252</v>
      </c>
      <c r="K134" s="7">
        <v>11</v>
      </c>
      <c r="L134" s="7" t="str">
        <f t="shared" si="29"/>
        <v>11O</v>
      </c>
      <c r="M134" s="5">
        <v>153</v>
      </c>
      <c r="N134" s="5">
        <v>8</v>
      </c>
      <c r="O134" s="5">
        <v>1610</v>
      </c>
      <c r="P134" s="5">
        <v>1619</v>
      </c>
      <c r="Q134" s="5" t="s">
        <v>253</v>
      </c>
      <c r="R134" s="5">
        <v>2012</v>
      </c>
      <c r="S134" s="5"/>
      <c r="T134" s="5"/>
      <c r="U134" s="5"/>
      <c r="V134" s="5"/>
      <c r="W134" s="5"/>
      <c r="X134" s="5"/>
      <c r="Y134" s="5"/>
      <c r="Z134" s="5"/>
      <c r="AA134" s="5"/>
      <c r="AB134" s="5"/>
      <c r="AC134" s="5"/>
      <c r="AD134" s="5"/>
      <c r="AE134" s="5"/>
      <c r="AF134" s="5"/>
      <c r="AG134" s="5"/>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row>
    <row r="135" spans="1:99" ht="120" x14ac:dyDescent="0.2">
      <c r="A135" s="3">
        <v>63</v>
      </c>
      <c r="B135" s="5">
        <v>531</v>
      </c>
      <c r="C135" s="5" t="s">
        <v>1</v>
      </c>
      <c r="D135" s="5"/>
      <c r="E135" s="5" t="str">
        <f t="shared" si="28"/>
        <v>O</v>
      </c>
      <c r="F135" s="5" t="s">
        <v>1</v>
      </c>
      <c r="G135" s="5" t="s">
        <v>254</v>
      </c>
      <c r="H135" s="5"/>
      <c r="I135" s="7" t="s">
        <v>255</v>
      </c>
      <c r="J135" s="7" t="s">
        <v>256</v>
      </c>
      <c r="K135" s="7">
        <v>6</v>
      </c>
      <c r="L135" s="7" t="str">
        <f t="shared" si="29"/>
        <v>6O</v>
      </c>
      <c r="M135" s="5">
        <v>32</v>
      </c>
      <c r="N135" s="5">
        <v>27</v>
      </c>
      <c r="O135" s="5">
        <v>9344</v>
      </c>
      <c r="P135" s="5">
        <v>9350</v>
      </c>
      <c r="Q135" s="5" t="s">
        <v>257</v>
      </c>
      <c r="R135" s="5">
        <v>2012</v>
      </c>
      <c r="S135" s="5"/>
      <c r="T135" s="5"/>
      <c r="U135" s="5"/>
      <c r="V135" s="5"/>
      <c r="W135" s="5"/>
      <c r="X135" s="5"/>
      <c r="Y135" s="5"/>
      <c r="Z135" s="5"/>
      <c r="AA135" s="5"/>
      <c r="AB135" s="5"/>
      <c r="AC135" s="5"/>
      <c r="AD135" s="5"/>
      <c r="AE135" s="5"/>
      <c r="AF135" s="5"/>
      <c r="AG135" s="5"/>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row>
    <row r="136" spans="1:99" ht="255" x14ac:dyDescent="0.2">
      <c r="A136" s="3">
        <v>64</v>
      </c>
      <c r="B136" s="5">
        <v>538</v>
      </c>
      <c r="C136" s="5" t="s">
        <v>1</v>
      </c>
      <c r="D136" s="5"/>
      <c r="E136" s="5" t="str">
        <f t="shared" si="28"/>
        <v>O</v>
      </c>
      <c r="F136" s="5" t="s">
        <v>1</v>
      </c>
      <c r="G136" s="5" t="s">
        <v>258</v>
      </c>
      <c r="H136" s="5"/>
      <c r="I136" s="7" t="s">
        <v>259</v>
      </c>
      <c r="J136" s="7" t="s">
        <v>260</v>
      </c>
      <c r="K136" s="7">
        <v>7</v>
      </c>
      <c r="L136" s="7" t="str">
        <f t="shared" si="29"/>
        <v>7O</v>
      </c>
      <c r="M136" s="5">
        <v>17</v>
      </c>
      <c r="N136" s="5">
        <v>6</v>
      </c>
      <c r="O136" s="5">
        <v>604</v>
      </c>
      <c r="P136" s="5">
        <v>611</v>
      </c>
      <c r="Q136" s="5" t="s">
        <v>261</v>
      </c>
      <c r="R136" s="5">
        <v>2012</v>
      </c>
      <c r="S136" s="5"/>
      <c r="T136" s="5"/>
      <c r="U136" s="5"/>
      <c r="V136" s="5"/>
      <c r="W136" s="5"/>
      <c r="X136" s="5"/>
      <c r="Y136" s="5"/>
      <c r="Z136" s="5"/>
      <c r="AA136" s="5"/>
      <c r="AB136" s="5"/>
      <c r="AC136" s="5"/>
      <c r="AD136" s="5"/>
      <c r="AE136" s="5"/>
      <c r="AF136" s="5"/>
      <c r="AG136" s="5"/>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row>
    <row r="137" spans="1:99" ht="60" x14ac:dyDescent="0.2">
      <c r="A137" s="3">
        <v>65</v>
      </c>
      <c r="B137" s="5">
        <v>546</v>
      </c>
      <c r="C137" s="5" t="s">
        <v>1</v>
      </c>
      <c r="D137" s="5"/>
      <c r="E137" s="5" t="str">
        <f t="shared" si="28"/>
        <v>O</v>
      </c>
      <c r="F137" s="5" t="s">
        <v>1</v>
      </c>
      <c r="G137" s="5" t="s">
        <v>262</v>
      </c>
      <c r="H137" s="5"/>
      <c r="I137" s="7" t="s">
        <v>263</v>
      </c>
      <c r="J137" s="7" t="s">
        <v>264</v>
      </c>
      <c r="K137" s="7">
        <v>5</v>
      </c>
      <c r="L137" s="7" t="str">
        <f t="shared" si="29"/>
        <v>5O</v>
      </c>
      <c r="M137" s="5">
        <v>24</v>
      </c>
      <c r="N137" s="5">
        <v>5</v>
      </c>
      <c r="O137" s="5">
        <v>1069</v>
      </c>
      <c r="P137" s="5">
        <v>1076</v>
      </c>
      <c r="Q137" s="5"/>
      <c r="R137" s="5">
        <v>2012</v>
      </c>
      <c r="S137" s="5"/>
      <c r="T137" s="5"/>
      <c r="U137" s="5"/>
      <c r="V137" s="5"/>
      <c r="W137" s="5"/>
      <c r="X137" s="5"/>
      <c r="Y137" s="5"/>
      <c r="Z137" s="5"/>
      <c r="AA137" s="5"/>
      <c r="AB137" s="5"/>
      <c r="AC137" s="5"/>
      <c r="AD137" s="5"/>
      <c r="AE137" s="5"/>
      <c r="AF137" s="5"/>
      <c r="AG137" s="5"/>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row>
    <row r="138" spans="1:99" ht="120" x14ac:dyDescent="0.2">
      <c r="A138" s="3">
        <v>66</v>
      </c>
      <c r="B138" s="5">
        <v>549</v>
      </c>
      <c r="C138" s="5" t="s">
        <v>1</v>
      </c>
      <c r="D138" s="5"/>
      <c r="E138" s="5" t="str">
        <f t="shared" si="28"/>
        <v>O</v>
      </c>
      <c r="F138" s="5" t="s">
        <v>1</v>
      </c>
      <c r="G138" s="5" t="s">
        <v>265</v>
      </c>
      <c r="H138" s="5"/>
      <c r="I138" s="7" t="s">
        <v>266</v>
      </c>
      <c r="J138" s="7" t="s">
        <v>267</v>
      </c>
      <c r="K138" s="7">
        <v>7</v>
      </c>
      <c r="L138" s="7" t="str">
        <f t="shared" si="29"/>
        <v>7O</v>
      </c>
      <c r="M138" s="5">
        <v>17</v>
      </c>
      <c r="N138" s="5">
        <v>5</v>
      </c>
      <c r="O138" s="5">
        <v>511</v>
      </c>
      <c r="P138" s="5">
        <v>519</v>
      </c>
      <c r="Q138" s="5" t="s">
        <v>268</v>
      </c>
      <c r="R138" s="5">
        <v>2012</v>
      </c>
      <c r="S138" s="5"/>
      <c r="T138" s="5"/>
      <c r="U138" s="5"/>
      <c r="V138" s="5"/>
      <c r="W138" s="5"/>
      <c r="X138" s="5"/>
      <c r="Y138" s="5"/>
      <c r="Z138" s="5"/>
      <c r="AA138" s="5"/>
      <c r="AB138" s="5"/>
      <c r="AC138" s="5"/>
      <c r="AD138" s="5"/>
      <c r="AE138" s="5"/>
      <c r="AF138" s="5"/>
      <c r="AG138" s="5"/>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row>
    <row r="139" spans="1:99" ht="75" x14ac:dyDescent="0.2">
      <c r="A139" s="3">
        <v>67</v>
      </c>
      <c r="B139" s="5">
        <v>551</v>
      </c>
      <c r="C139" s="5" t="s">
        <v>1</v>
      </c>
      <c r="D139" s="5"/>
      <c r="E139" s="5" t="str">
        <f t="shared" si="28"/>
        <v>O</v>
      </c>
      <c r="F139" s="5" t="s">
        <v>1</v>
      </c>
      <c r="G139" s="5" t="s">
        <v>269</v>
      </c>
      <c r="H139" s="5"/>
      <c r="I139" s="7" t="s">
        <v>270</v>
      </c>
      <c r="J139" s="7" t="s">
        <v>271</v>
      </c>
      <c r="K139" s="7">
        <v>7</v>
      </c>
      <c r="L139" s="7" t="str">
        <f t="shared" si="29"/>
        <v>7O</v>
      </c>
      <c r="M139" s="5">
        <v>17</v>
      </c>
      <c r="N139" s="5">
        <v>5</v>
      </c>
      <c r="O139" s="5">
        <v>559</v>
      </c>
      <c r="P139" s="5">
        <v>566</v>
      </c>
      <c r="Q139" s="5" t="s">
        <v>272</v>
      </c>
      <c r="R139" s="5">
        <v>2012</v>
      </c>
      <c r="S139" s="5"/>
      <c r="T139" s="5"/>
      <c r="U139" s="5"/>
      <c r="V139" s="5"/>
      <c r="W139" s="5"/>
      <c r="X139" s="5"/>
      <c r="Y139" s="5"/>
      <c r="Z139" s="5"/>
      <c r="AA139" s="5"/>
      <c r="AB139" s="5"/>
      <c r="AC139" s="5"/>
      <c r="AD139" s="5"/>
      <c r="AE139" s="5"/>
      <c r="AF139" s="5"/>
      <c r="AG139" s="5"/>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row>
    <row r="140" spans="1:99" ht="90" x14ac:dyDescent="0.2">
      <c r="A140" s="3">
        <v>68</v>
      </c>
      <c r="B140" s="5">
        <v>604</v>
      </c>
      <c r="C140" s="5" t="s">
        <v>1</v>
      </c>
      <c r="D140" s="5"/>
      <c r="E140" s="5" t="str">
        <f t="shared" si="28"/>
        <v>O</v>
      </c>
      <c r="F140" s="5" t="s">
        <v>1</v>
      </c>
      <c r="G140" s="5" t="s">
        <v>273</v>
      </c>
      <c r="H140" s="5"/>
      <c r="I140" s="7" t="s">
        <v>274</v>
      </c>
      <c r="J140" s="7" t="s">
        <v>275</v>
      </c>
      <c r="K140" s="7">
        <v>7</v>
      </c>
      <c r="L140" s="7" t="str">
        <f t="shared" si="29"/>
        <v>7O</v>
      </c>
      <c r="M140" s="5">
        <v>17</v>
      </c>
      <c r="N140" s="5">
        <v>3</v>
      </c>
      <c r="O140" s="5">
        <v>315</v>
      </c>
      <c r="P140" s="5">
        <v>324</v>
      </c>
      <c r="Q140" s="5" t="s">
        <v>276</v>
      </c>
      <c r="R140" s="5">
        <v>2012</v>
      </c>
      <c r="S140" s="5"/>
      <c r="T140" s="5"/>
      <c r="U140" s="5"/>
      <c r="V140" s="5"/>
      <c r="W140" s="5"/>
      <c r="X140" s="5"/>
      <c r="Y140" s="5"/>
      <c r="Z140" s="5"/>
      <c r="AA140" s="5"/>
      <c r="AB140" s="5"/>
      <c r="AC140" s="5"/>
      <c r="AD140" s="5"/>
      <c r="AE140" s="5"/>
      <c r="AF140" s="5"/>
      <c r="AG140" s="5"/>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row>
    <row r="141" spans="1:99" ht="165" x14ac:dyDescent="0.2">
      <c r="A141" s="3">
        <v>69</v>
      </c>
      <c r="B141" s="5">
        <v>607</v>
      </c>
      <c r="C141" s="5" t="s">
        <v>1</v>
      </c>
      <c r="D141" s="5"/>
      <c r="E141" s="5" t="str">
        <f t="shared" si="28"/>
        <v>O</v>
      </c>
      <c r="F141" s="5" t="s">
        <v>1</v>
      </c>
      <c r="G141" s="5" t="s">
        <v>277</v>
      </c>
      <c r="H141" s="5"/>
      <c r="I141" s="7" t="s">
        <v>278</v>
      </c>
      <c r="J141" s="7" t="s">
        <v>279</v>
      </c>
      <c r="K141" s="7">
        <v>2</v>
      </c>
      <c r="L141" s="7" t="str">
        <f t="shared" si="29"/>
        <v>2O</v>
      </c>
      <c r="M141" s="5">
        <v>71</v>
      </c>
      <c r="N141" s="5">
        <v>5</v>
      </c>
      <c r="O141" s="5">
        <v>419</v>
      </c>
      <c r="P141" s="5">
        <v>426</v>
      </c>
      <c r="Q141" s="5" t="s">
        <v>280</v>
      </c>
      <c r="R141" s="5">
        <v>2012</v>
      </c>
      <c r="S141" s="5"/>
      <c r="T141" s="5"/>
      <c r="U141" s="5"/>
      <c r="V141" s="5"/>
      <c r="W141" s="5"/>
      <c r="X141" s="5"/>
      <c r="Y141" s="5"/>
      <c r="Z141" s="5"/>
      <c r="AA141" s="5"/>
      <c r="AB141" s="5"/>
      <c r="AC141" s="5"/>
      <c r="AD141" s="5"/>
      <c r="AE141" s="5"/>
      <c r="AF141" s="5"/>
      <c r="AG141" s="5"/>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row>
    <row r="142" spans="1:99" ht="165" x14ac:dyDescent="0.2">
      <c r="A142" s="3">
        <v>70</v>
      </c>
      <c r="B142" s="5">
        <v>608</v>
      </c>
      <c r="C142" s="5" t="s">
        <v>1</v>
      </c>
      <c r="D142" s="5"/>
      <c r="E142" s="5" t="str">
        <f t="shared" si="28"/>
        <v>O</v>
      </c>
      <c r="F142" s="5" t="s">
        <v>1</v>
      </c>
      <c r="G142" s="5" t="s">
        <v>281</v>
      </c>
      <c r="H142" s="5"/>
      <c r="I142" s="7" t="s">
        <v>282</v>
      </c>
      <c r="J142" s="7" t="s">
        <v>283</v>
      </c>
      <c r="K142" s="7">
        <v>2</v>
      </c>
      <c r="L142" s="7" t="str">
        <f t="shared" si="29"/>
        <v>2O</v>
      </c>
      <c r="M142" s="5">
        <v>71</v>
      </c>
      <c r="N142" s="5">
        <v>5</v>
      </c>
      <c r="O142" s="5">
        <v>451</v>
      </c>
      <c r="P142" s="5">
        <v>457</v>
      </c>
      <c r="Q142" s="5" t="s">
        <v>284</v>
      </c>
      <c r="R142" s="5">
        <v>2012</v>
      </c>
      <c r="S142" s="5"/>
      <c r="T142" s="5"/>
      <c r="U142" s="5"/>
      <c r="V142" s="5"/>
      <c r="W142" s="5"/>
      <c r="X142" s="5"/>
      <c r="Y142" s="5"/>
      <c r="Z142" s="5"/>
      <c r="AA142" s="5"/>
      <c r="AB142" s="5"/>
      <c r="AC142" s="5"/>
      <c r="AD142" s="5"/>
      <c r="AE142" s="5"/>
      <c r="AF142" s="5"/>
      <c r="AG142" s="5"/>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row>
    <row r="143" spans="1:99" ht="225" x14ac:dyDescent="0.2">
      <c r="A143" s="3">
        <v>72</v>
      </c>
      <c r="B143" s="5">
        <v>614</v>
      </c>
      <c r="C143" s="5" t="s">
        <v>1</v>
      </c>
      <c r="D143" s="5"/>
      <c r="E143" s="5" t="str">
        <f t="shared" si="28"/>
        <v>O</v>
      </c>
      <c r="F143" s="5" t="s">
        <v>1</v>
      </c>
      <c r="G143" s="5" t="s">
        <v>285</v>
      </c>
      <c r="H143" s="5"/>
      <c r="I143" s="7" t="s">
        <v>286</v>
      </c>
      <c r="J143" s="7" t="s">
        <v>287</v>
      </c>
      <c r="K143" s="7">
        <v>7</v>
      </c>
      <c r="L143" s="7" t="str">
        <f t="shared" si="29"/>
        <v>7O</v>
      </c>
      <c r="M143" s="5">
        <v>17</v>
      </c>
      <c r="N143" s="5">
        <v>2</v>
      </c>
      <c r="O143" s="5">
        <v>223</v>
      </c>
      <c r="P143" s="5">
        <v>233</v>
      </c>
      <c r="Q143" s="5" t="s">
        <v>288</v>
      </c>
      <c r="R143" s="5">
        <v>2012</v>
      </c>
      <c r="S143" s="5"/>
      <c r="T143" s="5"/>
      <c r="U143" s="5"/>
      <c r="V143" s="5"/>
      <c r="W143" s="5"/>
      <c r="X143" s="5"/>
      <c r="Y143" s="5"/>
      <c r="Z143" s="5"/>
      <c r="AA143" s="5"/>
      <c r="AB143" s="5"/>
      <c r="AC143" s="5"/>
      <c r="AD143" s="5"/>
      <c r="AE143" s="5"/>
      <c r="AF143" s="5"/>
      <c r="AG143" s="5"/>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row>
    <row r="144" spans="1:99" ht="105" x14ac:dyDescent="0.2">
      <c r="A144" s="3">
        <v>72</v>
      </c>
      <c r="B144" s="5">
        <v>615</v>
      </c>
      <c r="C144" s="5" t="s">
        <v>1</v>
      </c>
      <c r="D144" s="5"/>
      <c r="E144" s="5" t="str">
        <f t="shared" si="28"/>
        <v>O</v>
      </c>
      <c r="F144" s="5" t="s">
        <v>1</v>
      </c>
      <c r="G144" s="5" t="s">
        <v>289</v>
      </c>
      <c r="H144" s="5"/>
      <c r="I144" s="7" t="s">
        <v>290</v>
      </c>
      <c r="J144" s="7" t="s">
        <v>291</v>
      </c>
      <c r="K144" s="7">
        <v>7</v>
      </c>
      <c r="L144" s="7" t="str">
        <f t="shared" si="29"/>
        <v>7O</v>
      </c>
      <c r="M144" s="5">
        <v>17</v>
      </c>
      <c r="N144" s="5">
        <v>2</v>
      </c>
      <c r="O144" s="5">
        <v>118</v>
      </c>
      <c r="P144" s="5">
        <v>119</v>
      </c>
      <c r="Q144" s="5" t="s">
        <v>292</v>
      </c>
      <c r="R144" s="5">
        <v>2012</v>
      </c>
      <c r="S144" s="5"/>
      <c r="T144" s="5"/>
      <c r="U144" s="5"/>
      <c r="V144" s="5"/>
      <c r="W144" s="5"/>
      <c r="X144" s="5"/>
      <c r="Y144" s="5"/>
      <c r="Z144" s="5"/>
      <c r="AA144" s="5"/>
      <c r="AB144" s="5"/>
      <c r="AC144" s="5"/>
      <c r="AD144" s="5"/>
      <c r="AE144" s="5"/>
      <c r="AF144" s="5"/>
      <c r="AG144" s="5"/>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row>
    <row r="145" spans="1:99" ht="150" x14ac:dyDescent="0.2">
      <c r="A145" s="3">
        <v>73</v>
      </c>
      <c r="B145" s="5">
        <v>627</v>
      </c>
      <c r="C145" s="5" t="s">
        <v>1</v>
      </c>
      <c r="D145" s="5"/>
      <c r="E145" s="5" t="str">
        <f t="shared" si="28"/>
        <v>O</v>
      </c>
      <c r="F145" s="5" t="s">
        <v>1</v>
      </c>
      <c r="G145" s="5" t="s">
        <v>293</v>
      </c>
      <c r="H145" s="5"/>
      <c r="I145" s="7" t="s">
        <v>294</v>
      </c>
      <c r="J145" s="7" t="s">
        <v>295</v>
      </c>
      <c r="K145" s="7">
        <v>9</v>
      </c>
      <c r="L145" s="7" t="str">
        <f t="shared" si="29"/>
        <v>9O</v>
      </c>
      <c r="M145" s="5">
        <v>78</v>
      </c>
      <c r="N145" s="5">
        <v>4</v>
      </c>
      <c r="O145" s="5">
        <v>232</v>
      </c>
      <c r="P145" s="5">
        <v>240</v>
      </c>
      <c r="Q145" s="5" t="s">
        <v>296</v>
      </c>
      <c r="R145" s="5">
        <v>2012</v>
      </c>
      <c r="S145" s="5"/>
      <c r="T145" s="5"/>
      <c r="U145" s="5"/>
      <c r="V145" s="5"/>
      <c r="W145" s="5"/>
      <c r="X145" s="5"/>
      <c r="Y145" s="5"/>
      <c r="Z145" s="5"/>
      <c r="AA145" s="5"/>
      <c r="AB145" s="5"/>
      <c r="AC145" s="5"/>
      <c r="AD145" s="5"/>
      <c r="AE145" s="5"/>
      <c r="AF145" s="5"/>
      <c r="AG145" s="5"/>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row>
    <row r="146" spans="1:99" ht="409" x14ac:dyDescent="0.2">
      <c r="A146" s="3">
        <v>74</v>
      </c>
      <c r="B146" s="5">
        <v>654</v>
      </c>
      <c r="C146" s="5" t="s">
        <v>1</v>
      </c>
      <c r="D146" s="5"/>
      <c r="E146" s="5" t="str">
        <f t="shared" si="28"/>
        <v>O</v>
      </c>
      <c r="F146" s="5" t="s">
        <v>1</v>
      </c>
      <c r="G146" s="5" t="s">
        <v>297</v>
      </c>
      <c r="H146" s="5"/>
      <c r="I146" s="7" t="s">
        <v>298</v>
      </c>
      <c r="J146" s="7" t="s">
        <v>299</v>
      </c>
      <c r="K146" s="7">
        <v>2</v>
      </c>
      <c r="L146" s="7" t="str">
        <f t="shared" si="29"/>
        <v>2O</v>
      </c>
      <c r="M146" s="5">
        <v>70</v>
      </c>
      <c r="N146" s="5">
        <v>6</v>
      </c>
      <c r="O146" s="5">
        <v>519</v>
      </c>
      <c r="P146" s="5">
        <v>527</v>
      </c>
      <c r="Q146" s="5" t="s">
        <v>300</v>
      </c>
      <c r="R146" s="5">
        <v>2011</v>
      </c>
      <c r="S146" s="5"/>
      <c r="T146" s="5"/>
      <c r="U146" s="5"/>
      <c r="V146" s="5"/>
      <c r="W146" s="5"/>
      <c r="X146" s="5"/>
      <c r="Y146" s="5"/>
      <c r="Z146" s="5"/>
      <c r="AA146" s="5"/>
      <c r="AB146" s="5"/>
      <c r="AC146" s="5"/>
      <c r="AD146" s="5"/>
      <c r="AE146" s="5"/>
      <c r="AF146" s="5"/>
      <c r="AG146" s="5"/>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row>
    <row r="147" spans="1:99" ht="360" x14ac:dyDescent="0.2">
      <c r="A147" s="3">
        <v>75</v>
      </c>
      <c r="B147" s="5">
        <v>661</v>
      </c>
      <c r="C147" s="5" t="s">
        <v>1</v>
      </c>
      <c r="D147" s="5"/>
      <c r="E147" s="5" t="str">
        <f t="shared" si="28"/>
        <v>O</v>
      </c>
      <c r="F147" s="5" t="s">
        <v>1</v>
      </c>
      <c r="G147" s="5" t="s">
        <v>301</v>
      </c>
      <c r="H147" s="5"/>
      <c r="I147" s="7" t="s">
        <v>302</v>
      </c>
      <c r="J147" s="7" t="s">
        <v>303</v>
      </c>
      <c r="K147" s="7">
        <v>7</v>
      </c>
      <c r="L147" s="7" t="str">
        <f t="shared" si="29"/>
        <v>7O</v>
      </c>
      <c r="M147" s="5">
        <v>16</v>
      </c>
      <c r="N147" s="5">
        <v>9</v>
      </c>
      <c r="O147" s="5">
        <v>938</v>
      </c>
      <c r="P147" s="5">
        <v>948</v>
      </c>
      <c r="Q147" s="5" t="s">
        <v>304</v>
      </c>
      <c r="R147" s="5">
        <v>2011</v>
      </c>
      <c r="S147" s="5"/>
      <c r="T147" s="5"/>
      <c r="U147" s="5"/>
      <c r="V147" s="5"/>
      <c r="W147" s="5"/>
      <c r="X147" s="5"/>
      <c r="Y147" s="5"/>
      <c r="Z147" s="5"/>
      <c r="AA147" s="5"/>
      <c r="AB147" s="5"/>
      <c r="AC147" s="5"/>
      <c r="AD147" s="5"/>
      <c r="AE147" s="5"/>
      <c r="AF147" s="5"/>
      <c r="AG147" s="5"/>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row>
    <row r="148" spans="1:99" ht="105" x14ac:dyDescent="0.2">
      <c r="A148" s="3">
        <v>76</v>
      </c>
      <c r="B148" s="5">
        <v>663</v>
      </c>
      <c r="C148" s="5" t="s">
        <v>1</v>
      </c>
      <c r="D148" s="5"/>
      <c r="E148" s="5" t="str">
        <f t="shared" si="28"/>
        <v>O</v>
      </c>
      <c r="F148" s="5" t="s">
        <v>1</v>
      </c>
      <c r="G148" s="5" t="s">
        <v>305</v>
      </c>
      <c r="H148" s="5"/>
      <c r="I148" s="7" t="s">
        <v>306</v>
      </c>
      <c r="J148" s="7" t="s">
        <v>307</v>
      </c>
      <c r="K148" s="7">
        <v>7</v>
      </c>
      <c r="L148" s="7" t="str">
        <f t="shared" si="29"/>
        <v>7O</v>
      </c>
      <c r="M148" s="5">
        <v>16</v>
      </c>
      <c r="N148" s="5">
        <v>9</v>
      </c>
      <c r="O148" s="5">
        <v>917</v>
      </c>
      <c r="P148" s="5">
        <v>926</v>
      </c>
      <c r="Q148" s="5" t="s">
        <v>308</v>
      </c>
      <c r="R148" s="5">
        <v>2011</v>
      </c>
      <c r="S148" s="5"/>
      <c r="T148" s="5"/>
      <c r="U148" s="5"/>
      <c r="V148" s="5"/>
      <c r="W148" s="5"/>
      <c r="X148" s="5"/>
      <c r="Y148" s="5"/>
      <c r="Z148" s="5"/>
      <c r="AA148" s="5"/>
      <c r="AB148" s="5"/>
      <c r="AC148" s="5"/>
      <c r="AD148" s="5"/>
      <c r="AE148" s="5"/>
      <c r="AF148" s="5"/>
      <c r="AG148" s="5"/>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row>
    <row r="149" spans="1:99" ht="120" x14ac:dyDescent="0.2">
      <c r="A149" s="3">
        <v>77</v>
      </c>
      <c r="B149" s="5">
        <v>666</v>
      </c>
      <c r="C149" s="5" t="s">
        <v>1</v>
      </c>
      <c r="D149" s="5"/>
      <c r="E149" s="5" t="str">
        <f t="shared" si="28"/>
        <v>O</v>
      </c>
      <c r="F149" s="5" t="s">
        <v>1</v>
      </c>
      <c r="G149" s="5" t="s">
        <v>309</v>
      </c>
      <c r="H149" s="5"/>
      <c r="I149" s="7" t="s">
        <v>310</v>
      </c>
      <c r="J149" s="7" t="s">
        <v>311</v>
      </c>
      <c r="K149" s="7">
        <v>6</v>
      </c>
      <c r="L149" s="7" t="str">
        <f t="shared" si="29"/>
        <v>6O</v>
      </c>
      <c r="M149" s="5">
        <v>31</v>
      </c>
      <c r="N149" s="5">
        <v>32</v>
      </c>
      <c r="O149" s="5">
        <v>11628</v>
      </c>
      <c r="P149" s="5">
        <v>11632</v>
      </c>
      <c r="Q149" s="5" t="s">
        <v>312</v>
      </c>
      <c r="R149" s="5">
        <v>2011</v>
      </c>
      <c r="S149" s="5"/>
      <c r="T149" s="5"/>
      <c r="U149" s="5"/>
      <c r="V149" s="5"/>
      <c r="W149" s="5"/>
      <c r="X149" s="5"/>
      <c r="Y149" s="5"/>
      <c r="Z149" s="5"/>
      <c r="AA149" s="5"/>
      <c r="AB149" s="5"/>
      <c r="AC149" s="5"/>
      <c r="AD149" s="5"/>
      <c r="AE149" s="5"/>
      <c r="AF149" s="5"/>
      <c r="AG149" s="5"/>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row>
    <row r="150" spans="1:99" ht="75" x14ac:dyDescent="0.2">
      <c r="A150" s="3">
        <v>78</v>
      </c>
      <c r="B150" s="5">
        <v>669</v>
      </c>
      <c r="C150" s="5" t="s">
        <v>1</v>
      </c>
      <c r="D150" s="5"/>
      <c r="E150" s="5" t="str">
        <f t="shared" si="28"/>
        <v>O</v>
      </c>
      <c r="F150" s="5" t="s">
        <v>1</v>
      </c>
      <c r="G150" s="5" t="s">
        <v>313</v>
      </c>
      <c r="H150" s="5"/>
      <c r="I150" s="7" t="s">
        <v>314</v>
      </c>
      <c r="J150" s="7" t="s">
        <v>315</v>
      </c>
      <c r="K150" s="7">
        <v>7</v>
      </c>
      <c r="L150" s="7" t="str">
        <f t="shared" si="29"/>
        <v>7O</v>
      </c>
      <c r="M150" s="5">
        <v>16</v>
      </c>
      <c r="N150" s="5">
        <v>8</v>
      </c>
      <c r="O150" s="5">
        <v>860</v>
      </c>
      <c r="P150" s="5">
        <v>866</v>
      </c>
      <c r="Q150" s="5" t="s">
        <v>316</v>
      </c>
      <c r="R150" s="5">
        <v>2011</v>
      </c>
      <c r="S150" s="5"/>
      <c r="T150" s="5"/>
      <c r="U150" s="5"/>
      <c r="V150" s="5"/>
      <c r="W150" s="5"/>
      <c r="X150" s="5"/>
      <c r="Y150" s="5"/>
      <c r="Z150" s="5"/>
      <c r="AA150" s="5"/>
      <c r="AB150" s="5"/>
      <c r="AC150" s="5"/>
      <c r="AD150" s="5"/>
      <c r="AE150" s="5"/>
      <c r="AF150" s="5"/>
      <c r="AG150" s="5"/>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row>
    <row r="151" spans="1:99" ht="120" x14ac:dyDescent="0.2">
      <c r="A151" s="3">
        <v>79</v>
      </c>
      <c r="B151" s="5">
        <v>670</v>
      </c>
      <c r="C151" s="5" t="s">
        <v>1</v>
      </c>
      <c r="D151" s="5"/>
      <c r="E151" s="5" t="str">
        <f t="shared" si="28"/>
        <v>O</v>
      </c>
      <c r="F151" s="5" t="s">
        <v>1</v>
      </c>
      <c r="G151" s="5" t="s">
        <v>317</v>
      </c>
      <c r="H151" s="5"/>
      <c r="I151" s="7" t="s">
        <v>318</v>
      </c>
      <c r="J151" s="7" t="s">
        <v>319</v>
      </c>
      <c r="K151" s="7">
        <v>2</v>
      </c>
      <c r="L151" s="7" t="str">
        <f t="shared" si="29"/>
        <v>2O</v>
      </c>
      <c r="M151" s="5">
        <v>70</v>
      </c>
      <c r="N151" s="5">
        <v>3</v>
      </c>
      <c r="O151" s="5">
        <v>222</v>
      </c>
      <c r="P151" s="5">
        <v>229</v>
      </c>
      <c r="Q151" s="5" t="s">
        <v>320</v>
      </c>
      <c r="R151" s="5">
        <v>2011</v>
      </c>
      <c r="S151" s="5"/>
      <c r="T151" s="5"/>
      <c r="U151" s="5"/>
      <c r="V151" s="5"/>
      <c r="W151" s="5"/>
      <c r="X151" s="5"/>
      <c r="Y151" s="5"/>
      <c r="Z151" s="5"/>
      <c r="AA151" s="5"/>
      <c r="AB151" s="5"/>
      <c r="AC151" s="5"/>
      <c r="AD151" s="5"/>
      <c r="AE151" s="5"/>
      <c r="AF151" s="5"/>
      <c r="AG151" s="5"/>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row>
    <row r="152" spans="1:99" ht="135" x14ac:dyDescent="0.2">
      <c r="A152" s="3">
        <v>80</v>
      </c>
      <c r="B152" s="5">
        <v>671</v>
      </c>
      <c r="C152" s="5" t="s">
        <v>1</v>
      </c>
      <c r="D152" s="5"/>
      <c r="E152" s="5" t="str">
        <f t="shared" si="28"/>
        <v>O</v>
      </c>
      <c r="F152" s="5" t="s">
        <v>1</v>
      </c>
      <c r="G152" s="5" t="s">
        <v>321</v>
      </c>
      <c r="H152" s="5"/>
      <c r="I152" s="7" t="s">
        <v>322</v>
      </c>
      <c r="J152" s="7" t="s">
        <v>323</v>
      </c>
      <c r="K152" s="7">
        <v>2</v>
      </c>
      <c r="L152" s="7" t="str">
        <f t="shared" si="29"/>
        <v>2O</v>
      </c>
      <c r="M152" s="5">
        <v>70</v>
      </c>
      <c r="N152" s="5">
        <v>3</v>
      </c>
      <c r="O152" s="5">
        <v>237</v>
      </c>
      <c r="P152" s="5">
        <v>245</v>
      </c>
      <c r="Q152" s="5" t="s">
        <v>324</v>
      </c>
      <c r="R152" s="5">
        <v>2011</v>
      </c>
      <c r="S152" s="5"/>
      <c r="T152" s="5"/>
      <c r="U152" s="5"/>
      <c r="V152" s="5"/>
      <c r="W152" s="5"/>
      <c r="X152" s="5"/>
      <c r="Y152" s="5"/>
      <c r="Z152" s="5"/>
      <c r="AA152" s="5"/>
      <c r="AB152" s="5"/>
      <c r="AC152" s="5"/>
      <c r="AD152" s="5"/>
      <c r="AE152" s="5"/>
      <c r="AF152" s="5"/>
      <c r="AG152" s="5"/>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row>
    <row r="153" spans="1:99" ht="135" x14ac:dyDescent="0.2">
      <c r="A153" s="3">
        <v>81</v>
      </c>
      <c r="B153" s="5">
        <v>673</v>
      </c>
      <c r="C153" s="5" t="s">
        <v>1</v>
      </c>
      <c r="D153" s="5"/>
      <c r="E153" s="5" t="str">
        <f t="shared" si="28"/>
        <v>O</v>
      </c>
      <c r="F153" s="5" t="s">
        <v>1</v>
      </c>
      <c r="G153" s="5" t="s">
        <v>325</v>
      </c>
      <c r="H153" s="5"/>
      <c r="I153" s="7" t="s">
        <v>326</v>
      </c>
      <c r="J153" s="7" t="s">
        <v>327</v>
      </c>
      <c r="K153" s="7">
        <v>2</v>
      </c>
      <c r="L153" s="7" t="str">
        <f t="shared" si="29"/>
        <v>2O</v>
      </c>
      <c r="M153" s="5">
        <v>70</v>
      </c>
      <c r="N153" s="5">
        <v>2</v>
      </c>
      <c r="O153" s="5">
        <v>152</v>
      </c>
      <c r="P153" s="5">
        <v>158</v>
      </c>
      <c r="Q153" s="5" t="s">
        <v>328</v>
      </c>
      <c r="R153" s="5">
        <v>2011</v>
      </c>
      <c r="S153" s="5"/>
      <c r="T153" s="5"/>
      <c r="U153" s="5"/>
      <c r="V153" s="5"/>
      <c r="W153" s="5"/>
      <c r="X153" s="5"/>
      <c r="Y153" s="5"/>
      <c r="Z153" s="5"/>
      <c r="AA153" s="5"/>
      <c r="AB153" s="5"/>
      <c r="AC153" s="5"/>
      <c r="AD153" s="5"/>
      <c r="AE153" s="5"/>
      <c r="AF153" s="5"/>
      <c r="AG153" s="5"/>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row>
    <row r="154" spans="1:99" ht="60" x14ac:dyDescent="0.2">
      <c r="A154" s="3">
        <v>82</v>
      </c>
      <c r="B154" s="5">
        <v>686</v>
      </c>
      <c r="C154" s="5" t="s">
        <v>1</v>
      </c>
      <c r="D154" s="5"/>
      <c r="E154" s="5" t="str">
        <f t="shared" si="28"/>
        <v>O</v>
      </c>
      <c r="F154" s="5" t="s">
        <v>1</v>
      </c>
      <c r="G154" s="5" t="s">
        <v>329</v>
      </c>
      <c r="H154" s="5"/>
      <c r="I154" s="7" t="s">
        <v>330</v>
      </c>
      <c r="J154" s="7" t="s">
        <v>331</v>
      </c>
      <c r="K154" s="7">
        <v>7</v>
      </c>
      <c r="L154" s="7" t="str">
        <f t="shared" si="29"/>
        <v>7O</v>
      </c>
      <c r="M154" s="5">
        <v>16</v>
      </c>
      <c r="N154" s="5">
        <v>6</v>
      </c>
      <c r="O154" s="5">
        <v>620</v>
      </c>
      <c r="P154" s="5">
        <v>625</v>
      </c>
      <c r="Q154" s="5" t="s">
        <v>332</v>
      </c>
      <c r="R154" s="5">
        <v>2011</v>
      </c>
      <c r="S154" s="5"/>
      <c r="T154" s="5"/>
      <c r="U154" s="5"/>
      <c r="V154" s="5"/>
      <c r="W154" s="5"/>
      <c r="X154" s="5"/>
      <c r="Y154" s="5"/>
      <c r="Z154" s="5"/>
      <c r="AA154" s="5"/>
      <c r="AB154" s="5"/>
      <c r="AC154" s="5"/>
      <c r="AD154" s="5"/>
      <c r="AE154" s="5"/>
      <c r="AF154" s="5"/>
      <c r="AG154" s="5"/>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row>
    <row r="155" spans="1:99" x14ac:dyDescent="0.2">
      <c r="B155" s="2"/>
      <c r="C155" s="2"/>
      <c r="D155" s="2"/>
      <c r="E155" s="2"/>
      <c r="F155" s="2"/>
      <c r="G155" s="2"/>
      <c r="H155" s="2"/>
      <c r="M155" s="2"/>
      <c r="N155" s="2"/>
      <c r="O155" s="2"/>
      <c r="P155" s="2"/>
      <c r="Q155" s="2"/>
      <c r="R155" s="2"/>
      <c r="S155" s="2"/>
      <c r="T155" s="2"/>
      <c r="U155" s="2"/>
      <c r="V155" s="2"/>
      <c r="W155" s="2"/>
      <c r="X155" s="2"/>
      <c r="Y155" s="2"/>
      <c r="Z155" s="2"/>
      <c r="AA155" s="2"/>
      <c r="AB155" s="2"/>
      <c r="AC155" s="2"/>
      <c r="AD155" s="2"/>
      <c r="AE155" s="2"/>
      <c r="AF155" s="2"/>
      <c r="AG155" s="2"/>
    </row>
    <row r="156" spans="1:99" x14ac:dyDescent="0.2">
      <c r="B156" s="2"/>
      <c r="C156" s="2"/>
      <c r="D156" s="2"/>
      <c r="E156" s="2"/>
      <c r="F156" s="2"/>
      <c r="G156" s="2"/>
      <c r="H156" s="2"/>
      <c r="M156" s="2"/>
      <c r="N156" s="2"/>
      <c r="O156" s="2"/>
      <c r="P156" s="2"/>
      <c r="Q156" s="2"/>
      <c r="R156" s="2"/>
      <c r="S156" s="2"/>
      <c r="T156" s="2"/>
      <c r="U156" s="2"/>
      <c r="V156" s="2"/>
      <c r="W156" s="2"/>
      <c r="X156" s="2"/>
      <c r="Y156" s="2"/>
      <c r="Z156" s="2"/>
      <c r="AA156" s="2"/>
      <c r="AB156" s="2"/>
      <c r="AC156" s="2"/>
      <c r="AD156" s="2"/>
      <c r="AE156" s="2"/>
      <c r="AF156" s="2"/>
      <c r="AG156" s="2"/>
    </row>
    <row r="157" spans="1:99" x14ac:dyDescent="0.2">
      <c r="B157" s="2"/>
      <c r="C157" s="2"/>
      <c r="D157" s="2"/>
      <c r="E157" s="2"/>
      <c r="F157" s="2"/>
      <c r="G157" s="2"/>
      <c r="H157" s="2"/>
      <c r="M157" s="2"/>
      <c r="N157" s="2"/>
      <c r="O157" s="2"/>
      <c r="P157" s="2"/>
      <c r="Q157" s="2"/>
      <c r="R157" s="2"/>
      <c r="S157" s="2"/>
      <c r="T157" s="2"/>
      <c r="U157" s="2"/>
      <c r="V157" s="2"/>
      <c r="W157" s="2"/>
      <c r="X157" s="2"/>
      <c r="Y157" s="2"/>
      <c r="Z157" s="2"/>
      <c r="AA157" s="2"/>
      <c r="AB157" s="2"/>
      <c r="AC157" s="2"/>
      <c r="AD157" s="2"/>
      <c r="AE157" s="2"/>
      <c r="AF157" s="2"/>
      <c r="AG157" s="2"/>
    </row>
    <row r="158" spans="1:99" x14ac:dyDescent="0.2">
      <c r="B158" s="2"/>
      <c r="C158" s="2"/>
      <c r="D158" s="2"/>
      <c r="E158" s="2"/>
      <c r="F158" s="2"/>
      <c r="G158" s="2"/>
      <c r="H158" s="2"/>
    </row>
    <row r="159" spans="1:99" x14ac:dyDescent="0.2">
      <c r="B159" s="2"/>
      <c r="C159" s="2"/>
      <c r="D159" s="2"/>
      <c r="E159" s="2"/>
      <c r="F159" s="2"/>
      <c r="G159" s="2"/>
      <c r="H159" s="2"/>
    </row>
    <row r="160" spans="1:99" x14ac:dyDescent="0.2">
      <c r="B160" s="2"/>
      <c r="C160" s="2"/>
      <c r="D160" s="2"/>
      <c r="E160" s="2"/>
      <c r="F160" s="2"/>
      <c r="G160" s="2"/>
      <c r="H160" s="2"/>
    </row>
    <row r="161" spans="2:8" x14ac:dyDescent="0.2">
      <c r="B161" s="2"/>
      <c r="C161" s="2"/>
      <c r="D161" s="2"/>
      <c r="E161" s="2"/>
      <c r="F161" s="2"/>
      <c r="G161" s="2"/>
      <c r="H161" s="2"/>
    </row>
    <row r="162" spans="2:8" x14ac:dyDescent="0.2">
      <c r="B162" s="2"/>
      <c r="C162" s="2"/>
      <c r="D162" s="2"/>
      <c r="E162" s="2"/>
      <c r="F162" s="2"/>
      <c r="G162" s="2"/>
      <c r="H162" s="2"/>
    </row>
    <row r="163" spans="2:8" x14ac:dyDescent="0.2">
      <c r="B163" s="2"/>
      <c r="C163" s="2"/>
      <c r="D163" s="2"/>
      <c r="E163" s="2"/>
      <c r="F163" s="2"/>
      <c r="G163" s="2"/>
      <c r="H163" s="2"/>
    </row>
    <row r="164" spans="2:8" x14ac:dyDescent="0.2">
      <c r="B164" s="2"/>
      <c r="C164" s="2"/>
      <c r="D164" s="2"/>
      <c r="E164" s="2"/>
      <c r="F164" s="2"/>
      <c r="G164" s="2"/>
      <c r="H164" s="2"/>
    </row>
    <row r="165" spans="2:8" x14ac:dyDescent="0.2">
      <c r="B165" s="2"/>
      <c r="C165" s="2"/>
      <c r="D165" s="2"/>
      <c r="E165" s="2"/>
      <c r="F165" s="2"/>
      <c r="G165" s="2"/>
      <c r="H165" s="2"/>
    </row>
  </sheetData>
  <hyperlinks>
    <hyperlink ref="AB4" r:id="rId1" display="http://snpedia.com/index.php/Rs2268498"/>
    <hyperlink ref="AB5" r:id="rId2"/>
    <hyperlink ref="AB9" r:id="rId3"/>
    <hyperlink ref="AB11" r:id="rId4" display="http://snpedia.com/index.php/Rs2254298"/>
    <hyperlink ref="AB15" r:id="rId5" display="http://snpedia.com/index.php/Rs237887"/>
    <hyperlink ref="AB16" r:id="rId6" display="http://snpedia.com/index.php/Rs1042778"/>
    <hyperlink ref="AB17" r:id="rId7" display="http://snpedia.com/index.php/Rs7632287"/>
    <hyperlink ref="AB25" r:id="rId8" display="http://snpedia.com/index.php/Rs1800955"/>
    <hyperlink ref="AB26" r:id="rId9"/>
    <hyperlink ref="AB27" r:id="rId10" display="http://snpedia.com/index.php/Rs4680"/>
    <hyperlink ref="AB28" r:id="rId11"/>
    <hyperlink ref="AB29" r:id="rId12"/>
    <hyperlink ref="AB32" r:id="rId13"/>
    <hyperlink ref="AB40" r:id="rId14"/>
    <hyperlink ref="AB41" r:id="rId15"/>
    <hyperlink ref="AB42" r:id="rId16"/>
    <hyperlink ref="AB43" r:id="rId17"/>
    <hyperlink ref="AB44" r:id="rId18"/>
    <hyperlink ref="AB45" r:id="rId19"/>
    <hyperlink ref="AB46" r:id="rId20"/>
    <hyperlink ref="AB47" r:id="rId21"/>
    <hyperlink ref="AB48" r:id="rId22"/>
    <hyperlink ref="AB52" r:id="rId23"/>
    <hyperlink ref="AB53" r:id="rId24"/>
    <hyperlink ref="AB58" r:id="rId25"/>
    <hyperlink ref="AB61" r:id="rId26"/>
    <hyperlink ref="AB63" r:id="rId27"/>
    <hyperlink ref="AB65" r:id="rId28"/>
    <hyperlink ref="AB67" r:id="rId29"/>
    <hyperlink ref="AB66" r:id="rId30"/>
    <hyperlink ref="AB69" r:id="rId31"/>
    <hyperlink ref="AB70" r:id="rId32"/>
    <hyperlink ref="AB77" r:id="rId33"/>
    <hyperlink ref="AB78" r:id="rId34"/>
    <hyperlink ref="AB79" r:id="rId35"/>
    <hyperlink ref="AB82" r:id="rId36"/>
    <hyperlink ref="AB83" r:id="rId37"/>
    <hyperlink ref="AB84" r:id="rId38"/>
    <hyperlink ref="AB85" r:id="rId39"/>
    <hyperlink ref="AB93" r:id="rId40"/>
    <hyperlink ref="AB86" r:id="rId41"/>
    <hyperlink ref="AB87" r:id="rId42"/>
    <hyperlink ref="AB88" r:id="rId43"/>
    <hyperlink ref="AB89" r:id="rId44"/>
    <hyperlink ref="AB90" r:id="rId45"/>
    <hyperlink ref="AB92" r:id="rId46"/>
    <hyperlink ref="AB97" r:id="rId47"/>
    <hyperlink ref="AB100" r:id="rId48"/>
    <hyperlink ref="AB103" r:id="rId49"/>
    <hyperlink ref="AB104" r:id="rId50"/>
  </hyperlinks>
  <pageMargins left="0.7" right="0.7" top="0.75" bottom="0.75" header="0.3" footer="0.3"/>
  <pageSetup paperSize="9" orientation="portrait" r:id="rId51"/>
  <drawing r:id="rId52"/>
  <legacyDrawing r:id="rId5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workbookViewId="0">
      <pane xSplit="2" ySplit="2" topLeftCell="C3" activePane="bottomRight" state="frozen"/>
      <selection activeCell="L12" sqref="L12"/>
      <selection pane="topRight" activeCell="L12" sqref="L12"/>
      <selection pane="bottomLeft" activeCell="L12" sqref="L12"/>
      <selection pane="bottomRight" activeCell="M20" sqref="M20"/>
    </sheetView>
  </sheetViews>
  <sheetFormatPr baseColWidth="10" defaultColWidth="9.1640625" defaultRowHeight="15" x14ac:dyDescent="0.2"/>
  <cols>
    <col min="1" max="1" width="14.33203125" style="53" customWidth="1"/>
    <col min="2" max="2" width="9.1640625" style="53"/>
    <col min="3" max="3" width="11.5" style="53" bestFit="1" customWidth="1"/>
    <col min="4" max="4" width="9.1640625" style="53"/>
    <col min="5" max="5" width="11.5" style="53" bestFit="1" customWidth="1"/>
    <col min="6" max="16384" width="9.1640625" style="53"/>
  </cols>
  <sheetData>
    <row r="1" spans="1:12" s="52" customFormat="1" x14ac:dyDescent="0.2">
      <c r="A1" s="52" t="s">
        <v>1365</v>
      </c>
    </row>
    <row r="2" spans="1:12" x14ac:dyDescent="0.2">
      <c r="B2" s="53" t="s">
        <v>1366</v>
      </c>
      <c r="C2" s="53" t="s">
        <v>1367</v>
      </c>
      <c r="D2" s="53" t="s">
        <v>1368</v>
      </c>
      <c r="E2" s="54" t="s">
        <v>0</v>
      </c>
      <c r="F2" t="s">
        <v>1369</v>
      </c>
      <c r="G2" t="s">
        <v>1370</v>
      </c>
      <c r="H2" s="53" t="s">
        <v>1371</v>
      </c>
      <c r="I2" s="54" t="s">
        <v>1372</v>
      </c>
      <c r="J2" s="54" t="s">
        <v>1373</v>
      </c>
    </row>
    <row r="3" spans="1:12" x14ac:dyDescent="0.2">
      <c r="B3" s="55">
        <v>0</v>
      </c>
      <c r="C3" s="55">
        <v>0.8</v>
      </c>
      <c r="D3" s="55">
        <f>0.12*SQRT(E3)</f>
        <v>0.78689262291623996</v>
      </c>
      <c r="E3" s="55">
        <v>43</v>
      </c>
      <c r="F3">
        <f>E3*C3</f>
        <v>34.4</v>
      </c>
      <c r="G3">
        <f>(E3*(E3-1)*D3^2+F3^2)/E3</f>
        <v>53.526399999999995</v>
      </c>
      <c r="H3" s="53">
        <f>B3*F3</f>
        <v>0</v>
      </c>
      <c r="I3" s="53">
        <f>B3*E3</f>
        <v>0</v>
      </c>
      <c r="J3" s="53">
        <f>B3^2*E3</f>
        <v>0</v>
      </c>
      <c r="L3" s="59">
        <v>88</v>
      </c>
    </row>
    <row r="4" spans="1:12" x14ac:dyDescent="0.2">
      <c r="B4" s="55">
        <v>1</v>
      </c>
      <c r="C4" s="55">
        <v>0.69</v>
      </c>
      <c r="D4" s="55">
        <f>0.08*SQRT(E4)</f>
        <v>0.82752643462308817</v>
      </c>
      <c r="E4" s="55">
        <v>107</v>
      </c>
      <c r="F4">
        <f t="shared" ref="F4:F5" si="0">E4*C4</f>
        <v>73.83</v>
      </c>
      <c r="G4">
        <f t="shared" ref="G4" si="1">(E4*(E4-1)*D4^2+F4^2)/E4</f>
        <v>123.53150000000001</v>
      </c>
      <c r="H4" s="53">
        <f t="shared" ref="H4:H5" si="2">B4*F4</f>
        <v>73.83</v>
      </c>
      <c r="I4" s="53">
        <f t="shared" ref="I4:I5" si="3">B4*E4</f>
        <v>107</v>
      </c>
      <c r="J4" s="53">
        <f t="shared" ref="J4:J5" si="4">B4^2*E4</f>
        <v>107</v>
      </c>
      <c r="L4" s="59">
        <v>386</v>
      </c>
    </row>
    <row r="5" spans="1:12" x14ac:dyDescent="0.2">
      <c r="B5" s="55">
        <v>2</v>
      </c>
      <c r="C5" s="55">
        <v>0.6</v>
      </c>
      <c r="D5" s="55">
        <f>0.12*SQRT(E5)</f>
        <v>0.80498447189992428</v>
      </c>
      <c r="E5" s="55">
        <v>45</v>
      </c>
      <c r="F5">
        <f t="shared" si="0"/>
        <v>27</v>
      </c>
      <c r="G5">
        <f>IF(ISNUMBER(E5),(E5*(E5-1)*D5^2+F5^2)/E5,"")</f>
        <v>44.711999999999996</v>
      </c>
      <c r="H5" s="53">
        <f t="shared" si="2"/>
        <v>54</v>
      </c>
      <c r="I5" s="53">
        <f t="shared" si="3"/>
        <v>90</v>
      </c>
      <c r="J5" s="53">
        <f t="shared" si="4"/>
        <v>180</v>
      </c>
      <c r="L5" s="59">
        <v>525</v>
      </c>
    </row>
    <row r="6" spans="1:12" x14ac:dyDescent="0.2">
      <c r="B6" s="55" t="s">
        <v>1374</v>
      </c>
      <c r="C6" s="55"/>
      <c r="D6" s="55"/>
      <c r="E6" s="59">
        <f>SUM(E3:E5)</f>
        <v>195</v>
      </c>
      <c r="F6" s="55">
        <f>SUM(F3:F5)</f>
        <v>135.22999999999999</v>
      </c>
      <c r="G6" s="55">
        <f t="shared" ref="G6:J6" si="5">SUM(G3:G5)</f>
        <v>221.76990000000001</v>
      </c>
      <c r="H6" s="55">
        <f t="shared" si="5"/>
        <v>127.83</v>
      </c>
      <c r="I6" s="55">
        <f t="shared" si="5"/>
        <v>197</v>
      </c>
      <c r="J6" s="55">
        <f t="shared" si="5"/>
        <v>287</v>
      </c>
      <c r="L6" s="59">
        <f>SUM(L3:L5)</f>
        <v>999</v>
      </c>
    </row>
    <row r="7" spans="1:12" x14ac:dyDescent="0.2">
      <c r="B7" s="55"/>
      <c r="C7" s="55"/>
      <c r="D7" s="55"/>
      <c r="E7" s="55"/>
      <c r="F7" s="55"/>
      <c r="G7" s="55"/>
    </row>
    <row r="8" spans="1:12" x14ac:dyDescent="0.2">
      <c r="A8" s="53" t="s">
        <v>1375</v>
      </c>
      <c r="B8" s="55"/>
      <c r="C8" s="55"/>
      <c r="D8" s="55"/>
      <c r="E8" s="61"/>
      <c r="F8" s="55"/>
      <c r="G8" s="55"/>
      <c r="L8" s="60"/>
    </row>
    <row r="9" spans="1:12" x14ac:dyDescent="0.2">
      <c r="A9" s="53" t="s">
        <v>1376</v>
      </c>
      <c r="B9" s="55" t="s">
        <v>1377</v>
      </c>
      <c r="C9" s="55">
        <f>(E6*H6-I6*F6)/(E6*J6-I6^2)</f>
        <v>-9.9875262298904116E-2</v>
      </c>
      <c r="D9" s="55"/>
      <c r="E9" s="55"/>
      <c r="F9" s="55"/>
      <c r="G9" s="55"/>
      <c r="L9" s="60"/>
    </row>
    <row r="10" spans="1:12" x14ac:dyDescent="0.2">
      <c r="B10" s="53" t="s">
        <v>1378</v>
      </c>
      <c r="C10" s="55">
        <f>(E6*H6-I6*F6)/SQRT((E6*J6-I6^2)*(E6*G6-F6^2))</f>
        <v>-8.2805895156036702E-2</v>
      </c>
      <c r="L10" s="60"/>
    </row>
    <row r="11" spans="1:12" x14ac:dyDescent="0.2">
      <c r="B11" s="56" t="s">
        <v>1379</v>
      </c>
      <c r="C11" s="53">
        <f>C10^2</f>
        <v>6.8568162725925422E-3</v>
      </c>
      <c r="L11" s="59"/>
    </row>
    <row r="13" spans="1:12" s="52" customFormat="1" x14ac:dyDescent="0.2">
      <c r="A13" s="52" t="s">
        <v>1380</v>
      </c>
    </row>
    <row r="14" spans="1:12" x14ac:dyDescent="0.2">
      <c r="A14" s="53" t="s">
        <v>1381</v>
      </c>
      <c r="F14" s="53" t="s">
        <v>1382</v>
      </c>
    </row>
    <row r="15" spans="1:12" x14ac:dyDescent="0.2">
      <c r="A15" s="53" t="s">
        <v>1395</v>
      </c>
      <c r="B15" s="53" t="s">
        <v>1366</v>
      </c>
      <c r="C15" s="53" t="s">
        <v>1367</v>
      </c>
      <c r="D15" s="53" t="s">
        <v>1368</v>
      </c>
      <c r="E15" s="54" t="s">
        <v>0</v>
      </c>
      <c r="F15" t="s">
        <v>1369</v>
      </c>
      <c r="G15" t="s">
        <v>1370</v>
      </c>
      <c r="H15" s="53" t="s">
        <v>1371</v>
      </c>
      <c r="I15" s="54" t="s">
        <v>1372</v>
      </c>
      <c r="J15" s="54" t="s">
        <v>1373</v>
      </c>
    </row>
    <row r="16" spans="1:12" x14ac:dyDescent="0.2">
      <c r="A16" s="54" t="s">
        <v>1305</v>
      </c>
      <c r="B16" s="55">
        <v>0</v>
      </c>
      <c r="C16" s="55">
        <v>2.44</v>
      </c>
      <c r="D16" s="55">
        <v>3.98</v>
      </c>
      <c r="E16" s="55">
        <v>88</v>
      </c>
      <c r="F16">
        <f>E16*C16</f>
        <v>214.72</v>
      </c>
      <c r="G16">
        <f>(E16*(E16-1)*D16^2+F16^2)/E16</f>
        <v>1902.0316</v>
      </c>
      <c r="H16" s="53">
        <f>B16*F16</f>
        <v>0</v>
      </c>
      <c r="I16" s="53">
        <f>B16*E16</f>
        <v>0</v>
      </c>
      <c r="J16" s="53">
        <f>B16^2*E16</f>
        <v>0</v>
      </c>
    </row>
    <row r="17" spans="1:10" x14ac:dyDescent="0.2">
      <c r="A17" s="54" t="s">
        <v>1306</v>
      </c>
      <c r="B17" s="55">
        <v>1</v>
      </c>
      <c r="C17" s="55">
        <v>1.2455982436882547</v>
      </c>
      <c r="D17" s="55">
        <v>2.1989999999999998</v>
      </c>
      <c r="E17" s="55">
        <v>911</v>
      </c>
      <c r="F17">
        <f t="shared" ref="F17" si="6">E17*C17</f>
        <v>1134.74</v>
      </c>
      <c r="G17">
        <f t="shared" ref="G17" si="7">(E17*(E17-1)*D17^2+F17^2)/E17</f>
        <v>5813.827061042809</v>
      </c>
      <c r="H17" s="53">
        <f t="shared" ref="H17" si="8">B17*F17</f>
        <v>1134.74</v>
      </c>
      <c r="I17" s="53">
        <f t="shared" ref="I17" si="9">B17*E17</f>
        <v>911</v>
      </c>
      <c r="J17" s="53">
        <f t="shared" ref="J17" si="10">B17^2*E17</f>
        <v>911</v>
      </c>
    </row>
    <row r="18" spans="1:10" x14ac:dyDescent="0.2">
      <c r="B18" s="55" t="s">
        <v>1374</v>
      </c>
      <c r="C18" s="55"/>
      <c r="D18" s="55"/>
      <c r="E18" s="55">
        <f t="shared" ref="E18:J18" si="11">SUM(E16:E17)</f>
        <v>999</v>
      </c>
      <c r="F18" s="55">
        <f t="shared" si="11"/>
        <v>1349.46</v>
      </c>
      <c r="G18" s="55">
        <f t="shared" si="11"/>
        <v>7715.8586610428092</v>
      </c>
      <c r="H18" s="55">
        <f t="shared" si="11"/>
        <v>1134.74</v>
      </c>
      <c r="I18" s="55">
        <f t="shared" si="11"/>
        <v>911</v>
      </c>
      <c r="J18" s="55">
        <f t="shared" si="11"/>
        <v>911</v>
      </c>
    </row>
    <row r="19" spans="1:10" x14ac:dyDescent="0.2">
      <c r="B19" s="55"/>
      <c r="C19" s="55"/>
      <c r="D19" s="55"/>
      <c r="E19" s="55"/>
      <c r="F19" s="55"/>
      <c r="G19" s="55"/>
    </row>
    <row r="20" spans="1:10" x14ac:dyDescent="0.2">
      <c r="A20" s="53" t="s">
        <v>1375</v>
      </c>
      <c r="B20" s="55"/>
      <c r="C20" s="55"/>
      <c r="D20" s="55"/>
      <c r="E20" s="55"/>
      <c r="F20" s="55"/>
      <c r="G20" s="55"/>
    </row>
    <row r="21" spans="1:10" x14ac:dyDescent="0.2">
      <c r="A21" s="53" t="s">
        <v>1376</v>
      </c>
      <c r="B21" s="55" t="s">
        <v>1377</v>
      </c>
      <c r="C21" s="55">
        <f>(E18*H18-I18*F18)/(E18*J18-I18^2)</f>
        <v>-1.1944017563117459</v>
      </c>
      <c r="D21" s="55"/>
      <c r="E21" s="55"/>
      <c r="F21" s="55"/>
      <c r="G21" s="55"/>
    </row>
    <row r="22" spans="1:10" x14ac:dyDescent="0.2">
      <c r="B22" s="53" t="s">
        <v>1378</v>
      </c>
      <c r="C22" s="55">
        <f>(E18*H18-I18*F18)/SQRT((E18*J18-I18^2)*(E18*G18-F18^2))</f>
        <v>-0.13937992695556781</v>
      </c>
    </row>
    <row r="23" spans="1:10" x14ac:dyDescent="0.2">
      <c r="B23" s="56" t="s">
        <v>1379</v>
      </c>
      <c r="C23" s="53">
        <f>C22^2</f>
        <v>1.9426764038139418E-2</v>
      </c>
    </row>
    <row r="25" spans="1:10" s="52" customFormat="1" x14ac:dyDescent="0.2">
      <c r="A25" s="52" t="s">
        <v>1383</v>
      </c>
    </row>
    <row r="26" spans="1:10" x14ac:dyDescent="0.2">
      <c r="B26" s="53" t="s">
        <v>1366</v>
      </c>
      <c r="C26" s="53" t="s">
        <v>1367</v>
      </c>
      <c r="D26" s="53" t="s">
        <v>1368</v>
      </c>
      <c r="E26" s="54" t="s">
        <v>0</v>
      </c>
      <c r="F26" t="s">
        <v>1369</v>
      </c>
      <c r="G26" t="s">
        <v>1370</v>
      </c>
      <c r="H26" s="53" t="s">
        <v>1371</v>
      </c>
      <c r="I26" s="54" t="s">
        <v>1372</v>
      </c>
      <c r="J26" s="54" t="s">
        <v>1373</v>
      </c>
    </row>
    <row r="27" spans="1:10" x14ac:dyDescent="0.2">
      <c r="B27" s="55">
        <v>0</v>
      </c>
      <c r="C27" s="55">
        <v>-0.13</v>
      </c>
      <c r="D27" s="55">
        <v>0.52900000000000003</v>
      </c>
      <c r="E27" s="55">
        <v>7</v>
      </c>
      <c r="F27">
        <f>E27*C27</f>
        <v>-0.91</v>
      </c>
      <c r="G27">
        <f>(E27*(E27-1)*D27^2+F27^2)/E27</f>
        <v>1.7973459999999999</v>
      </c>
      <c r="H27" s="53">
        <f>B27*F27</f>
        <v>0</v>
      </c>
      <c r="I27" s="53">
        <f>B27*E27</f>
        <v>0</v>
      </c>
      <c r="J27" s="53">
        <f>B27^2*E27</f>
        <v>0</v>
      </c>
    </row>
    <row r="28" spans="1:10" x14ac:dyDescent="0.2">
      <c r="B28" s="55">
        <v>1</v>
      </c>
      <c r="C28" s="55">
        <v>-0.01</v>
      </c>
      <c r="D28" s="55">
        <v>0.624</v>
      </c>
      <c r="E28" s="55">
        <v>39</v>
      </c>
      <c r="F28">
        <f t="shared" ref="F28:F29" si="12">E28*C28</f>
        <v>-0.39</v>
      </c>
      <c r="G28">
        <f t="shared" ref="G28:G29" si="13">(E28*(E28-1)*D28^2+F28^2)/E28</f>
        <v>14.800188000000002</v>
      </c>
      <c r="H28" s="53">
        <f t="shared" ref="H28:H29" si="14">B28*F28</f>
        <v>-0.39</v>
      </c>
      <c r="I28" s="53">
        <f t="shared" ref="I28:I29" si="15">B28*E28</f>
        <v>39</v>
      </c>
      <c r="J28" s="53">
        <f t="shared" ref="J28:J29" si="16">B28^2*E28</f>
        <v>39</v>
      </c>
    </row>
    <row r="29" spans="1:10" x14ac:dyDescent="0.2">
      <c r="B29" s="55">
        <v>2</v>
      </c>
      <c r="C29" s="55">
        <v>0.8</v>
      </c>
      <c r="D29" s="55">
        <v>0.74099999999999999</v>
      </c>
      <c r="E29" s="55">
        <v>55</v>
      </c>
      <c r="F29">
        <f t="shared" si="12"/>
        <v>44</v>
      </c>
      <c r="G29">
        <f t="shared" si="13"/>
        <v>64.850374000000002</v>
      </c>
      <c r="H29" s="53">
        <f t="shared" si="14"/>
        <v>88</v>
      </c>
      <c r="I29" s="53">
        <f t="shared" si="15"/>
        <v>110</v>
      </c>
      <c r="J29" s="53">
        <f t="shared" si="16"/>
        <v>220</v>
      </c>
    </row>
    <row r="30" spans="1:10" x14ac:dyDescent="0.2">
      <c r="B30" s="55" t="s">
        <v>1374</v>
      </c>
      <c r="C30" s="55"/>
      <c r="D30" s="55"/>
      <c r="E30" s="55">
        <f>SUM(E27:E29)</f>
        <v>101</v>
      </c>
      <c r="F30" s="55">
        <f>SUM(F27:F29)</f>
        <v>42.7</v>
      </c>
      <c r="G30" s="55">
        <f t="shared" ref="G30:J30" si="17">SUM(G27:G29)</f>
        <v>81.447908000000012</v>
      </c>
      <c r="H30" s="55">
        <f t="shared" si="17"/>
        <v>87.61</v>
      </c>
      <c r="I30" s="55">
        <f t="shared" si="17"/>
        <v>149</v>
      </c>
      <c r="J30" s="55">
        <f t="shared" si="17"/>
        <v>259</v>
      </c>
    </row>
    <row r="31" spans="1:10" x14ac:dyDescent="0.2">
      <c r="B31" s="55"/>
      <c r="C31" s="55"/>
      <c r="D31" s="55"/>
      <c r="E31" s="55"/>
      <c r="F31" s="55"/>
      <c r="G31" s="55"/>
    </row>
    <row r="32" spans="1:10" x14ac:dyDescent="0.2">
      <c r="A32" s="53" t="s">
        <v>1375</v>
      </c>
      <c r="B32" s="55"/>
      <c r="C32" s="55"/>
      <c r="D32" s="55"/>
      <c r="E32" s="55"/>
      <c r="F32" s="55"/>
      <c r="G32" s="55"/>
    </row>
    <row r="33" spans="1:7" x14ac:dyDescent="0.2">
      <c r="A33" s="53" t="s">
        <v>1376</v>
      </c>
      <c r="B33" s="55" t="s">
        <v>1377</v>
      </c>
      <c r="C33" s="55">
        <f>(E30*H30-I30*F30)/(E30*J30-I30^2)</f>
        <v>0.62817331985851455</v>
      </c>
      <c r="D33" s="55"/>
      <c r="E33" s="55"/>
      <c r="F33" s="55"/>
      <c r="G33" s="55"/>
    </row>
    <row r="34" spans="1:7" x14ac:dyDescent="0.2">
      <c r="B34" s="53" t="s">
        <v>1378</v>
      </c>
      <c r="C34" s="55">
        <f>(E30*H30-I30*F30)/SQRT((E30*J30-I30^2)*(E30*G30-F30^2))</f>
        <v>0.49388674465653798</v>
      </c>
    </row>
    <row r="35" spans="1:7" x14ac:dyDescent="0.2">
      <c r="B35" s="56" t="s">
        <v>1379</v>
      </c>
      <c r="C35" s="53">
        <f>C34^2</f>
        <v>0.24392411654743235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pane xSplit="2" ySplit="1" topLeftCell="C2" activePane="bottomRight" state="frozen"/>
      <selection activeCell="L12" sqref="L12"/>
      <selection pane="topRight" activeCell="L12" sqref="L12"/>
      <selection pane="bottomLeft" activeCell="L12" sqref="L12"/>
      <selection pane="bottomRight" activeCell="L12" sqref="L12"/>
    </sheetView>
  </sheetViews>
  <sheetFormatPr baseColWidth="10" defaultColWidth="9.1640625" defaultRowHeight="15" x14ac:dyDescent="0.2"/>
  <cols>
    <col min="2" max="2" width="40.83203125" customWidth="1"/>
    <col min="3" max="3" width="6.6640625" customWidth="1"/>
  </cols>
  <sheetData>
    <row r="1" spans="1:10" x14ac:dyDescent="0.2">
      <c r="B1" s="35" t="s">
        <v>1330</v>
      </c>
      <c r="C1">
        <v>1</v>
      </c>
      <c r="D1">
        <v>2</v>
      </c>
      <c r="E1">
        <v>3</v>
      </c>
      <c r="F1">
        <v>4</v>
      </c>
      <c r="G1">
        <v>5</v>
      </c>
      <c r="H1">
        <v>6</v>
      </c>
      <c r="I1">
        <v>7</v>
      </c>
      <c r="J1">
        <v>8</v>
      </c>
    </row>
    <row r="2" spans="1:10" x14ac:dyDescent="0.2">
      <c r="A2">
        <v>1</v>
      </c>
      <c r="B2" t="s">
        <v>1347</v>
      </c>
    </row>
    <row r="3" spans="1:10" x14ac:dyDescent="0.2">
      <c r="A3">
        <v>2</v>
      </c>
      <c r="B3" t="s">
        <v>1331</v>
      </c>
    </row>
    <row r="4" spans="1:10" x14ac:dyDescent="0.2">
      <c r="A4">
        <v>3</v>
      </c>
      <c r="B4" t="s">
        <v>1346</v>
      </c>
      <c r="C4">
        <v>1</v>
      </c>
      <c r="D4">
        <v>0</v>
      </c>
      <c r="E4">
        <v>0</v>
      </c>
    </row>
    <row r="5" spans="1:10" x14ac:dyDescent="0.2">
      <c r="A5">
        <v>4</v>
      </c>
      <c r="B5" t="s">
        <v>1317</v>
      </c>
      <c r="C5">
        <v>0</v>
      </c>
    </row>
    <row r="6" spans="1:10" x14ac:dyDescent="0.2">
      <c r="A6">
        <v>5</v>
      </c>
      <c r="B6" t="s">
        <v>1318</v>
      </c>
      <c r="C6">
        <v>0</v>
      </c>
    </row>
    <row r="7" spans="1:10" x14ac:dyDescent="0.2">
      <c r="A7">
        <v>6</v>
      </c>
      <c r="B7" t="s">
        <v>1319</v>
      </c>
      <c r="C7">
        <v>0</v>
      </c>
      <c r="E7">
        <v>0</v>
      </c>
    </row>
    <row r="8" spans="1:10" x14ac:dyDescent="0.2">
      <c r="A8">
        <v>7</v>
      </c>
      <c r="B8" t="s">
        <v>1320</v>
      </c>
      <c r="C8">
        <v>0</v>
      </c>
    </row>
    <row r="9" spans="1:10" x14ac:dyDescent="0.2">
      <c r="A9">
        <v>8</v>
      </c>
      <c r="B9" t="s">
        <v>1315</v>
      </c>
      <c r="C9">
        <v>0</v>
      </c>
    </row>
    <row r="10" spans="1:10" x14ac:dyDescent="0.2">
      <c r="A10">
        <v>9</v>
      </c>
      <c r="B10" t="s">
        <v>1316</v>
      </c>
      <c r="C10">
        <v>1</v>
      </c>
      <c r="E10">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
  <sheetViews>
    <sheetView workbookViewId="0">
      <pane xSplit="1" ySplit="1" topLeftCell="B11" activePane="bottomRight" state="frozen"/>
      <selection activeCell="L12" sqref="L12"/>
      <selection pane="topRight" activeCell="L12" sqref="L12"/>
      <selection pane="bottomLeft" activeCell="L12" sqref="L12"/>
      <selection pane="bottomRight" activeCell="L12" sqref="L12"/>
    </sheetView>
  </sheetViews>
  <sheetFormatPr baseColWidth="10" defaultColWidth="9.1640625" defaultRowHeight="12" x14ac:dyDescent="0.15"/>
  <cols>
    <col min="1" max="1" width="7" style="40" customWidth="1"/>
    <col min="2" max="2" width="15.5" style="40" customWidth="1"/>
    <col min="3" max="3" width="9.1640625" style="36"/>
    <col min="4" max="4" width="40.6640625" style="36" customWidth="1"/>
    <col min="5" max="5" width="12" style="36" customWidth="1"/>
    <col min="6" max="6" width="47.5" style="36" customWidth="1"/>
    <col min="7" max="7" width="43.6640625" style="36" customWidth="1"/>
    <col min="8" max="8" width="9.1640625" style="36"/>
    <col min="9" max="9" width="29.5" style="36" customWidth="1"/>
    <col min="10" max="16384" width="9.1640625" style="36"/>
  </cols>
  <sheetData>
    <row r="1" spans="1:12" s="46" customFormat="1" ht="36" customHeight="1" x14ac:dyDescent="0.15">
      <c r="A1" s="44" t="s">
        <v>1338</v>
      </c>
      <c r="B1" s="44" t="s">
        <v>1392</v>
      </c>
      <c r="C1" s="45" t="s">
        <v>345</v>
      </c>
      <c r="D1" s="45" t="s">
        <v>346</v>
      </c>
      <c r="E1" s="45" t="s">
        <v>934</v>
      </c>
      <c r="F1" s="45" t="s">
        <v>937</v>
      </c>
      <c r="G1" s="45" t="s">
        <v>982</v>
      </c>
      <c r="H1" s="45" t="s">
        <v>347</v>
      </c>
      <c r="I1" s="45" t="s">
        <v>953</v>
      </c>
      <c r="J1" s="45" t="s">
        <v>1339</v>
      </c>
      <c r="K1" s="45" t="s">
        <v>933</v>
      </c>
      <c r="L1" s="45" t="s">
        <v>348</v>
      </c>
    </row>
    <row r="2" spans="1:12" ht="60" x14ac:dyDescent="0.15">
      <c r="A2" s="40">
        <v>1</v>
      </c>
      <c r="C2" s="40" t="s">
        <v>360</v>
      </c>
      <c r="D2" s="41" t="s">
        <v>935</v>
      </c>
      <c r="E2" s="40" t="s">
        <v>368</v>
      </c>
      <c r="F2" s="40" t="s">
        <v>938</v>
      </c>
      <c r="G2" s="42" t="s">
        <v>878</v>
      </c>
      <c r="H2" s="43"/>
      <c r="I2" s="40" t="s">
        <v>384</v>
      </c>
      <c r="J2" s="40"/>
      <c r="K2" s="42" t="s">
        <v>936</v>
      </c>
      <c r="L2" s="42" t="s">
        <v>936</v>
      </c>
    </row>
    <row r="3" spans="1:12" ht="48" x14ac:dyDescent="0.15">
      <c r="A3" s="40">
        <v>1</v>
      </c>
      <c r="C3" s="40" t="s">
        <v>361</v>
      </c>
      <c r="D3" s="41" t="s">
        <v>940</v>
      </c>
      <c r="E3" s="40" t="s">
        <v>369</v>
      </c>
      <c r="F3" s="40" t="s">
        <v>941</v>
      </c>
      <c r="G3" s="42" t="s">
        <v>983</v>
      </c>
      <c r="H3" s="43"/>
      <c r="I3" s="40" t="s">
        <v>385</v>
      </c>
      <c r="J3" s="40"/>
      <c r="K3" s="40" t="s">
        <v>936</v>
      </c>
      <c r="L3" s="40" t="s">
        <v>936</v>
      </c>
    </row>
    <row r="4" spans="1:12" ht="60" x14ac:dyDescent="0.15">
      <c r="A4" s="40">
        <v>1</v>
      </c>
      <c r="C4" s="40" t="s">
        <v>362</v>
      </c>
      <c r="D4" s="41" t="s">
        <v>939</v>
      </c>
      <c r="E4" s="40" t="s">
        <v>370</v>
      </c>
      <c r="F4" s="40" t="s">
        <v>942</v>
      </c>
      <c r="G4" s="42" t="s">
        <v>984</v>
      </c>
      <c r="H4" s="43"/>
      <c r="I4" s="40" t="s">
        <v>386</v>
      </c>
      <c r="J4" s="40"/>
      <c r="K4" s="40" t="s">
        <v>936</v>
      </c>
      <c r="L4" s="40" t="s">
        <v>936</v>
      </c>
    </row>
    <row r="5" spans="1:12" ht="48" x14ac:dyDescent="0.15">
      <c r="A5" s="40">
        <v>1</v>
      </c>
      <c r="C5" s="40" t="s">
        <v>363</v>
      </c>
      <c r="D5" s="41" t="s">
        <v>944</v>
      </c>
      <c r="E5" s="40" t="s">
        <v>371</v>
      </c>
      <c r="F5" s="40" t="s">
        <v>943</v>
      </c>
      <c r="G5" s="42" t="s">
        <v>985</v>
      </c>
      <c r="H5" s="43"/>
      <c r="I5" s="40" t="s">
        <v>387</v>
      </c>
      <c r="J5" s="40"/>
      <c r="K5" s="40" t="s">
        <v>936</v>
      </c>
      <c r="L5" s="40" t="s">
        <v>936</v>
      </c>
    </row>
    <row r="6" spans="1:12" ht="36" x14ac:dyDescent="0.15">
      <c r="A6" s="40">
        <v>1</v>
      </c>
      <c r="C6" s="40" t="s">
        <v>364</v>
      </c>
      <c r="D6" s="41" t="s">
        <v>946</v>
      </c>
      <c r="E6" s="40" t="s">
        <v>372</v>
      </c>
      <c r="F6" s="40" t="s">
        <v>945</v>
      </c>
      <c r="G6" s="42" t="s">
        <v>986</v>
      </c>
      <c r="H6" s="43"/>
      <c r="I6" s="40" t="s">
        <v>388</v>
      </c>
      <c r="J6" s="40"/>
      <c r="K6" s="40" t="s">
        <v>936</v>
      </c>
      <c r="L6" s="40" t="s">
        <v>936</v>
      </c>
    </row>
    <row r="7" spans="1:12" ht="36" x14ac:dyDescent="0.15">
      <c r="A7" s="40">
        <v>1</v>
      </c>
      <c r="C7" s="40" t="s">
        <v>365</v>
      </c>
      <c r="D7" s="41" t="s">
        <v>948</v>
      </c>
      <c r="E7" s="40" t="s">
        <v>373</v>
      </c>
      <c r="F7" s="40" t="s">
        <v>947</v>
      </c>
      <c r="G7" s="42" t="s">
        <v>987</v>
      </c>
      <c r="H7" s="43"/>
      <c r="I7" s="40" t="s">
        <v>389</v>
      </c>
      <c r="J7" s="40"/>
      <c r="K7" s="40" t="s">
        <v>936</v>
      </c>
      <c r="L7" s="40" t="s">
        <v>936</v>
      </c>
    </row>
    <row r="8" spans="1:12" ht="24" x14ac:dyDescent="0.15">
      <c r="A8" s="40">
        <v>1</v>
      </c>
      <c r="C8" s="40" t="s">
        <v>366</v>
      </c>
      <c r="D8" s="41" t="s">
        <v>950</v>
      </c>
      <c r="E8" s="40" t="s">
        <v>374</v>
      </c>
      <c r="F8" s="40" t="s">
        <v>949</v>
      </c>
      <c r="G8" s="42" t="s">
        <v>988</v>
      </c>
      <c r="H8" s="43"/>
      <c r="I8" s="40" t="s">
        <v>390</v>
      </c>
      <c r="J8" s="40"/>
      <c r="K8" s="40" t="s">
        <v>936</v>
      </c>
      <c r="L8" s="40" t="s">
        <v>936</v>
      </c>
    </row>
    <row r="9" spans="1:12" ht="24" x14ac:dyDescent="0.15">
      <c r="A9" s="40">
        <v>1</v>
      </c>
      <c r="C9" s="40" t="s">
        <v>367</v>
      </c>
      <c r="D9" s="41" t="s">
        <v>951</v>
      </c>
      <c r="E9" s="40" t="s">
        <v>375</v>
      </c>
      <c r="F9" s="40" t="s">
        <v>952</v>
      </c>
      <c r="G9" s="42" t="s">
        <v>989</v>
      </c>
      <c r="H9" s="43"/>
      <c r="I9" s="40" t="s">
        <v>391</v>
      </c>
      <c r="J9" s="40"/>
      <c r="K9" s="40"/>
      <c r="L9" s="40"/>
    </row>
    <row r="10" spans="1:12" ht="60" x14ac:dyDescent="0.15">
      <c r="A10" s="37">
        <v>2</v>
      </c>
      <c r="B10" s="37"/>
      <c r="C10" s="37" t="s">
        <v>394</v>
      </c>
      <c r="D10" s="47" t="s">
        <v>955</v>
      </c>
      <c r="E10" s="37"/>
      <c r="F10" s="37" t="s">
        <v>954</v>
      </c>
      <c r="G10" s="38" t="s">
        <v>990</v>
      </c>
      <c r="H10" s="39" t="s">
        <v>359</v>
      </c>
      <c r="I10" s="37" t="s">
        <v>962</v>
      </c>
      <c r="J10" s="40"/>
      <c r="K10" s="40"/>
      <c r="L10" s="40"/>
    </row>
    <row r="11" spans="1:12" ht="60" x14ac:dyDescent="0.15">
      <c r="A11" s="38">
        <v>2</v>
      </c>
      <c r="B11" s="38"/>
      <c r="C11" s="37" t="s">
        <v>395</v>
      </c>
      <c r="D11" s="47" t="s">
        <v>957</v>
      </c>
      <c r="E11" s="37"/>
      <c r="F11" s="37" t="s">
        <v>958</v>
      </c>
      <c r="G11" s="38" t="s">
        <v>936</v>
      </c>
      <c r="H11" s="39" t="s">
        <v>359</v>
      </c>
      <c r="I11" s="37" t="s">
        <v>962</v>
      </c>
      <c r="J11" s="40"/>
      <c r="K11" s="40"/>
      <c r="L11" s="40"/>
    </row>
    <row r="12" spans="1:12" ht="36" x14ac:dyDescent="0.15">
      <c r="A12" s="37">
        <v>2</v>
      </c>
      <c r="B12" s="37"/>
      <c r="C12" s="37" t="s">
        <v>396</v>
      </c>
      <c r="D12" s="47" t="s">
        <v>959</v>
      </c>
      <c r="E12" s="37"/>
      <c r="F12" s="37" t="s">
        <v>960</v>
      </c>
      <c r="G12" s="38" t="s">
        <v>992</v>
      </c>
      <c r="H12" s="39" t="s">
        <v>359</v>
      </c>
      <c r="I12" s="37" t="s">
        <v>963</v>
      </c>
      <c r="J12" s="40"/>
      <c r="K12" s="40"/>
      <c r="L12" s="40"/>
    </row>
    <row r="13" spans="1:12" ht="36" x14ac:dyDescent="0.15">
      <c r="A13" s="37">
        <v>3</v>
      </c>
      <c r="B13" s="6" t="s">
        <v>411</v>
      </c>
      <c r="C13" s="37" t="s">
        <v>396</v>
      </c>
      <c r="D13" s="47" t="s">
        <v>959</v>
      </c>
      <c r="E13" s="37"/>
      <c r="F13" s="37" t="s">
        <v>960</v>
      </c>
      <c r="G13" s="38" t="s">
        <v>992</v>
      </c>
      <c r="H13" s="39" t="s">
        <v>359</v>
      </c>
      <c r="I13" s="37" t="s">
        <v>968</v>
      </c>
      <c r="J13" s="37"/>
      <c r="K13" s="39"/>
      <c r="L13" s="39"/>
    </row>
    <row r="14" spans="1:12" ht="60" x14ac:dyDescent="0.15">
      <c r="A14" s="37">
        <v>3</v>
      </c>
      <c r="B14" s="6" t="s">
        <v>410</v>
      </c>
      <c r="C14" s="37" t="s">
        <v>412</v>
      </c>
      <c r="D14" s="47" t="s">
        <v>970</v>
      </c>
      <c r="E14" s="37"/>
      <c r="F14" s="37" t="s">
        <v>971</v>
      </c>
      <c r="G14" s="38" t="s">
        <v>993</v>
      </c>
      <c r="H14" s="39" t="s">
        <v>359</v>
      </c>
      <c r="I14" s="37" t="s">
        <v>969</v>
      </c>
      <c r="J14" s="37"/>
      <c r="K14" s="37" t="s">
        <v>936</v>
      </c>
      <c r="L14" s="37" t="s">
        <v>936</v>
      </c>
    </row>
    <row r="15" spans="1:12" s="37" customFormat="1" ht="24" x14ac:dyDescent="0.2">
      <c r="A15" s="37">
        <v>4</v>
      </c>
      <c r="C15" s="37" t="s">
        <v>358</v>
      </c>
      <c r="D15" s="37" t="s">
        <v>972</v>
      </c>
      <c r="F15" s="37" t="s">
        <v>973</v>
      </c>
      <c r="G15" s="37" t="s">
        <v>991</v>
      </c>
      <c r="I15" s="37" t="s">
        <v>974</v>
      </c>
      <c r="K15" s="37" t="s">
        <v>936</v>
      </c>
      <c r="L15" s="37" t="s">
        <v>936</v>
      </c>
    </row>
  </sheetData>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s>
  <pageMargins left="0.7" right="0.7" top="0.75" bottom="0.75" header="0.3" footer="0.3"/>
  <pageSetup paperSize="9" orientation="portrait" verticalDpi="0" r:id="rId14"/>
  <legacyDrawing r:id="rId1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workbookViewId="0">
      <selection activeCell="G15" sqref="G15:K16"/>
    </sheetView>
  </sheetViews>
  <sheetFormatPr baseColWidth="10" defaultColWidth="11" defaultRowHeight="16" x14ac:dyDescent="0.2"/>
  <cols>
    <col min="1" max="1" width="11" style="226"/>
    <col min="2" max="2" width="27.33203125" style="226" customWidth="1"/>
    <col min="3" max="6" width="11" style="226"/>
    <col min="7" max="7" width="47.33203125" style="226" customWidth="1"/>
    <col min="8" max="16384" width="11" style="226"/>
  </cols>
  <sheetData>
    <row r="1" spans="1:12" x14ac:dyDescent="0.2">
      <c r="A1" s="226" t="s">
        <v>333</v>
      </c>
      <c r="B1" s="226" t="s">
        <v>2311</v>
      </c>
      <c r="C1" s="226" t="s">
        <v>2312</v>
      </c>
      <c r="D1" s="226" t="s">
        <v>2313</v>
      </c>
      <c r="E1" s="226" t="s">
        <v>2314</v>
      </c>
      <c r="G1" s="226" t="s">
        <v>2316</v>
      </c>
    </row>
    <row r="2" spans="1:12" ht="80" x14ac:dyDescent="0.2">
      <c r="A2" s="226">
        <v>8</v>
      </c>
      <c r="B2" s="226">
        <v>1</v>
      </c>
      <c r="C2" s="226">
        <v>0.12</v>
      </c>
      <c r="D2" s="226">
        <v>0.3</v>
      </c>
      <c r="E2" s="227">
        <v>1</v>
      </c>
      <c r="G2" s="229" t="s">
        <v>2315</v>
      </c>
      <c r="I2" s="226" t="s">
        <v>2319</v>
      </c>
      <c r="L2" s="227"/>
    </row>
    <row r="3" spans="1:12" x14ac:dyDescent="0.2">
      <c r="A3" s="226">
        <v>30</v>
      </c>
      <c r="B3" s="226">
        <v>1</v>
      </c>
      <c r="C3" s="226">
        <v>0.1</v>
      </c>
      <c r="D3" s="226">
        <v>0.24</v>
      </c>
      <c r="E3" s="227">
        <v>1</v>
      </c>
      <c r="G3" s="226" t="s">
        <v>1395</v>
      </c>
      <c r="H3" s="226" t="s">
        <v>2317</v>
      </c>
      <c r="I3" s="226" t="s">
        <v>1367</v>
      </c>
      <c r="J3" s="226" t="s">
        <v>1368</v>
      </c>
      <c r="K3" s="226" t="s">
        <v>0</v>
      </c>
      <c r="L3" s="227"/>
    </row>
    <row r="4" spans="1:12" x14ac:dyDescent="0.2">
      <c r="A4" s="226">
        <v>31</v>
      </c>
      <c r="B4" s="226">
        <v>1</v>
      </c>
      <c r="C4" s="226">
        <v>0.05</v>
      </c>
      <c r="D4" s="226">
        <v>0.03</v>
      </c>
      <c r="E4" s="227">
        <v>1</v>
      </c>
      <c r="G4" s="226" t="s">
        <v>2068</v>
      </c>
      <c r="H4" s="226">
        <v>2</v>
      </c>
      <c r="I4" s="226">
        <f>AVERAGE(D2:D11)</f>
        <v>0.125</v>
      </c>
      <c r="J4" s="226">
        <f>STDEV(D2:D11)</f>
        <v>0.23740495174092535</v>
      </c>
      <c r="K4" s="226">
        <f>COUNT(E2:E11)</f>
        <v>10</v>
      </c>
      <c r="L4" s="227"/>
    </row>
    <row r="5" spans="1:12" x14ac:dyDescent="0.2">
      <c r="A5" s="226">
        <v>40</v>
      </c>
      <c r="B5" s="226">
        <v>1</v>
      </c>
      <c r="C5" s="226">
        <v>0.56000000000000005</v>
      </c>
      <c r="D5" s="226">
        <v>0.5</v>
      </c>
      <c r="E5" s="227">
        <v>1</v>
      </c>
      <c r="G5" s="226" t="s">
        <v>2067</v>
      </c>
      <c r="H5" s="226">
        <v>1</v>
      </c>
      <c r="I5" s="226">
        <f>AVERAGE(D12:D63)</f>
        <v>0.17711538461538456</v>
      </c>
      <c r="J5" s="226">
        <f>STDEV(D12:D63)</f>
        <v>0.33682681032071893</v>
      </c>
      <c r="K5" s="226">
        <f>COUNT(E12:E63)</f>
        <v>52</v>
      </c>
      <c r="L5" s="227"/>
    </row>
    <row r="6" spans="1:12" x14ac:dyDescent="0.2">
      <c r="A6" s="226">
        <v>46</v>
      </c>
      <c r="B6" s="226">
        <v>1</v>
      </c>
      <c r="C6" s="226">
        <v>-0.01</v>
      </c>
      <c r="D6" s="226">
        <v>0.21</v>
      </c>
      <c r="E6" s="227">
        <v>1</v>
      </c>
      <c r="G6" s="226" t="s">
        <v>2066</v>
      </c>
      <c r="H6" s="226">
        <v>0</v>
      </c>
      <c r="I6" s="226">
        <f>AVERAGE(D64:D100)</f>
        <v>-1.62162162162162E-2</v>
      </c>
      <c r="J6" s="226">
        <f>STDEV(D64:D100)</f>
        <v>0.30431481644426633</v>
      </c>
      <c r="K6" s="226">
        <f>COUNT(E64:E100)</f>
        <v>37</v>
      </c>
      <c r="L6" s="227"/>
    </row>
    <row r="7" spans="1:12" x14ac:dyDescent="0.2">
      <c r="A7" s="226">
        <v>47</v>
      </c>
      <c r="B7" s="226">
        <v>1</v>
      </c>
      <c r="C7" s="226">
        <v>0.64</v>
      </c>
      <c r="D7" s="226">
        <v>0.26</v>
      </c>
      <c r="E7" s="227">
        <v>1</v>
      </c>
      <c r="I7" s="226" t="s">
        <v>2320</v>
      </c>
      <c r="L7" s="227"/>
    </row>
    <row r="8" spans="1:12" x14ac:dyDescent="0.2">
      <c r="A8" s="226">
        <v>54</v>
      </c>
      <c r="B8" s="226">
        <v>1</v>
      </c>
      <c r="C8" s="226">
        <v>0.35</v>
      </c>
      <c r="D8" s="226">
        <v>-0.24</v>
      </c>
      <c r="E8" s="227">
        <v>1</v>
      </c>
      <c r="G8" s="226" t="s">
        <v>1395</v>
      </c>
      <c r="H8" s="226" t="s">
        <v>2317</v>
      </c>
      <c r="I8" s="226" t="s">
        <v>1367</v>
      </c>
      <c r="J8" s="226" t="s">
        <v>1368</v>
      </c>
      <c r="K8" s="226" t="s">
        <v>0</v>
      </c>
      <c r="L8" s="227"/>
    </row>
    <row r="9" spans="1:12" x14ac:dyDescent="0.2">
      <c r="A9" s="226">
        <v>66</v>
      </c>
      <c r="B9" s="226">
        <v>1</v>
      </c>
      <c r="C9" s="226">
        <v>0.09</v>
      </c>
      <c r="D9" s="226">
        <v>-0.26</v>
      </c>
      <c r="E9" s="227">
        <v>1</v>
      </c>
      <c r="G9" s="226" t="s">
        <v>2068</v>
      </c>
      <c r="H9" s="226">
        <v>2</v>
      </c>
      <c r="I9" s="226">
        <f>AVERAGE(C2:C11)</f>
        <v>0.22200000000000003</v>
      </c>
      <c r="J9" s="226">
        <f>STDEV(C2:C11)</f>
        <v>0.2249345583843344</v>
      </c>
      <c r="K9" s="226">
        <f>COUNT(E2:E11)</f>
        <v>10</v>
      </c>
      <c r="L9" s="227"/>
    </row>
    <row r="10" spans="1:12" x14ac:dyDescent="0.2">
      <c r="A10" s="226">
        <v>88</v>
      </c>
      <c r="B10" s="226">
        <v>1</v>
      </c>
      <c r="C10" s="226">
        <v>7.0000000000000007E-2</v>
      </c>
      <c r="D10" s="226">
        <v>0.05</v>
      </c>
      <c r="E10" s="227">
        <v>1</v>
      </c>
      <c r="G10" s="226" t="s">
        <v>2067</v>
      </c>
      <c r="H10" s="226">
        <v>1</v>
      </c>
      <c r="I10" s="226">
        <f>AVERAGE(C12:C63)</f>
        <v>0.2171153846153846</v>
      </c>
      <c r="J10" s="226">
        <f>STDEV(C12:C63)</f>
        <v>0.22882767330984727</v>
      </c>
      <c r="K10" s="226">
        <f>COUNT(E12:E63)</f>
        <v>52</v>
      </c>
      <c r="L10" s="227"/>
    </row>
    <row r="11" spans="1:12" x14ac:dyDescent="0.2">
      <c r="A11" s="226">
        <v>90</v>
      </c>
      <c r="B11" s="226">
        <v>1</v>
      </c>
      <c r="C11" s="226">
        <v>0.25</v>
      </c>
      <c r="D11" s="226">
        <v>0.16</v>
      </c>
      <c r="E11" s="227">
        <v>1</v>
      </c>
      <c r="G11" s="226" t="s">
        <v>2066</v>
      </c>
      <c r="H11" s="226">
        <v>0</v>
      </c>
      <c r="I11" s="226">
        <f>AVERAGE(C64:C100)</f>
        <v>0.14918918918918916</v>
      </c>
      <c r="J11" s="226">
        <f>STDEV(C64:C100)</f>
        <v>0.18409505965938086</v>
      </c>
      <c r="K11" s="226">
        <f>COUNT(E64:E100)</f>
        <v>37</v>
      </c>
      <c r="L11" s="227"/>
    </row>
    <row r="12" spans="1:12" x14ac:dyDescent="0.2">
      <c r="A12" s="226">
        <v>2</v>
      </c>
      <c r="B12" s="226">
        <v>1</v>
      </c>
      <c r="C12" s="226">
        <v>0.12</v>
      </c>
      <c r="D12" s="226">
        <v>0.64</v>
      </c>
      <c r="E12" s="227">
        <v>2</v>
      </c>
      <c r="L12" s="227"/>
    </row>
    <row r="13" spans="1:12" x14ac:dyDescent="0.2">
      <c r="A13" s="226">
        <v>3</v>
      </c>
      <c r="B13" s="226">
        <v>1</v>
      </c>
      <c r="C13" s="226">
        <v>0.09</v>
      </c>
      <c r="D13" s="226">
        <v>0.28999999999999998</v>
      </c>
      <c r="E13" s="227">
        <v>2</v>
      </c>
      <c r="G13" s="226" t="s">
        <v>2322</v>
      </c>
      <c r="I13" s="226" t="s">
        <v>2319</v>
      </c>
      <c r="L13" s="227"/>
    </row>
    <row r="14" spans="1:12" x14ac:dyDescent="0.2">
      <c r="A14" s="226">
        <v>4</v>
      </c>
      <c r="B14" s="226">
        <v>1</v>
      </c>
      <c r="C14" s="226">
        <v>0.31</v>
      </c>
      <c r="D14" s="226">
        <v>-0.05</v>
      </c>
      <c r="E14" s="227">
        <v>2</v>
      </c>
      <c r="G14" s="226" t="s">
        <v>1395</v>
      </c>
      <c r="H14" s="226" t="s">
        <v>2317</v>
      </c>
      <c r="I14" s="226" t="s">
        <v>1367</v>
      </c>
      <c r="J14" s="226" t="s">
        <v>1368</v>
      </c>
      <c r="K14" s="226" t="s">
        <v>0</v>
      </c>
      <c r="L14" s="227"/>
    </row>
    <row r="15" spans="1:12" x14ac:dyDescent="0.2">
      <c r="A15" s="226">
        <v>5</v>
      </c>
      <c r="B15" s="226">
        <v>1</v>
      </c>
      <c r="C15" s="226">
        <v>0.13</v>
      </c>
      <c r="D15" s="226">
        <v>-0.06</v>
      </c>
      <c r="E15" s="227">
        <v>2</v>
      </c>
      <c r="G15" s="226" t="s">
        <v>2323</v>
      </c>
      <c r="H15" s="226">
        <v>1</v>
      </c>
      <c r="I15" s="226">
        <f>AVERAGE(D2:D63)</f>
        <v>0.16870967741935483</v>
      </c>
      <c r="J15" s="226">
        <f>STDEV(D2:D63)</f>
        <v>0.32178031336417506</v>
      </c>
      <c r="K15" s="226">
        <f>COUNT(E2:E63)</f>
        <v>62</v>
      </c>
      <c r="L15" s="227"/>
    </row>
    <row r="16" spans="1:12" x14ac:dyDescent="0.2">
      <c r="A16" s="226">
        <v>9</v>
      </c>
      <c r="B16" s="226">
        <v>1</v>
      </c>
      <c r="C16" s="226">
        <v>0.03</v>
      </c>
      <c r="D16" s="226">
        <v>0.16</v>
      </c>
      <c r="E16" s="227">
        <v>2</v>
      </c>
      <c r="G16" s="226" t="s">
        <v>2066</v>
      </c>
      <c r="H16" s="226">
        <v>0</v>
      </c>
      <c r="I16" s="226">
        <f>AVERAGE(D64:D100)</f>
        <v>-1.62162162162162E-2</v>
      </c>
      <c r="J16" s="226">
        <f>STDEV(D64:D100)</f>
        <v>0.30431481644426633</v>
      </c>
      <c r="K16" s="226">
        <f>COUNT(E64:E100)</f>
        <v>37</v>
      </c>
      <c r="L16" s="227"/>
    </row>
    <row r="17" spans="1:12" x14ac:dyDescent="0.2">
      <c r="A17" s="226">
        <v>13</v>
      </c>
      <c r="B17" s="226">
        <v>1</v>
      </c>
      <c r="C17" s="226">
        <v>0.33</v>
      </c>
      <c r="D17" s="226">
        <v>0.1</v>
      </c>
      <c r="E17" s="227">
        <v>2</v>
      </c>
      <c r="L17" s="227"/>
    </row>
    <row r="18" spans="1:12" x14ac:dyDescent="0.2">
      <c r="A18" s="226">
        <v>16</v>
      </c>
      <c r="B18" s="226">
        <v>1</v>
      </c>
      <c r="C18" s="226">
        <v>0.13</v>
      </c>
      <c r="D18" s="226">
        <v>0.3</v>
      </c>
      <c r="E18" s="227">
        <v>2</v>
      </c>
      <c r="I18" s="226" t="s">
        <v>2320</v>
      </c>
      <c r="L18" s="227"/>
    </row>
    <row r="19" spans="1:12" x14ac:dyDescent="0.2">
      <c r="A19" s="226">
        <v>19</v>
      </c>
      <c r="B19" s="226">
        <v>1</v>
      </c>
      <c r="C19" s="226">
        <v>0.03</v>
      </c>
      <c r="D19" s="226">
        <v>0.13</v>
      </c>
      <c r="E19" s="227">
        <v>2</v>
      </c>
      <c r="G19" s="226" t="s">
        <v>1395</v>
      </c>
      <c r="H19" s="226" t="s">
        <v>2317</v>
      </c>
      <c r="I19" s="226" t="s">
        <v>1367</v>
      </c>
      <c r="J19" s="226" t="s">
        <v>1368</v>
      </c>
      <c r="K19" s="226" t="s">
        <v>0</v>
      </c>
      <c r="L19" s="227"/>
    </row>
    <row r="20" spans="1:12" x14ac:dyDescent="0.2">
      <c r="A20" s="226">
        <v>20</v>
      </c>
      <c r="B20" s="226">
        <v>1</v>
      </c>
      <c r="C20" s="226">
        <v>0.08</v>
      </c>
      <c r="D20" s="226">
        <v>0.18</v>
      </c>
      <c r="E20" s="227">
        <v>2</v>
      </c>
      <c r="G20" s="226" t="s">
        <v>2323</v>
      </c>
      <c r="H20" s="226">
        <v>1</v>
      </c>
      <c r="I20" s="226">
        <f>AVERAGE(C2:C63)</f>
        <v>0.21790322580645161</v>
      </c>
      <c r="J20" s="226">
        <f>STDEV(C2:C63)</f>
        <v>0.22637656931971681</v>
      </c>
      <c r="K20" s="226">
        <f>COUNT(E2:E63)</f>
        <v>62</v>
      </c>
      <c r="L20" s="227"/>
    </row>
    <row r="21" spans="1:12" x14ac:dyDescent="0.2">
      <c r="A21" s="226">
        <v>21</v>
      </c>
      <c r="B21" s="226">
        <v>1</v>
      </c>
      <c r="C21" s="226">
        <v>0.08</v>
      </c>
      <c r="D21" s="226">
        <v>7.0000000000000007E-2</v>
      </c>
      <c r="E21" s="227">
        <v>2</v>
      </c>
      <c r="G21" s="226" t="s">
        <v>2066</v>
      </c>
      <c r="H21" s="226">
        <v>0</v>
      </c>
      <c r="I21" s="226">
        <f>AVERAGE(C64:C100)</f>
        <v>0.14918918918918916</v>
      </c>
      <c r="J21" s="226">
        <f>STDEV(C64:C100)</f>
        <v>0.18409505965938086</v>
      </c>
      <c r="K21" s="226">
        <f>COUNT(E64:E100)</f>
        <v>37</v>
      </c>
      <c r="L21" s="227"/>
    </row>
    <row r="22" spans="1:12" x14ac:dyDescent="0.2">
      <c r="A22" s="226">
        <v>23</v>
      </c>
      <c r="B22" s="226">
        <v>1</v>
      </c>
      <c r="C22" s="226">
        <v>0.02</v>
      </c>
      <c r="D22" s="226">
        <v>0.69</v>
      </c>
      <c r="E22" s="227">
        <v>2</v>
      </c>
      <c r="L22" s="227"/>
    </row>
    <row r="23" spans="1:12" x14ac:dyDescent="0.2">
      <c r="A23" s="226">
        <v>24</v>
      </c>
      <c r="B23" s="226">
        <v>1</v>
      </c>
      <c r="C23" s="226">
        <v>0.01</v>
      </c>
      <c r="D23" s="226">
        <v>-0.41</v>
      </c>
      <c r="E23" s="227">
        <v>2</v>
      </c>
      <c r="L23" s="227"/>
    </row>
    <row r="24" spans="1:12" x14ac:dyDescent="0.2">
      <c r="A24" s="226">
        <v>25</v>
      </c>
      <c r="B24" s="226">
        <v>1</v>
      </c>
      <c r="C24" s="226">
        <v>0.26</v>
      </c>
      <c r="D24" s="226">
        <v>0.5</v>
      </c>
      <c r="E24" s="227">
        <v>2</v>
      </c>
      <c r="L24" s="227"/>
    </row>
    <row r="25" spans="1:12" x14ac:dyDescent="0.2">
      <c r="A25" s="226">
        <v>26</v>
      </c>
      <c r="B25" s="226">
        <v>1</v>
      </c>
      <c r="C25" s="226">
        <v>0.28000000000000003</v>
      </c>
      <c r="D25" s="226">
        <v>0.01</v>
      </c>
      <c r="E25" s="227">
        <v>2</v>
      </c>
      <c r="L25" s="227"/>
    </row>
    <row r="26" spans="1:12" x14ac:dyDescent="0.2">
      <c r="A26" s="226">
        <v>27</v>
      </c>
      <c r="B26" s="226">
        <v>1</v>
      </c>
      <c r="C26" s="226">
        <v>0.04</v>
      </c>
      <c r="D26" s="226">
        <v>-0.11</v>
      </c>
      <c r="E26" s="227">
        <v>2</v>
      </c>
      <c r="L26" s="227"/>
    </row>
    <row r="27" spans="1:12" x14ac:dyDescent="0.2">
      <c r="A27" s="226">
        <v>29</v>
      </c>
      <c r="B27" s="226">
        <v>1</v>
      </c>
      <c r="C27" s="226">
        <v>0</v>
      </c>
      <c r="D27" s="226">
        <v>0.23</v>
      </c>
      <c r="E27" s="227">
        <v>2</v>
      </c>
      <c r="L27" s="227"/>
    </row>
    <row r="28" spans="1:12" x14ac:dyDescent="0.2">
      <c r="A28" s="226">
        <v>33</v>
      </c>
      <c r="B28" s="226">
        <v>1</v>
      </c>
      <c r="C28" s="226">
        <v>0.16</v>
      </c>
      <c r="D28" s="226">
        <v>-0.13</v>
      </c>
      <c r="E28" s="227">
        <v>2</v>
      </c>
      <c r="L28" s="227"/>
    </row>
    <row r="29" spans="1:12" x14ac:dyDescent="0.2">
      <c r="A29" s="226">
        <v>34</v>
      </c>
      <c r="B29" s="226">
        <v>1</v>
      </c>
      <c r="C29" s="226">
        <v>0.05</v>
      </c>
      <c r="D29" s="226">
        <v>-0.11</v>
      </c>
      <c r="E29" s="227">
        <v>2</v>
      </c>
      <c r="L29" s="227"/>
    </row>
    <row r="30" spans="1:12" x14ac:dyDescent="0.2">
      <c r="A30" s="226">
        <v>35</v>
      </c>
      <c r="B30" s="226">
        <v>1</v>
      </c>
      <c r="C30" s="226">
        <v>0.01</v>
      </c>
      <c r="D30" s="226">
        <v>-0.28999999999999998</v>
      </c>
      <c r="E30" s="227">
        <v>2</v>
      </c>
      <c r="L30" s="227"/>
    </row>
    <row r="31" spans="1:12" x14ac:dyDescent="0.2">
      <c r="A31" s="226">
        <v>36</v>
      </c>
      <c r="B31" s="226">
        <v>1</v>
      </c>
      <c r="C31" s="226">
        <v>0.63</v>
      </c>
      <c r="D31" s="226">
        <v>7.0000000000000007E-2</v>
      </c>
      <c r="E31" s="227">
        <v>2</v>
      </c>
      <c r="L31" s="227"/>
    </row>
    <row r="32" spans="1:12" x14ac:dyDescent="0.2">
      <c r="A32" s="226">
        <v>38</v>
      </c>
      <c r="B32" s="226">
        <v>1</v>
      </c>
      <c r="C32" s="226">
        <v>0.21</v>
      </c>
      <c r="D32" s="226">
        <v>0.24</v>
      </c>
      <c r="E32" s="227">
        <v>2</v>
      </c>
      <c r="L32" s="227"/>
    </row>
    <row r="33" spans="1:12" x14ac:dyDescent="0.2">
      <c r="A33" s="226">
        <v>41</v>
      </c>
      <c r="B33" s="226">
        <v>1</v>
      </c>
      <c r="C33" s="226">
        <v>0.19</v>
      </c>
      <c r="D33" s="226">
        <v>0.19</v>
      </c>
      <c r="E33" s="227">
        <v>2</v>
      </c>
      <c r="L33" s="227"/>
    </row>
    <row r="34" spans="1:12" x14ac:dyDescent="0.2">
      <c r="A34" s="226">
        <v>42</v>
      </c>
      <c r="B34" s="226">
        <v>1</v>
      </c>
      <c r="C34" s="226">
        <v>0.2</v>
      </c>
      <c r="D34" s="226">
        <v>0.73</v>
      </c>
      <c r="E34" s="227">
        <v>2</v>
      </c>
      <c r="L34" s="227"/>
    </row>
    <row r="35" spans="1:12" x14ac:dyDescent="0.2">
      <c r="A35" s="226">
        <v>43</v>
      </c>
      <c r="B35" s="226">
        <v>1</v>
      </c>
      <c r="C35" s="226">
        <v>0.41</v>
      </c>
      <c r="D35" s="226">
        <v>0.66</v>
      </c>
      <c r="E35" s="227">
        <v>2</v>
      </c>
      <c r="L35" s="227"/>
    </row>
    <row r="36" spans="1:12" x14ac:dyDescent="0.2">
      <c r="A36" s="226">
        <v>44</v>
      </c>
      <c r="B36" s="226">
        <v>1</v>
      </c>
      <c r="C36" s="226">
        <v>0.41</v>
      </c>
      <c r="D36" s="226">
        <v>0.68</v>
      </c>
      <c r="E36" s="227">
        <v>2</v>
      </c>
      <c r="L36" s="227"/>
    </row>
    <row r="37" spans="1:12" x14ac:dyDescent="0.2">
      <c r="A37" s="226">
        <v>48</v>
      </c>
      <c r="B37" s="226">
        <v>1</v>
      </c>
      <c r="C37" s="226">
        <v>0.15</v>
      </c>
      <c r="D37" s="226">
        <v>-0.05</v>
      </c>
      <c r="E37" s="227">
        <v>2</v>
      </c>
      <c r="L37" s="227"/>
    </row>
    <row r="38" spans="1:12" x14ac:dyDescent="0.2">
      <c r="A38" s="226">
        <v>49</v>
      </c>
      <c r="B38" s="226">
        <v>1</v>
      </c>
      <c r="C38" s="226">
        <v>-0.05</v>
      </c>
      <c r="D38" s="226">
        <v>0.23</v>
      </c>
      <c r="E38" s="227">
        <v>2</v>
      </c>
      <c r="L38" s="227"/>
    </row>
    <row r="39" spans="1:12" x14ac:dyDescent="0.2">
      <c r="A39" s="226">
        <v>50</v>
      </c>
      <c r="B39" s="226">
        <v>1</v>
      </c>
      <c r="C39" s="226">
        <v>0.01</v>
      </c>
      <c r="D39" s="226">
        <v>0.06</v>
      </c>
      <c r="E39" s="227">
        <v>2</v>
      </c>
      <c r="L39" s="227"/>
    </row>
    <row r="40" spans="1:12" x14ac:dyDescent="0.2">
      <c r="A40" s="226">
        <v>51</v>
      </c>
      <c r="B40" s="226">
        <v>1</v>
      </c>
      <c r="C40" s="226">
        <v>-0.06</v>
      </c>
      <c r="D40" s="226">
        <v>-0.18</v>
      </c>
      <c r="E40" s="227">
        <v>2</v>
      </c>
      <c r="L40" s="227"/>
    </row>
    <row r="41" spans="1:12" x14ac:dyDescent="0.2">
      <c r="A41" s="226">
        <v>55</v>
      </c>
      <c r="B41" s="226">
        <v>1</v>
      </c>
      <c r="C41" s="226">
        <v>0.52</v>
      </c>
      <c r="D41" s="226">
        <v>0.27</v>
      </c>
      <c r="E41" s="227">
        <v>2</v>
      </c>
      <c r="L41" s="227"/>
    </row>
    <row r="42" spans="1:12" x14ac:dyDescent="0.2">
      <c r="A42" s="226">
        <v>56</v>
      </c>
      <c r="B42" s="226">
        <v>1</v>
      </c>
      <c r="C42" s="226">
        <v>0.14000000000000001</v>
      </c>
      <c r="D42" s="226">
        <v>-0.16</v>
      </c>
      <c r="E42" s="227">
        <v>2</v>
      </c>
      <c r="L42" s="227"/>
    </row>
    <row r="43" spans="1:12" x14ac:dyDescent="0.2">
      <c r="A43" s="226">
        <v>57</v>
      </c>
      <c r="B43" s="226">
        <v>1</v>
      </c>
      <c r="C43" s="226">
        <v>0.54</v>
      </c>
      <c r="D43" s="226">
        <v>0.34</v>
      </c>
      <c r="E43" s="227">
        <v>2</v>
      </c>
      <c r="L43" s="227"/>
    </row>
    <row r="44" spans="1:12" x14ac:dyDescent="0.2">
      <c r="A44" s="226">
        <v>59</v>
      </c>
      <c r="B44" s="226">
        <v>1</v>
      </c>
      <c r="C44" s="226">
        <v>0.37</v>
      </c>
      <c r="D44" s="226">
        <v>0.13</v>
      </c>
      <c r="E44" s="227">
        <v>2</v>
      </c>
      <c r="L44" s="227"/>
    </row>
    <row r="45" spans="1:12" x14ac:dyDescent="0.2">
      <c r="A45" s="226">
        <v>60</v>
      </c>
      <c r="B45" s="226">
        <v>1</v>
      </c>
      <c r="C45" s="226">
        <v>0.5</v>
      </c>
      <c r="D45" s="226">
        <v>0.13</v>
      </c>
      <c r="E45" s="227">
        <v>2</v>
      </c>
      <c r="L45" s="227"/>
    </row>
    <row r="46" spans="1:12" x14ac:dyDescent="0.2">
      <c r="A46" s="226">
        <v>62</v>
      </c>
      <c r="B46" s="226">
        <v>1</v>
      </c>
      <c r="C46" s="226">
        <v>0.08</v>
      </c>
      <c r="D46" s="226">
        <v>0.22</v>
      </c>
      <c r="E46" s="227">
        <v>2</v>
      </c>
      <c r="L46" s="227"/>
    </row>
    <row r="47" spans="1:12" x14ac:dyDescent="0.2">
      <c r="A47" s="226">
        <v>63</v>
      </c>
      <c r="B47" s="226">
        <v>1</v>
      </c>
      <c r="C47" s="226">
        <v>0.21</v>
      </c>
      <c r="D47" s="226">
        <v>-0.19</v>
      </c>
      <c r="E47" s="227">
        <v>2</v>
      </c>
      <c r="L47" s="227"/>
    </row>
    <row r="48" spans="1:12" x14ac:dyDescent="0.2">
      <c r="A48" s="226">
        <v>68</v>
      </c>
      <c r="B48" s="226">
        <v>1</v>
      </c>
      <c r="C48" s="226">
        <v>0.56999999999999995</v>
      </c>
      <c r="D48" s="226">
        <v>0.27</v>
      </c>
      <c r="E48" s="227">
        <v>2</v>
      </c>
      <c r="L48" s="227"/>
    </row>
    <row r="49" spans="1:12" x14ac:dyDescent="0.2">
      <c r="A49" s="226">
        <v>71</v>
      </c>
      <c r="B49" s="226">
        <v>1</v>
      </c>
      <c r="C49" s="226">
        <v>0.17</v>
      </c>
      <c r="D49" s="226">
        <v>0.17</v>
      </c>
      <c r="E49" s="227">
        <v>2</v>
      </c>
      <c r="L49" s="227"/>
    </row>
    <row r="50" spans="1:12" x14ac:dyDescent="0.2">
      <c r="A50" s="226">
        <v>72</v>
      </c>
      <c r="B50" s="226">
        <v>1</v>
      </c>
      <c r="C50" s="226">
        <v>0.68</v>
      </c>
      <c r="D50" s="226">
        <v>0.28999999999999998</v>
      </c>
      <c r="E50" s="227">
        <v>2</v>
      </c>
      <c r="L50" s="227"/>
    </row>
    <row r="51" spans="1:12" x14ac:dyDescent="0.2">
      <c r="A51" s="226">
        <v>74</v>
      </c>
      <c r="B51" s="226">
        <v>1</v>
      </c>
      <c r="C51" s="226">
        <v>0</v>
      </c>
      <c r="D51" s="226">
        <v>0.11</v>
      </c>
      <c r="E51" s="227">
        <v>2</v>
      </c>
      <c r="L51" s="227"/>
    </row>
    <row r="52" spans="1:12" x14ac:dyDescent="0.2">
      <c r="A52" s="226">
        <v>76</v>
      </c>
      <c r="B52" s="226">
        <v>1</v>
      </c>
      <c r="C52" s="226">
        <v>0.06</v>
      </c>
      <c r="D52" s="226">
        <v>-0.27</v>
      </c>
      <c r="E52" s="227">
        <v>2</v>
      </c>
      <c r="L52" s="227"/>
    </row>
    <row r="53" spans="1:12" x14ac:dyDescent="0.2">
      <c r="A53" s="226">
        <v>78</v>
      </c>
      <c r="B53" s="226">
        <v>1</v>
      </c>
      <c r="C53" s="226">
        <v>0.08</v>
      </c>
      <c r="D53" s="226">
        <v>7.0000000000000007E-2</v>
      </c>
      <c r="E53" s="227">
        <v>2</v>
      </c>
      <c r="L53" s="227"/>
    </row>
    <row r="54" spans="1:12" x14ac:dyDescent="0.2">
      <c r="A54" s="226">
        <v>80</v>
      </c>
      <c r="B54" s="226">
        <v>1</v>
      </c>
      <c r="C54" s="226">
        <v>0.4</v>
      </c>
      <c r="D54" s="226">
        <v>0.79</v>
      </c>
      <c r="E54" s="227">
        <v>2</v>
      </c>
      <c r="L54" s="227"/>
    </row>
    <row r="55" spans="1:12" x14ac:dyDescent="0.2">
      <c r="A55" s="226">
        <v>81</v>
      </c>
      <c r="B55" s="226">
        <v>1</v>
      </c>
      <c r="C55" s="226">
        <v>0.52</v>
      </c>
      <c r="D55" s="226">
        <v>1.18</v>
      </c>
      <c r="E55" s="227">
        <v>2</v>
      </c>
      <c r="L55" s="227"/>
    </row>
    <row r="56" spans="1:12" x14ac:dyDescent="0.2">
      <c r="A56" s="226">
        <v>84</v>
      </c>
      <c r="B56" s="226">
        <v>1</v>
      </c>
      <c r="C56" s="226">
        <v>0.84</v>
      </c>
      <c r="D56" s="226">
        <v>-0.01</v>
      </c>
      <c r="E56" s="227">
        <v>2</v>
      </c>
      <c r="L56" s="227"/>
    </row>
    <row r="57" spans="1:12" x14ac:dyDescent="0.2">
      <c r="A57" s="226">
        <v>85</v>
      </c>
      <c r="B57" s="226">
        <v>1</v>
      </c>
      <c r="C57" s="226">
        <v>0.04</v>
      </c>
      <c r="D57" s="226">
        <v>0.1</v>
      </c>
      <c r="E57" s="227">
        <v>2</v>
      </c>
      <c r="L57" s="227"/>
    </row>
    <row r="58" spans="1:12" x14ac:dyDescent="0.2">
      <c r="A58" s="226">
        <v>86</v>
      </c>
      <c r="B58" s="226">
        <v>1</v>
      </c>
      <c r="C58" s="226">
        <v>0.12</v>
      </c>
      <c r="D58" s="226">
        <v>-0.13</v>
      </c>
      <c r="E58" s="227">
        <v>2</v>
      </c>
      <c r="L58" s="227"/>
    </row>
    <row r="59" spans="1:12" x14ac:dyDescent="0.2">
      <c r="A59" s="226">
        <v>87</v>
      </c>
      <c r="B59" s="226">
        <v>1</v>
      </c>
      <c r="C59" s="226">
        <v>0.87</v>
      </c>
      <c r="D59" s="226">
        <v>1.07</v>
      </c>
      <c r="E59" s="227">
        <v>2</v>
      </c>
      <c r="L59" s="227"/>
    </row>
    <row r="60" spans="1:12" x14ac:dyDescent="0.2">
      <c r="A60" s="226">
        <v>89</v>
      </c>
      <c r="B60" s="226">
        <v>1</v>
      </c>
      <c r="C60" s="226">
        <v>0.01</v>
      </c>
      <c r="D60" s="226">
        <v>-0.4</v>
      </c>
      <c r="E60" s="227">
        <v>2</v>
      </c>
      <c r="L60" s="227"/>
    </row>
    <row r="61" spans="1:12" x14ac:dyDescent="0.2">
      <c r="A61" s="226">
        <v>91</v>
      </c>
      <c r="B61" s="226">
        <v>1</v>
      </c>
      <c r="C61" s="226">
        <v>0.08</v>
      </c>
      <c r="D61" s="226">
        <v>0.26</v>
      </c>
      <c r="E61" s="227">
        <v>2</v>
      </c>
      <c r="L61" s="227"/>
    </row>
    <row r="62" spans="1:12" x14ac:dyDescent="0.2">
      <c r="A62" s="226">
        <v>93</v>
      </c>
      <c r="B62" s="226">
        <v>1</v>
      </c>
      <c r="C62" s="226">
        <v>0.13</v>
      </c>
      <c r="D62" s="226">
        <v>0.11</v>
      </c>
      <c r="E62" s="227">
        <v>2</v>
      </c>
      <c r="L62" s="227"/>
    </row>
    <row r="63" spans="1:12" x14ac:dyDescent="0.2">
      <c r="A63" s="226">
        <v>94</v>
      </c>
      <c r="B63" s="226">
        <v>1</v>
      </c>
      <c r="C63" s="226">
        <v>0.1</v>
      </c>
      <c r="D63" s="226">
        <v>0.09</v>
      </c>
      <c r="E63" s="227">
        <v>2</v>
      </c>
      <c r="L63" s="227"/>
    </row>
    <row r="64" spans="1:12" x14ac:dyDescent="0.2">
      <c r="A64" s="226">
        <v>1</v>
      </c>
      <c r="B64" s="226">
        <v>2</v>
      </c>
      <c r="C64" s="226">
        <v>0.13</v>
      </c>
      <c r="D64" s="226">
        <v>-0.06</v>
      </c>
      <c r="E64" s="227">
        <v>3</v>
      </c>
      <c r="L64" s="227"/>
    </row>
    <row r="65" spans="1:12" x14ac:dyDescent="0.2">
      <c r="A65" s="226">
        <v>6</v>
      </c>
      <c r="B65" s="226">
        <v>2</v>
      </c>
      <c r="C65" s="226">
        <v>0.03</v>
      </c>
      <c r="D65" s="226">
        <v>0.4</v>
      </c>
      <c r="E65" s="227">
        <v>3</v>
      </c>
      <c r="L65" s="227"/>
    </row>
    <row r="66" spans="1:12" x14ac:dyDescent="0.2">
      <c r="A66" s="226">
        <v>7</v>
      </c>
      <c r="B66" s="226">
        <v>2</v>
      </c>
      <c r="C66" s="226">
        <v>0.06</v>
      </c>
      <c r="D66" s="226">
        <v>-0.01</v>
      </c>
      <c r="E66" s="227">
        <v>3</v>
      </c>
      <c r="L66" s="227"/>
    </row>
    <row r="67" spans="1:12" x14ac:dyDescent="0.2">
      <c r="A67" s="226">
        <v>10</v>
      </c>
      <c r="B67" s="226">
        <v>2</v>
      </c>
      <c r="C67" s="226">
        <v>0.38</v>
      </c>
      <c r="D67" s="226">
        <v>0.1</v>
      </c>
      <c r="E67" s="227">
        <v>3</v>
      </c>
      <c r="L67" s="227"/>
    </row>
    <row r="68" spans="1:12" x14ac:dyDescent="0.2">
      <c r="A68" s="226">
        <v>11</v>
      </c>
      <c r="B68" s="226">
        <v>2</v>
      </c>
      <c r="C68" s="226">
        <v>0.03</v>
      </c>
      <c r="D68" s="226">
        <v>-0.09</v>
      </c>
      <c r="E68" s="227">
        <v>3</v>
      </c>
      <c r="L68" s="227"/>
    </row>
    <row r="69" spans="1:12" x14ac:dyDescent="0.2">
      <c r="A69" s="226">
        <v>12</v>
      </c>
      <c r="B69" s="226">
        <v>2</v>
      </c>
      <c r="C69" s="226">
        <v>0.09</v>
      </c>
      <c r="D69" s="226">
        <v>-0.32</v>
      </c>
      <c r="E69" s="227">
        <v>3</v>
      </c>
      <c r="L69" s="227"/>
    </row>
    <row r="70" spans="1:12" x14ac:dyDescent="0.2">
      <c r="A70" s="226">
        <v>14</v>
      </c>
      <c r="B70" s="226">
        <v>2</v>
      </c>
      <c r="C70" s="226">
        <v>7.0000000000000007E-2</v>
      </c>
      <c r="D70" s="226">
        <v>-0.2</v>
      </c>
      <c r="E70" s="227">
        <v>3</v>
      </c>
      <c r="L70" s="227"/>
    </row>
    <row r="71" spans="1:12" x14ac:dyDescent="0.2">
      <c r="A71" s="226">
        <v>15</v>
      </c>
      <c r="B71" s="226">
        <v>2</v>
      </c>
      <c r="C71" s="226">
        <v>0.3</v>
      </c>
      <c r="D71" s="226">
        <v>0.21</v>
      </c>
      <c r="E71" s="227">
        <v>3</v>
      </c>
      <c r="L71" s="227"/>
    </row>
    <row r="72" spans="1:12" x14ac:dyDescent="0.2">
      <c r="A72" s="226">
        <v>17</v>
      </c>
      <c r="B72" s="226">
        <v>2</v>
      </c>
      <c r="C72" s="226">
        <v>0.14000000000000001</v>
      </c>
      <c r="D72" s="226">
        <v>-0.28000000000000003</v>
      </c>
      <c r="E72" s="227">
        <v>3</v>
      </c>
      <c r="L72" s="227"/>
    </row>
    <row r="73" spans="1:12" x14ac:dyDescent="0.2">
      <c r="A73" s="226">
        <v>18</v>
      </c>
      <c r="B73" s="226">
        <v>2</v>
      </c>
      <c r="C73" s="226">
        <v>0.19</v>
      </c>
      <c r="D73" s="226">
        <v>-0.08</v>
      </c>
      <c r="E73" s="227">
        <v>3</v>
      </c>
      <c r="L73" s="228"/>
    </row>
    <row r="74" spans="1:12" x14ac:dyDescent="0.2">
      <c r="A74" s="226">
        <v>22</v>
      </c>
      <c r="B74" s="226">
        <v>2</v>
      </c>
      <c r="C74" s="226">
        <v>0.26</v>
      </c>
      <c r="D74" s="226">
        <v>-0.33</v>
      </c>
      <c r="E74" s="227">
        <v>3</v>
      </c>
      <c r="L74" s="227"/>
    </row>
    <row r="75" spans="1:12" x14ac:dyDescent="0.2">
      <c r="A75" s="226">
        <v>28</v>
      </c>
      <c r="B75" s="226">
        <v>2</v>
      </c>
      <c r="C75" s="226">
        <v>0.11</v>
      </c>
      <c r="D75" s="226">
        <v>-0.05</v>
      </c>
      <c r="E75" s="227">
        <v>3</v>
      </c>
      <c r="L75" s="227"/>
    </row>
    <row r="76" spans="1:12" x14ac:dyDescent="0.2">
      <c r="A76" s="226">
        <v>32</v>
      </c>
      <c r="B76" s="226">
        <v>2</v>
      </c>
      <c r="C76" s="226">
        <v>0.44</v>
      </c>
      <c r="D76" s="226">
        <v>-0.56999999999999995</v>
      </c>
      <c r="E76" s="227">
        <v>3</v>
      </c>
      <c r="L76" s="227"/>
    </row>
    <row r="77" spans="1:12" x14ac:dyDescent="0.2">
      <c r="A77" s="226">
        <v>37</v>
      </c>
      <c r="B77" s="226">
        <v>2</v>
      </c>
      <c r="C77" s="226">
        <v>0.09</v>
      </c>
      <c r="D77" s="226">
        <v>-0.41</v>
      </c>
      <c r="E77" s="227">
        <v>3</v>
      </c>
      <c r="L77" s="227"/>
    </row>
    <row r="78" spans="1:12" x14ac:dyDescent="0.2">
      <c r="A78" s="226">
        <v>39</v>
      </c>
      <c r="B78" s="226">
        <v>2</v>
      </c>
      <c r="C78" s="226">
        <v>-0.01</v>
      </c>
      <c r="D78" s="226">
        <v>0.01</v>
      </c>
      <c r="E78" s="227">
        <v>3</v>
      </c>
      <c r="L78" s="227"/>
    </row>
    <row r="79" spans="1:12" x14ac:dyDescent="0.2">
      <c r="A79" s="226">
        <v>45</v>
      </c>
      <c r="B79" s="226">
        <v>2</v>
      </c>
      <c r="C79" s="226">
        <v>0.15</v>
      </c>
      <c r="D79" s="226">
        <v>-0.05</v>
      </c>
      <c r="E79" s="227">
        <v>3</v>
      </c>
      <c r="L79" s="227"/>
    </row>
    <row r="80" spans="1:12" x14ac:dyDescent="0.2">
      <c r="A80" s="226">
        <v>52</v>
      </c>
      <c r="B80" s="226">
        <v>2</v>
      </c>
      <c r="C80" s="226">
        <v>0.1</v>
      </c>
      <c r="D80" s="226">
        <v>0.09</v>
      </c>
      <c r="E80" s="227">
        <v>3</v>
      </c>
      <c r="L80" s="227"/>
    </row>
    <row r="81" spans="1:12" x14ac:dyDescent="0.2">
      <c r="A81" s="226">
        <v>53</v>
      </c>
      <c r="B81" s="226">
        <v>2</v>
      </c>
      <c r="C81" s="226">
        <v>0.02</v>
      </c>
      <c r="D81" s="226">
        <v>0.18</v>
      </c>
      <c r="E81" s="227">
        <v>3</v>
      </c>
      <c r="L81" s="227"/>
    </row>
    <row r="82" spans="1:12" x14ac:dyDescent="0.2">
      <c r="A82" s="226">
        <v>58</v>
      </c>
      <c r="B82" s="226">
        <v>2</v>
      </c>
      <c r="C82" s="226">
        <v>0.19</v>
      </c>
      <c r="D82" s="226">
        <v>-0.1</v>
      </c>
      <c r="E82" s="227">
        <v>3</v>
      </c>
      <c r="L82" s="227"/>
    </row>
    <row r="83" spans="1:12" x14ac:dyDescent="0.2">
      <c r="A83" s="226">
        <v>61</v>
      </c>
      <c r="B83" s="226">
        <v>2</v>
      </c>
      <c r="C83" s="226">
        <v>0.23</v>
      </c>
      <c r="D83" s="226">
        <v>0.2</v>
      </c>
      <c r="E83" s="227">
        <v>3</v>
      </c>
      <c r="L83" s="227"/>
    </row>
    <row r="84" spans="1:12" x14ac:dyDescent="0.2">
      <c r="A84" s="226">
        <v>64</v>
      </c>
      <c r="B84" s="226">
        <v>2</v>
      </c>
      <c r="C84" s="226">
        <v>-0.04</v>
      </c>
      <c r="D84" s="226">
        <v>-0.59</v>
      </c>
      <c r="E84" s="227">
        <v>3</v>
      </c>
      <c r="L84" s="227"/>
    </row>
    <row r="85" spans="1:12" x14ac:dyDescent="0.2">
      <c r="A85" s="226">
        <v>65</v>
      </c>
      <c r="B85" s="226">
        <v>2</v>
      </c>
      <c r="C85" s="226">
        <v>0.35</v>
      </c>
      <c r="D85" s="226">
        <v>0.04</v>
      </c>
      <c r="E85" s="227">
        <v>3</v>
      </c>
      <c r="L85" s="227"/>
    </row>
    <row r="86" spans="1:12" x14ac:dyDescent="0.2">
      <c r="A86" s="226">
        <v>67</v>
      </c>
      <c r="B86" s="226">
        <v>2</v>
      </c>
      <c r="C86" s="226">
        <v>0.28000000000000003</v>
      </c>
      <c r="D86" s="226">
        <v>0.11</v>
      </c>
      <c r="E86" s="227">
        <v>3</v>
      </c>
      <c r="L86" s="227"/>
    </row>
    <row r="87" spans="1:12" x14ac:dyDescent="0.2">
      <c r="A87" s="226">
        <v>69</v>
      </c>
      <c r="B87" s="226">
        <v>2</v>
      </c>
      <c r="C87" s="226">
        <v>0.05</v>
      </c>
      <c r="D87" s="226">
        <v>0.05</v>
      </c>
      <c r="E87" s="227">
        <v>3</v>
      </c>
      <c r="L87" s="227"/>
    </row>
    <row r="88" spans="1:12" x14ac:dyDescent="0.2">
      <c r="A88" s="226">
        <v>70</v>
      </c>
      <c r="B88" s="226">
        <v>2</v>
      </c>
      <c r="C88" s="226">
        <v>0.32</v>
      </c>
      <c r="D88" s="226">
        <v>0.23</v>
      </c>
      <c r="E88" s="227">
        <v>3</v>
      </c>
      <c r="L88" s="227"/>
    </row>
    <row r="89" spans="1:12" x14ac:dyDescent="0.2">
      <c r="A89" s="226">
        <v>73</v>
      </c>
      <c r="B89" s="226">
        <v>2</v>
      </c>
      <c r="C89" s="226">
        <v>-0.03</v>
      </c>
      <c r="D89" s="226">
        <v>0.11</v>
      </c>
      <c r="E89" s="227">
        <v>3</v>
      </c>
      <c r="L89" s="227"/>
    </row>
    <row r="90" spans="1:12" x14ac:dyDescent="0.2">
      <c r="A90" s="226">
        <v>75</v>
      </c>
      <c r="B90" s="226">
        <v>2</v>
      </c>
      <c r="C90" s="226">
        <v>0.31</v>
      </c>
      <c r="D90" s="226">
        <v>0.38</v>
      </c>
      <c r="E90" s="227">
        <v>3</v>
      </c>
      <c r="L90" s="227"/>
    </row>
    <row r="91" spans="1:12" x14ac:dyDescent="0.2">
      <c r="A91" s="226">
        <v>77</v>
      </c>
      <c r="B91" s="226">
        <v>2</v>
      </c>
      <c r="C91" s="226">
        <v>0.22</v>
      </c>
      <c r="D91" s="226">
        <v>-0.45</v>
      </c>
      <c r="E91" s="227">
        <v>3</v>
      </c>
      <c r="L91" s="227"/>
    </row>
    <row r="92" spans="1:12" x14ac:dyDescent="0.2">
      <c r="A92" s="226">
        <v>79</v>
      </c>
      <c r="B92" s="226">
        <v>2</v>
      </c>
      <c r="C92" s="226">
        <v>0.14000000000000001</v>
      </c>
      <c r="D92" s="226">
        <v>0.84</v>
      </c>
      <c r="E92" s="227">
        <v>3</v>
      </c>
      <c r="L92" s="227"/>
    </row>
    <row r="93" spans="1:12" x14ac:dyDescent="0.2">
      <c r="A93" s="226">
        <v>82</v>
      </c>
      <c r="B93" s="226">
        <v>2</v>
      </c>
      <c r="C93" s="226">
        <v>-0.21</v>
      </c>
      <c r="D93" s="226">
        <v>-0.25</v>
      </c>
      <c r="E93" s="227">
        <v>3</v>
      </c>
      <c r="L93" s="227"/>
    </row>
    <row r="94" spans="1:12" x14ac:dyDescent="0.2">
      <c r="A94" s="226">
        <v>83</v>
      </c>
      <c r="B94" s="226">
        <v>2</v>
      </c>
      <c r="C94" s="226">
        <v>0.32</v>
      </c>
      <c r="D94" s="226">
        <v>-0.1</v>
      </c>
      <c r="E94" s="227">
        <v>3</v>
      </c>
      <c r="L94" s="227"/>
    </row>
    <row r="95" spans="1:12" x14ac:dyDescent="0.2">
      <c r="A95" s="226">
        <v>92</v>
      </c>
      <c r="B95" s="226">
        <v>2</v>
      </c>
      <c r="C95" s="226">
        <v>0.11</v>
      </c>
      <c r="D95" s="226">
        <v>0.6</v>
      </c>
      <c r="E95" s="227">
        <v>3</v>
      </c>
      <c r="L95" s="227"/>
    </row>
    <row r="96" spans="1:12" x14ac:dyDescent="0.2">
      <c r="A96" s="226">
        <v>95</v>
      </c>
      <c r="B96" s="226">
        <v>2</v>
      </c>
      <c r="C96" s="226">
        <v>0.8</v>
      </c>
      <c r="D96" s="226">
        <v>0.06</v>
      </c>
      <c r="E96" s="227">
        <v>3</v>
      </c>
      <c r="L96" s="227"/>
    </row>
    <row r="97" spans="1:12" x14ac:dyDescent="0.2">
      <c r="A97" s="226">
        <v>96</v>
      </c>
      <c r="B97" s="226">
        <v>2</v>
      </c>
      <c r="C97" s="226">
        <v>0</v>
      </c>
      <c r="D97" s="226">
        <v>-0.34</v>
      </c>
      <c r="E97" s="227">
        <v>3</v>
      </c>
      <c r="L97" s="227"/>
    </row>
    <row r="98" spans="1:12" x14ac:dyDescent="0.2">
      <c r="A98" s="226">
        <v>97</v>
      </c>
      <c r="B98" s="226">
        <v>2</v>
      </c>
      <c r="C98" s="226">
        <v>-0.1</v>
      </c>
      <c r="D98" s="226">
        <v>-0.27</v>
      </c>
      <c r="E98" s="227">
        <v>3</v>
      </c>
      <c r="L98" s="227"/>
    </row>
    <row r="99" spans="1:12" x14ac:dyDescent="0.2">
      <c r="A99" s="226">
        <v>98</v>
      </c>
      <c r="B99" s="226">
        <v>2</v>
      </c>
      <c r="C99" s="226">
        <v>-0.13</v>
      </c>
      <c r="D99" s="226">
        <v>0.05</v>
      </c>
      <c r="E99" s="227">
        <v>3</v>
      </c>
      <c r="L99" s="227"/>
    </row>
    <row r="100" spans="1:12" x14ac:dyDescent="0.2">
      <c r="A100" s="226">
        <v>99</v>
      </c>
      <c r="B100" s="226">
        <v>2</v>
      </c>
      <c r="C100" s="226">
        <v>0.13</v>
      </c>
      <c r="D100" s="226">
        <v>0.28999999999999998</v>
      </c>
      <c r="E100" s="227">
        <v>3</v>
      </c>
      <c r="L100" s="227"/>
    </row>
    <row r="101" spans="1:12" x14ac:dyDescent="0.2">
      <c r="L101" s="227"/>
    </row>
    <row r="102" spans="1:12" x14ac:dyDescent="0.2">
      <c r="L102" s="227"/>
    </row>
    <row r="103" spans="1:12" x14ac:dyDescent="0.2">
      <c r="L103" s="227"/>
    </row>
    <row r="104" spans="1:12" x14ac:dyDescent="0.2">
      <c r="L104" s="227"/>
    </row>
    <row r="105" spans="1:12" x14ac:dyDescent="0.2">
      <c r="L105" s="227"/>
    </row>
  </sheetData>
  <sortState ref="A2:E100">
    <sortCondition ref="E2:E100"/>
  </sortState>
  <pageMargins left="0.75" right="0.75" top="1" bottom="1" header="0.5" footer="0.5"/>
  <pageSetup paperSize="9" orientation="portrait" horizontalDpi="4294967292" verticalDpi="429496729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54"/>
  <sheetViews>
    <sheetView zoomScale="80" zoomScaleNormal="80" zoomScalePageLayoutView="80" workbookViewId="0">
      <pane xSplit="1" ySplit="1" topLeftCell="B2" activePane="bottomRight" state="frozen"/>
      <selection activeCell="A38" sqref="A38"/>
      <selection pane="topRight" activeCell="A38" sqref="A38"/>
      <selection pane="bottomLeft" activeCell="A38" sqref="A38"/>
      <selection pane="bottomRight" activeCell="D2" sqref="D2"/>
    </sheetView>
  </sheetViews>
  <sheetFormatPr baseColWidth="10" defaultColWidth="9.1640625" defaultRowHeight="15" x14ac:dyDescent="0.2"/>
  <cols>
    <col min="1" max="1" width="42.1640625" style="34" customWidth="1"/>
    <col min="2" max="2" width="65.33203125" style="33" customWidth="1"/>
    <col min="4" max="4" width="17.6640625" customWidth="1"/>
    <col min="5" max="5" width="12" bestFit="1" customWidth="1"/>
    <col min="7" max="7" width="11.5" bestFit="1" customWidth="1"/>
  </cols>
  <sheetData>
    <row r="1" spans="1:13" s="58" customFormat="1" x14ac:dyDescent="0.2">
      <c r="A1" s="63" t="s">
        <v>1360</v>
      </c>
      <c r="B1" s="57">
        <v>6</v>
      </c>
      <c r="D1" s="52" t="s">
        <v>1851</v>
      </c>
      <c r="E1" s="52"/>
      <c r="F1" s="52"/>
      <c r="G1" s="52"/>
      <c r="H1" s="52"/>
      <c r="I1" s="52"/>
      <c r="J1" s="52"/>
      <c r="K1" s="52"/>
      <c r="L1" s="52"/>
      <c r="M1" s="52"/>
    </row>
    <row r="2" spans="1:13" ht="45" x14ac:dyDescent="0.2">
      <c r="A2" s="34" t="s">
        <v>1321</v>
      </c>
      <c r="B2" s="33" t="str">
        <f ca="1">INDIRECT("main!"&amp;"C"&amp;B$1+2)</f>
        <v>Klumpers, Floris; Kroes, Marijn C.; Heitland, Ivo; Everaerd, Daphne; Akkermans, Sophie E. A.; Oosting, Ronald S.; van Wingen, Guido; Franke, Barbara; Kenemans, J. Leon; Fernandez, Guillen; Baas, Johanna M. P.</v>
      </c>
      <c r="E2" s="53"/>
      <c r="F2" s="53"/>
      <c r="G2" s="53"/>
      <c r="H2" s="53"/>
      <c r="I2" s="53" t="s">
        <v>1382</v>
      </c>
      <c r="J2" s="53"/>
      <c r="K2" s="53"/>
      <c r="L2" s="53"/>
      <c r="M2" s="53"/>
    </row>
    <row r="3" spans="1:13" ht="30" x14ac:dyDescent="0.2">
      <c r="A3" s="34" t="s">
        <v>1322</v>
      </c>
      <c r="B3" s="33" t="str">
        <f ca="1">INDIRECT("main!"&amp;"D"&amp;B$1+2)</f>
        <v>Dorsomedial Prefrontal Cortex Mediates the Impact of Serotonin Transporter Linked Polymorphic Region Genotype on Anticipatory Threat Reactions</v>
      </c>
      <c r="C3" s="53" t="s">
        <v>2069</v>
      </c>
      <c r="D3" s="53" t="s">
        <v>1395</v>
      </c>
      <c r="E3" s="53" t="s">
        <v>1366</v>
      </c>
      <c r="F3" s="53" t="s">
        <v>1367</v>
      </c>
      <c r="G3" s="53" t="s">
        <v>1368</v>
      </c>
      <c r="H3" s="54" t="s">
        <v>0</v>
      </c>
      <c r="I3" t="s">
        <v>1369</v>
      </c>
      <c r="J3" t="s">
        <v>1370</v>
      </c>
      <c r="K3" s="53" t="s">
        <v>1371</v>
      </c>
      <c r="L3" s="54" t="s">
        <v>1372</v>
      </c>
      <c r="M3" s="54" t="s">
        <v>1373</v>
      </c>
    </row>
    <row r="4" spans="1:13" x14ac:dyDescent="0.2">
      <c r="A4" s="34" t="s">
        <v>1324</v>
      </c>
      <c r="B4" s="33" t="str">
        <f ca="1">INDIRECT("main!"&amp;"J"&amp;B$1+2)</f>
        <v>10.1016/j.biopsych.2014.07.034</v>
      </c>
      <c r="D4" s="54" t="s">
        <v>2066</v>
      </c>
      <c r="E4" s="55">
        <v>0</v>
      </c>
      <c r="F4">
        <v>-0.14393939393939301</v>
      </c>
      <c r="G4">
        <v>-0.14393939393939301</v>
      </c>
      <c r="H4" s="55">
        <v>16</v>
      </c>
      <c r="I4">
        <f>H4*F4</f>
        <v>-2.3030303030302881</v>
      </c>
      <c r="J4">
        <f>(H4*(H4-1)*G4^2+I4^2)/H4</f>
        <v>0.64227502295683281</v>
      </c>
      <c r="K4" s="53">
        <f>E4*I4</f>
        <v>0</v>
      </c>
      <c r="L4" s="53">
        <f>E4*H4</f>
        <v>0</v>
      </c>
      <c r="M4" s="53">
        <f>E4^2*H4</f>
        <v>0</v>
      </c>
    </row>
    <row r="5" spans="1:13" ht="33.5" customHeight="1" x14ac:dyDescent="0.2">
      <c r="A5" s="34" t="s">
        <v>1327</v>
      </c>
      <c r="B5" s="33" t="str">
        <f ca="1">INDIRECT("main!"&amp;"M"&amp;B$1+2)</f>
        <v>Healthy, medication free, recruited from medical school/university adverts. Sample D  (all male); sample R  (21 male); 18-30 years. Sample R oversampled homozygotes</v>
      </c>
      <c r="D5" s="54" t="s">
        <v>2067</v>
      </c>
      <c r="E5" s="55">
        <v>1</v>
      </c>
      <c r="F5">
        <v>0.30303030303030298</v>
      </c>
      <c r="G5">
        <v>0.30303030303030298</v>
      </c>
      <c r="H5" s="55">
        <v>53</v>
      </c>
      <c r="I5">
        <f t="shared" ref="I5:I6" si="0">H5*F5</f>
        <v>16.060606060606059</v>
      </c>
      <c r="J5">
        <f t="shared" ref="J5:J6" si="1">(H5*(H5-1)*G5^2+I5^2)/H5</f>
        <v>9.6418732782369112</v>
      </c>
      <c r="K5" s="53">
        <f t="shared" ref="K5:K6" si="2">E5*I5</f>
        <v>16.060606060606059</v>
      </c>
      <c r="L5" s="53">
        <f t="shared" ref="L5:L6" si="3">E5*H5</f>
        <v>53</v>
      </c>
      <c r="M5" s="53">
        <f t="shared" ref="M5:M6" si="4">E5^2*H5</f>
        <v>53</v>
      </c>
    </row>
    <row r="6" spans="1:13" x14ac:dyDescent="0.2">
      <c r="A6" s="34" t="s">
        <v>1333</v>
      </c>
      <c r="B6" s="33" t="str">
        <f ca="1">INDIRECT("main!"&amp;"L"&amp;B$1+2)</f>
        <v>Discovery (D) =99; Replication (R) =69</v>
      </c>
      <c r="D6" s="54" t="s">
        <v>2068</v>
      </c>
      <c r="E6" s="55">
        <v>2</v>
      </c>
      <c r="F6">
        <v>0.45454545454545497</v>
      </c>
      <c r="G6">
        <v>0.45454545454545497</v>
      </c>
      <c r="H6" s="55">
        <v>30</v>
      </c>
      <c r="I6">
        <f t="shared" si="0"/>
        <v>13.636363636363649</v>
      </c>
      <c r="J6">
        <f t="shared" si="1"/>
        <v>12.190082644628122</v>
      </c>
      <c r="K6" s="53">
        <f t="shared" si="2"/>
        <v>27.272727272727298</v>
      </c>
      <c r="L6" s="53">
        <f t="shared" si="3"/>
        <v>60</v>
      </c>
      <c r="M6" s="53">
        <f t="shared" si="4"/>
        <v>120</v>
      </c>
    </row>
    <row r="7" spans="1:13" x14ac:dyDescent="0.2">
      <c r="A7" s="34" t="s">
        <v>1903</v>
      </c>
      <c r="B7" s="33">
        <v>1</v>
      </c>
      <c r="D7" s="54"/>
      <c r="E7" s="55"/>
      <c r="F7" s="55"/>
      <c r="H7" s="55"/>
      <c r="K7" s="53"/>
      <c r="L7" s="53"/>
      <c r="M7" s="53"/>
    </row>
    <row r="8" spans="1:13" x14ac:dyDescent="0.2">
      <c r="A8" s="34" t="s">
        <v>343</v>
      </c>
      <c r="B8" s="33" t="str">
        <f ca="1">INDIRECT("main!"&amp;"q"&amp;B$1+2)</f>
        <v>5-HTTLPR</v>
      </c>
      <c r="D8" s="54" t="s">
        <v>1404</v>
      </c>
      <c r="E8" s="55" t="s">
        <v>1374</v>
      </c>
      <c r="F8" s="55"/>
      <c r="G8" s="55"/>
      <c r="H8" s="55">
        <f>SUM(H4:H6)</f>
        <v>99</v>
      </c>
      <c r="I8" s="55">
        <f>SUM(I4:I6)</f>
        <v>27.393939393939419</v>
      </c>
      <c r="J8" s="55">
        <f t="shared" ref="J8:M8" si="5">SUM(J4:J6)</f>
        <v>22.474230945821866</v>
      </c>
      <c r="K8" s="55">
        <f t="shared" si="5"/>
        <v>43.333333333333357</v>
      </c>
      <c r="L8" s="55">
        <f t="shared" si="5"/>
        <v>113</v>
      </c>
      <c r="M8" s="55">
        <f t="shared" si="5"/>
        <v>173</v>
      </c>
    </row>
    <row r="9" spans="1:13" ht="13.75" customHeight="1" x14ac:dyDescent="0.2">
      <c r="A9" s="34" t="s">
        <v>1329</v>
      </c>
      <c r="B9" s="33" t="str">
        <f ca="1">INDIRECT("main!"&amp;"R"&amp;B$1+2)</f>
        <v>5-HTTLPR</v>
      </c>
      <c r="D9" s="53"/>
      <c r="E9" s="55"/>
      <c r="F9" s="55"/>
      <c r="G9" s="55"/>
      <c r="H9" s="55"/>
      <c r="I9" s="55"/>
      <c r="J9" s="55"/>
      <c r="K9" s="53"/>
      <c r="L9" s="53"/>
      <c r="M9" s="53"/>
    </row>
    <row r="10" spans="1:13" ht="73.25" customHeight="1" x14ac:dyDescent="0.2">
      <c r="A10" s="34" t="s">
        <v>1323</v>
      </c>
      <c r="B10" s="33" t="str">
        <f ca="1">INDIRECT("main!"&amp;"O"&amp;B$1+2)</f>
        <v>fMRI + aversive anticipation (2 experiments ; each one phenotype- skin conductance and startle data)</v>
      </c>
      <c r="D10" s="53" t="s">
        <v>1406</v>
      </c>
      <c r="E10" s="55"/>
      <c r="F10" s="55"/>
      <c r="G10" s="55"/>
      <c r="H10" s="55"/>
      <c r="I10" s="55"/>
      <c r="J10" s="55"/>
      <c r="K10" s="53"/>
      <c r="L10" s="53"/>
      <c r="M10" s="53"/>
    </row>
    <row r="11" spans="1:13" ht="55.25" customHeight="1" x14ac:dyDescent="0.2">
      <c r="A11" s="34" t="s">
        <v>1396</v>
      </c>
      <c r="B11" s="33" t="str">
        <f ca="1">INDIRECT("main!"&amp;"W"&amp;B$1+2)</f>
        <v>ANOVA, post hoc, hierarchical linear regression</v>
      </c>
      <c r="D11" s="53" t="s">
        <v>1376</v>
      </c>
      <c r="E11" s="55" t="s">
        <v>1377</v>
      </c>
      <c r="F11" s="55">
        <f>($H8*$K8-$L8*$I8)/($H8*$M8-$L8^2)</f>
        <v>0.27409014421405425</v>
      </c>
      <c r="G11" s="55"/>
      <c r="H11" s="55"/>
      <c r="I11" s="55"/>
      <c r="J11" s="181"/>
      <c r="K11" s="53"/>
      <c r="L11" s="53"/>
      <c r="M11" s="53"/>
    </row>
    <row r="12" spans="1:13" ht="50.25" customHeight="1" x14ac:dyDescent="0.2">
      <c r="A12" s="34" t="s">
        <v>1896</v>
      </c>
      <c r="B12" s="67" t="s">
        <v>2215</v>
      </c>
      <c r="D12" s="53"/>
      <c r="E12" s="53" t="s">
        <v>1378</v>
      </c>
      <c r="F12" s="55">
        <f>($H8*$K8-$L8*$I8)/SQRT(($H8*$M8-$L8^2)*($H8*$J8-$I8^2))</f>
        <v>0.47120681060272973</v>
      </c>
      <c r="G12" s="53"/>
      <c r="H12" s="53"/>
      <c r="I12" s="53"/>
      <c r="J12" s="181"/>
      <c r="K12" s="53"/>
      <c r="L12" s="53"/>
      <c r="M12" s="53"/>
    </row>
    <row r="13" spans="1:13" ht="78" customHeight="1" x14ac:dyDescent="0.2">
      <c r="A13" s="34" t="s">
        <v>1326</v>
      </c>
      <c r="B13" s="33" t="str">
        <f ca="1">INDIRECT("main!"&amp;"AZ"&amp;B$1+2)</f>
        <v xml:space="preserve">Innate 5-HTTLPR linked variation in dmPFC activity predicts psychophysiological responsivity to pending threats. </v>
      </c>
      <c r="D13" s="53"/>
      <c r="E13" s="56" t="s">
        <v>1379</v>
      </c>
      <c r="F13" s="53">
        <f>F12^2</f>
        <v>0.22203585835839681</v>
      </c>
      <c r="G13" s="53"/>
      <c r="H13" s="53"/>
      <c r="I13" s="53"/>
      <c r="J13" s="181"/>
      <c r="K13" s="53"/>
      <c r="L13" s="53"/>
      <c r="M13" s="53"/>
    </row>
    <row r="14" spans="1:13" ht="16" x14ac:dyDescent="0.2">
      <c r="A14" s="34" t="s">
        <v>1852</v>
      </c>
      <c r="B14" s="33" t="str">
        <f>D4&amp;" (N = "&amp;H4&amp;"); "&amp;D5&amp;" (N = "&amp;H5&amp;"); "&amp;D6&amp;" (N = "&amp;H6&amp;")"</f>
        <v>LL (N = 16); SL (N = 53); SS (N = 30)</v>
      </c>
      <c r="E14" s="53"/>
      <c r="F14" s="53"/>
      <c r="G14" s="53"/>
      <c r="H14" s="53"/>
      <c r="I14" s="53"/>
      <c r="J14" s="181"/>
      <c r="K14" s="53"/>
      <c r="L14" s="53"/>
      <c r="M14" s="53"/>
    </row>
    <row r="15" spans="1:13" ht="16" x14ac:dyDescent="0.2">
      <c r="A15" s="34" t="s">
        <v>1848</v>
      </c>
      <c r="B15" s="62">
        <f>F12</f>
        <v>0.47120681060272973</v>
      </c>
      <c r="J15" s="181"/>
      <c r="K15" s="53"/>
    </row>
    <row r="16" spans="1:13" ht="16" x14ac:dyDescent="0.2">
      <c r="A16" s="34" t="s">
        <v>1897</v>
      </c>
      <c r="B16" s="62" t="s">
        <v>2070</v>
      </c>
      <c r="J16" s="181"/>
      <c r="K16" s="53"/>
    </row>
    <row r="17" spans="1:11" ht="16" x14ac:dyDescent="0.2">
      <c r="A17" s="204" t="s">
        <v>2189</v>
      </c>
      <c r="B17" s="33">
        <v>0.27700000000000002</v>
      </c>
      <c r="J17" s="181"/>
    </row>
    <row r="18" spans="1:11" ht="16" x14ac:dyDescent="0.2">
      <c r="A18" s="64" t="s">
        <v>1401</v>
      </c>
      <c r="B18" s="33">
        <v>0.16700000000000001</v>
      </c>
      <c r="J18" s="181"/>
    </row>
    <row r="19" spans="1:11" ht="16" x14ac:dyDescent="0.2">
      <c r="A19" s="64" t="s">
        <v>1346</v>
      </c>
      <c r="B19" s="33" t="s">
        <v>359</v>
      </c>
      <c r="J19" s="181"/>
      <c r="K19" s="53"/>
    </row>
    <row r="20" spans="1:11" ht="16" x14ac:dyDescent="0.2">
      <c r="A20" s="64" t="s">
        <v>1388</v>
      </c>
      <c r="B20" s="33" t="s">
        <v>2169</v>
      </c>
      <c r="J20" s="181"/>
    </row>
    <row r="21" spans="1:11" x14ac:dyDescent="0.2">
      <c r="A21" s="64" t="s">
        <v>1390</v>
      </c>
    </row>
    <row r="22" spans="1:11" x14ac:dyDescent="0.2">
      <c r="A22" s="34" t="s">
        <v>1387</v>
      </c>
      <c r="B22" s="67"/>
    </row>
    <row r="23" spans="1:11" x14ac:dyDescent="0.2">
      <c r="B23" s="57"/>
    </row>
    <row r="24" spans="1:11" s="140" customFormat="1" x14ac:dyDescent="0.2">
      <c r="A24" s="138" t="s">
        <v>1746</v>
      </c>
      <c r="B24" s="139"/>
    </row>
    <row r="25" spans="1:11" s="136" customFormat="1" ht="30" x14ac:dyDescent="0.2">
      <c r="A25" s="137" t="s">
        <v>1753</v>
      </c>
      <c r="B25" s="137" t="s">
        <v>2259</v>
      </c>
    </row>
    <row r="26" spans="1:11" s="136" customFormat="1" x14ac:dyDescent="0.2">
      <c r="A26" s="137" t="s">
        <v>1681</v>
      </c>
      <c r="B26" s="137">
        <f ca="1">INDIRECT("N_SNPs!"&amp;"L"&amp;B$1+2)</f>
        <v>0</v>
      </c>
    </row>
    <row r="27" spans="1:11" s="136" customFormat="1" x14ac:dyDescent="0.2">
      <c r="A27" s="137" t="s">
        <v>1747</v>
      </c>
      <c r="B27" s="137">
        <f ca="1">INDIRECT("N_SNPs!"&amp;"M"&amp;B$1+2)</f>
        <v>1</v>
      </c>
    </row>
    <row r="28" spans="1:11" s="136" customFormat="1" x14ac:dyDescent="0.2">
      <c r="A28" s="137" t="s">
        <v>1683</v>
      </c>
      <c r="B28" s="137" t="str">
        <f ca="1">INDIRECT("N_SNPs!"&amp;"N"&amp;B$1+2)</f>
        <v>not needed</v>
      </c>
    </row>
    <row r="29" spans="1:11" s="136" customFormat="1" x14ac:dyDescent="0.2">
      <c r="A29" s="137" t="s">
        <v>2171</v>
      </c>
      <c r="B29" s="137">
        <f ca="1">INDIRECT("N_SNPs!"&amp;"O"&amp;B$1+2)</f>
        <v>1</v>
      </c>
    </row>
    <row r="30" spans="1:11" s="136" customFormat="1" ht="30" x14ac:dyDescent="0.2">
      <c r="A30" s="137" t="s">
        <v>2170</v>
      </c>
      <c r="B30" s="137">
        <v>0</v>
      </c>
    </row>
    <row r="31" spans="1:11" s="136" customFormat="1" ht="60" x14ac:dyDescent="0.2">
      <c r="A31" s="137" t="s">
        <v>2172</v>
      </c>
      <c r="B31" s="137">
        <f ca="1">INDIRECT("N_SNPs!"&amp;"Q"&amp;B$1+2)</f>
        <v>5</v>
      </c>
    </row>
    <row r="32" spans="1:11" s="136" customFormat="1" x14ac:dyDescent="0.2">
      <c r="A32" s="137" t="s">
        <v>1686</v>
      </c>
      <c r="B32" s="137">
        <f ca="1">INDIRECT("N_SNPs!"&amp;"R"&amp;B$1+2)</f>
        <v>0</v>
      </c>
    </row>
    <row r="33" spans="1:3" s="172" customFormat="1" x14ac:dyDescent="0.2">
      <c r="A33" s="171" t="s">
        <v>1808</v>
      </c>
      <c r="B33" s="171">
        <v>1</v>
      </c>
    </row>
    <row r="34" spans="1:3" s="172" customFormat="1" x14ac:dyDescent="0.2">
      <c r="A34" s="203" t="s">
        <v>2177</v>
      </c>
      <c r="B34" s="171">
        <v>0</v>
      </c>
    </row>
    <row r="35" spans="1:3" s="172" customFormat="1" ht="60" x14ac:dyDescent="0.2">
      <c r="A35" s="171" t="s">
        <v>1810</v>
      </c>
      <c r="B35" s="171">
        <v>5</v>
      </c>
    </row>
    <row r="36" spans="1:3" s="174" customFormat="1" ht="60" x14ac:dyDescent="0.2">
      <c r="A36" s="173" t="s">
        <v>1835</v>
      </c>
      <c r="B36" s="173" t="s">
        <v>2278</v>
      </c>
    </row>
    <row r="37" spans="1:3" s="174" customFormat="1" ht="120" x14ac:dyDescent="0.2">
      <c r="A37" s="173" t="s">
        <v>2272</v>
      </c>
      <c r="B37" s="173" t="s">
        <v>2277</v>
      </c>
    </row>
    <row r="38" spans="1:3" s="174" customFormat="1" ht="30" x14ac:dyDescent="0.2">
      <c r="A38" s="173" t="s">
        <v>2299</v>
      </c>
      <c r="B38" s="173">
        <v>0</v>
      </c>
    </row>
    <row r="39" spans="1:3" s="174" customFormat="1" x14ac:dyDescent="0.2">
      <c r="A39" s="173" t="s">
        <v>2273</v>
      </c>
      <c r="B39" s="173">
        <v>2</v>
      </c>
      <c r="C39" s="174" t="s">
        <v>2180</v>
      </c>
    </row>
    <row r="40" spans="1:3" s="174" customFormat="1" ht="30" x14ac:dyDescent="0.2">
      <c r="A40" s="173" t="s">
        <v>2274</v>
      </c>
      <c r="B40" s="173">
        <v>0</v>
      </c>
    </row>
    <row r="41" spans="1:3" s="176" customFormat="1" x14ac:dyDescent="0.2">
      <c r="A41" s="175" t="s">
        <v>1815</v>
      </c>
      <c r="B41" s="175" t="s">
        <v>2184</v>
      </c>
    </row>
    <row r="42" spans="1:3" s="176" customFormat="1" x14ac:dyDescent="0.2">
      <c r="A42" s="175" t="s">
        <v>1881</v>
      </c>
      <c r="B42" s="175" t="s">
        <v>494</v>
      </c>
    </row>
    <row r="43" spans="1:3" x14ac:dyDescent="0.2">
      <c r="A43" s="34" t="s">
        <v>1398</v>
      </c>
      <c r="B43" s="33" t="s">
        <v>1866</v>
      </c>
    </row>
    <row r="44" spans="1:3" x14ac:dyDescent="0.2">
      <c r="A44" s="34" t="s">
        <v>1410</v>
      </c>
    </row>
    <row r="46" spans="1:3" x14ac:dyDescent="0.2">
      <c r="A46" s="34" t="s">
        <v>1416</v>
      </c>
      <c r="B46" s="66" t="s">
        <v>1926</v>
      </c>
    </row>
    <row r="47" spans="1:3" x14ac:dyDescent="0.2">
      <c r="B47" s="33" t="s">
        <v>2071</v>
      </c>
    </row>
    <row r="48" spans="1:3" x14ac:dyDescent="0.2">
      <c r="A48" s="34" t="s">
        <v>1629</v>
      </c>
      <c r="B48" s="57" t="s">
        <v>1630</v>
      </c>
    </row>
    <row r="49" spans="2:2" ht="90" x14ac:dyDescent="0.2">
      <c r="B49" s="66" t="s">
        <v>1640</v>
      </c>
    </row>
    <row r="51" spans="2:2" ht="75" x14ac:dyDescent="0.2">
      <c r="B51" s="33" t="s">
        <v>1837</v>
      </c>
    </row>
    <row r="53" spans="2:2" ht="42" x14ac:dyDescent="0.2">
      <c r="B53" s="33" t="s">
        <v>1838</v>
      </c>
    </row>
    <row r="54" spans="2:2" ht="300" x14ac:dyDescent="0.2">
      <c r="B54" s="33" t="s">
        <v>2310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zoomScale="130" zoomScaleNormal="130" zoomScalePageLayoutView="130" workbookViewId="0">
      <pane xSplit="1" ySplit="1" topLeftCell="C27" activePane="bottomRight" state="frozen"/>
      <selection pane="topRight" activeCell="B1" sqref="B1"/>
      <selection pane="bottomLeft" activeCell="A2" sqref="A2"/>
      <selection pane="bottomRight" activeCell="L29" sqref="L29"/>
    </sheetView>
  </sheetViews>
  <sheetFormatPr baseColWidth="10" defaultColWidth="10.83203125" defaultRowHeight="15" x14ac:dyDescent="0.2"/>
  <cols>
    <col min="1" max="2" width="10.83203125" style="82"/>
    <col min="3" max="3" width="11.83203125" style="82" customWidth="1"/>
    <col min="4" max="4" width="2.33203125" style="82" customWidth="1"/>
    <col min="5" max="6" width="10.83203125" style="82"/>
    <col min="7" max="7" width="2.83203125" style="82" customWidth="1"/>
    <col min="8" max="8" width="10.83203125" style="82"/>
    <col min="9" max="9" width="3.33203125" style="82" customWidth="1"/>
    <col min="10" max="10" width="10.83203125" style="82"/>
    <col min="11" max="11" width="51.83203125" style="82" customWidth="1"/>
    <col min="12" max="12" width="49.5" style="82" customWidth="1"/>
    <col min="13" max="13" width="5.33203125" style="207" customWidth="1"/>
    <col min="14" max="14" width="3.33203125" style="82" customWidth="1"/>
    <col min="15" max="16384" width="10.83203125" style="82"/>
  </cols>
  <sheetData>
    <row r="1" spans="1:16" ht="60" x14ac:dyDescent="0.2">
      <c r="A1" s="34" t="s">
        <v>1338</v>
      </c>
      <c r="B1" s="34" t="s">
        <v>2166</v>
      </c>
      <c r="C1" s="34" t="s">
        <v>2161</v>
      </c>
      <c r="D1" s="34"/>
      <c r="E1" s="34" t="s">
        <v>2162</v>
      </c>
      <c r="F1" s="34" t="s">
        <v>2163</v>
      </c>
      <c r="G1" s="34"/>
      <c r="H1" s="34" t="s">
        <v>2164</v>
      </c>
      <c r="I1" s="34"/>
      <c r="J1" s="34" t="s">
        <v>2165</v>
      </c>
      <c r="K1" s="34" t="s">
        <v>2182</v>
      </c>
      <c r="L1" s="82" t="s">
        <v>2197</v>
      </c>
    </row>
    <row r="2" spans="1:16" ht="45" x14ac:dyDescent="0.2">
      <c r="A2" s="82">
        <v>1</v>
      </c>
      <c r="B2" s="82">
        <f ca="1">multtests_summary!V2</f>
        <v>2</v>
      </c>
      <c r="C2" s="82">
        <f ca="1">multtests_summary!G2</f>
        <v>8</v>
      </c>
      <c r="D2" s="202" t="str">
        <f ca="1">VLOOKUP(multtests_summary!H2,chart_multitests!$N$2:$O$5,2,0)</f>
        <v>u</v>
      </c>
      <c r="E2" s="82">
        <f ca="1">multtests_summary!K2</f>
        <v>2</v>
      </c>
      <c r="F2" s="82">
        <f ca="1">multtests_summary!M2</f>
        <v>4</v>
      </c>
      <c r="G2" s="202" t="str">
        <f ca="1">VLOOKUP(multtests_summary!N2,chart_multitests!$N$2:$O$5,2,0)</f>
        <v>x</v>
      </c>
      <c r="H2" s="82">
        <f ca="1">multtests_summary!T2</f>
        <v>0</v>
      </c>
      <c r="J2" s="82">
        <f ca="1">IF(AND(H2&gt;0,F2&gt;0),PRODUCT(B2:C2,E2:F2,H2),IF(F2&gt;0,PRODUCT(B2:C2,E2:F2),PRODUCT(B2,C2,E2,H2)))</f>
        <v>128</v>
      </c>
      <c r="K2" s="34" t="str">
        <f ca="1">multtests_summary!W2</f>
        <v xml:space="preserve">To control for multiple testing in the discovery sample, Bonferroni correction was used: analyses of eight SNPs, a total of four subscales, and two sexes separately, yielding 64 independent tests. </v>
      </c>
      <c r="L2" s="34" t="str">
        <f ca="1">multtests_summary!Z2</f>
        <v>n/a</v>
      </c>
      <c r="M2" s="208"/>
      <c r="N2" s="82">
        <v>0</v>
      </c>
      <c r="O2" s="82" t="s">
        <v>2178</v>
      </c>
    </row>
    <row r="3" spans="1:16" ht="17" x14ac:dyDescent="0.2">
      <c r="A3" s="82">
        <v>2</v>
      </c>
      <c r="B3" s="82">
        <f ca="1">multtests_summary!V3</f>
        <v>1</v>
      </c>
      <c r="C3" s="82">
        <f ca="1">multtests_summary!G3</f>
        <v>3</v>
      </c>
      <c r="D3" s="202" t="str">
        <f ca="1">VLOOKUP(multtests_summary!H3,chart_multitests!$N$2:$O$5,2,0)</f>
        <v>u</v>
      </c>
      <c r="E3" s="82">
        <f ca="1">multtests_summary!K3</f>
        <v>1</v>
      </c>
      <c r="F3" s="82">
        <f ca="1">multtests_summary!M3</f>
        <v>5</v>
      </c>
      <c r="G3" s="202" t="str">
        <f ca="1">VLOOKUP(multtests_summary!N3,chart_multitests!$N$2:$O$5,2,0)</f>
        <v>c</v>
      </c>
      <c r="H3" s="82" t="str">
        <f ca="1">multtests_summary!T3</f>
        <v>n/a</v>
      </c>
      <c r="J3" s="82">
        <f t="shared" ref="J3:J31" ca="1" si="0">IF(AND(H3&gt;0,F3&gt;0),PRODUCT(B3:C3,E3:F3,H3),IF(F3&gt;0,PRODUCT(B3:C3,E3:F3),PRODUCT(B3,C3,E3,H3)))</f>
        <v>15</v>
      </c>
      <c r="K3" s="34" t="str">
        <f ca="1">multtests_summary!W3</f>
        <v>None reported (Model-fitting approach - SEM with bootstrapping)</v>
      </c>
      <c r="L3" s="34" t="str">
        <f ca="1">multtests_summary!Z3</f>
        <v>n/a</v>
      </c>
      <c r="M3" s="208"/>
      <c r="N3" s="82">
        <v>1</v>
      </c>
      <c r="O3" s="82" t="s">
        <v>2175</v>
      </c>
    </row>
    <row r="4" spans="1:16" ht="17" x14ac:dyDescent="0.2">
      <c r="A4" s="82">
        <v>3</v>
      </c>
      <c r="B4" s="82">
        <f ca="1">multtests_summary!V4</f>
        <v>1</v>
      </c>
      <c r="C4" s="82">
        <f ca="1">multtests_summary!G4</f>
        <v>2</v>
      </c>
      <c r="D4" s="202" t="str">
        <f ca="1">VLOOKUP(multtests_summary!H4,chart_multitests!$N$2:$O$5,2,0)</f>
        <v>c</v>
      </c>
      <c r="E4" s="82">
        <f ca="1">multtests_summary!K4</f>
        <v>1</v>
      </c>
      <c r="F4" s="82">
        <f ca="1">multtests_summary!M4</f>
        <v>7</v>
      </c>
      <c r="G4" s="202" t="str">
        <f ca="1">VLOOKUP(multtests_summary!N4,chart_multitests!$N$2:$O$5,2,0)</f>
        <v>x</v>
      </c>
      <c r="H4" s="82">
        <f ca="1">multtests_summary!T4</f>
        <v>0</v>
      </c>
      <c r="J4" s="82">
        <f t="shared" ca="1" si="0"/>
        <v>14</v>
      </c>
      <c r="K4" s="34" t="str">
        <f ca="1">multtests_summary!W4</f>
        <v>None reported</v>
      </c>
      <c r="L4" s="34" t="str">
        <f ca="1">multtests_summary!Z4</f>
        <v>n/a</v>
      </c>
      <c r="M4" s="208"/>
      <c r="N4" s="82">
        <v>2</v>
      </c>
      <c r="O4" s="82" t="s">
        <v>1339</v>
      </c>
    </row>
    <row r="5" spans="1:16" ht="45" x14ac:dyDescent="0.2">
      <c r="A5" s="82">
        <v>4</v>
      </c>
      <c r="B5" s="82">
        <f ca="1">multtests_summary!V5</f>
        <v>2</v>
      </c>
      <c r="C5" s="82">
        <f ca="1">multtests_summary!G5</f>
        <v>1</v>
      </c>
      <c r="D5" s="202" t="str">
        <f ca="1">VLOOKUP(multtests_summary!H5,chart_multitests!$N$2:$O$5,2,0)</f>
        <v xml:space="preserve"> </v>
      </c>
      <c r="E5" s="82">
        <f ca="1">multtests_summary!K5</f>
        <v>1</v>
      </c>
      <c r="F5" s="82">
        <f ca="1">multtests_summary!M5</f>
        <v>7</v>
      </c>
      <c r="G5" s="202" t="str">
        <f ca="1">VLOOKUP(multtests_summary!N5,chart_multitests!$N$2:$O$5,2,0)</f>
        <v>x</v>
      </c>
      <c r="H5" s="82">
        <f ca="1">multtests_summary!T5</f>
        <v>2</v>
      </c>
      <c r="J5" s="82">
        <f t="shared" ca="1" si="0"/>
        <v>28</v>
      </c>
      <c r="K5" s="34" t="str">
        <f ca="1">multtests_summary!W5</f>
        <v>None reported</v>
      </c>
      <c r="L5" s="34" t="str">
        <f ca="1">multtests_summary!Z5</f>
        <v>Discovery: peak voxel FWE corrected for the ROI. Replication: peak voxel FWE corrected for 6-mm sphere around peak voxel from discovery study</v>
      </c>
      <c r="M5" s="208"/>
      <c r="N5" s="82">
        <v>3</v>
      </c>
      <c r="O5" s="82" t="s">
        <v>2176</v>
      </c>
    </row>
    <row r="6" spans="1:16" ht="30" x14ac:dyDescent="0.2">
      <c r="A6" s="82">
        <v>5</v>
      </c>
      <c r="B6" s="82">
        <f ca="1">multtests_summary!V6</f>
        <v>2</v>
      </c>
      <c r="C6" s="82">
        <f ca="1">multtests_summary!G6</f>
        <v>50</v>
      </c>
      <c r="D6" s="202" t="str">
        <f ca="1">VLOOKUP(multtests_summary!H6,chart_multitests!$N$2:$O$5,2,0)</f>
        <v>c</v>
      </c>
      <c r="E6" s="82">
        <f ca="1">multtests_summary!K6</f>
        <v>3</v>
      </c>
      <c r="F6" s="82">
        <f ca="1">multtests_summary!M6</f>
        <v>1</v>
      </c>
      <c r="G6" s="202" t="str">
        <f ca="1">VLOOKUP(multtests_summary!N6,chart_multitests!$N$2:$O$5,2,0)</f>
        <v xml:space="preserve"> </v>
      </c>
      <c r="H6" s="82">
        <f ca="1">multtests_summary!T6</f>
        <v>0</v>
      </c>
      <c r="J6" s="82">
        <f t="shared" ca="1" si="0"/>
        <v>300</v>
      </c>
      <c r="K6" s="34" t="str">
        <f ca="1">multtests_summary!W6</f>
        <v>Bonferroni corrections were used to select significant association results for all analyses.</v>
      </c>
      <c r="L6" s="34" t="str">
        <f ca="1">multtests_summary!Z6</f>
        <v>n/a</v>
      </c>
      <c r="M6" s="208"/>
    </row>
    <row r="7" spans="1:16" ht="180" x14ac:dyDescent="0.2">
      <c r="A7" s="82">
        <v>6</v>
      </c>
      <c r="B7" s="82">
        <f ca="1">multtests_summary!V7</f>
        <v>1</v>
      </c>
      <c r="C7" s="82">
        <f ca="1">multtests_summary!G7</f>
        <v>1</v>
      </c>
      <c r="D7" s="202" t="str">
        <f ca="1">VLOOKUP(multtests_summary!H7,chart_multitests!$N$2:$O$5,2,0)</f>
        <v xml:space="preserve"> </v>
      </c>
      <c r="E7" s="82">
        <f ca="1">multtests_summary!K7</f>
        <v>1</v>
      </c>
      <c r="F7" s="82">
        <f ca="1">multtests_summary!M7</f>
        <v>1</v>
      </c>
      <c r="G7" s="202" t="str">
        <f ca="1">VLOOKUP(multtests_summary!N7,chart_multitests!$N$2:$O$5,2,0)</f>
        <v xml:space="preserve"> </v>
      </c>
      <c r="H7" s="82">
        <f ca="1">multtests_summary!T7</f>
        <v>2</v>
      </c>
      <c r="J7" s="82">
        <f t="shared" ca="1" si="0"/>
        <v>2</v>
      </c>
      <c r="K7" s="34" t="str">
        <f ca="1">multtests_summary!W7</f>
        <v xml:space="preserve">None reported. </v>
      </c>
      <c r="L7" s="34" t="str">
        <f ca="1">multtests_summary!Z7</f>
        <v>Sample 1 (Selected result): Contrasts to threat and safe cues were constructed in each subject to index threat-related responses. Single subject contrast maps subjected to random effects analyses. Whole-brain results thresholded at a cluster threshold of p &lt; .05 FWE corrected for multiple comparisons according to random field theory implemented in SPM (p &lt; .001 cluster forming threshold). In sample 2, used ROI giving significant genotype effects in sample 1 (dmPFC and insula) that showed a genotype effect in sample 1. In this way, effects in sample 1 were validated by the data from the same regions in sample 2.These clusters of interest defined using a cluster-defining threshold of .005 uncorrected</v>
      </c>
      <c r="M7" s="208"/>
      <c r="N7" s="82" t="s">
        <v>2167</v>
      </c>
    </row>
    <row r="8" spans="1:16" ht="60" x14ac:dyDescent="0.2">
      <c r="A8" s="82">
        <v>7</v>
      </c>
      <c r="B8" s="82">
        <f ca="1">multtests_summary!V8</f>
        <v>1</v>
      </c>
      <c r="C8" s="82">
        <f ca="1">multtests_summary!G8</f>
        <v>9</v>
      </c>
      <c r="D8" s="202" t="str">
        <f ca="1">VLOOKUP(multtests_summary!H8,chart_multitests!$N$2:$O$5,2,0)</f>
        <v>c</v>
      </c>
      <c r="E8" s="82">
        <f ca="1">multtests_summary!K8</f>
        <v>1</v>
      </c>
      <c r="F8" s="82">
        <f ca="1">multtests_summary!M8</f>
        <v>5</v>
      </c>
      <c r="G8" s="202" t="str">
        <f ca="1">VLOOKUP(multtests_summary!N8,chart_multitests!$N$2:$O$5,2,0)</f>
        <v>c</v>
      </c>
      <c r="H8" s="82">
        <f ca="1">multtests_summary!T8</f>
        <v>0</v>
      </c>
      <c r="J8" s="82">
        <f t="shared" ca="1" si="0"/>
        <v>45</v>
      </c>
      <c r="K8" s="34" t="str">
        <f ca="1">multtests_summary!W8</f>
        <v xml:space="preserve">We used spectral decomposition to estimate the number of effectively independent SNPs tested after accounting for the LD between neighboring SNPs, to generate a P value threshold to retain an experiment-wide alpha value of P = 0.008512. </v>
      </c>
      <c r="L8" s="34" t="str">
        <f ca="1">multtests_summary!Z8</f>
        <v>n/a</v>
      </c>
      <c r="M8" s="208"/>
      <c r="N8" s="82" t="s">
        <v>2173</v>
      </c>
    </row>
    <row r="9" spans="1:16" ht="60" x14ac:dyDescent="0.2">
      <c r="A9" s="82">
        <v>8</v>
      </c>
      <c r="B9" s="82">
        <f ca="1">multtests_summary!V9</f>
        <v>1</v>
      </c>
      <c r="C9" s="82">
        <f ca="1">multtests_summary!G9</f>
        <v>9</v>
      </c>
      <c r="D9" s="202" t="str">
        <f ca="1">VLOOKUP(multtests_summary!H9,chart_multitests!$N$2:$O$5,2,0)</f>
        <v>x</v>
      </c>
      <c r="E9" s="82">
        <f ca="1">multtests_summary!K9</f>
        <v>1</v>
      </c>
      <c r="F9" s="82">
        <f ca="1">multtests_summary!M9</f>
        <v>10</v>
      </c>
      <c r="G9" s="202" t="str">
        <f ca="1">VLOOKUP(multtests_summary!N9,chart_multitests!$N$2:$O$5,2,0)</f>
        <v>c</v>
      </c>
      <c r="H9" s="82">
        <f ca="1">multtests_summary!T9</f>
        <v>0</v>
      </c>
      <c r="J9" s="82">
        <f t="shared" ca="1" si="0"/>
        <v>90</v>
      </c>
      <c r="K9" s="34" t="str">
        <f ca="1">multtests_summary!W9</f>
        <v xml:space="preserve">Based on previous findings for LOAD, we had strong prior evidence for all of our hypotheses, so we did not adjust for multiple comparisons; a P- value &lt; 0.05 was considered statistically significant </v>
      </c>
      <c r="L9" s="34" t="str">
        <f ca="1">multtests_summary!Z9</f>
        <v>n/a</v>
      </c>
      <c r="M9" s="208"/>
      <c r="N9" s="82" t="s">
        <v>2168</v>
      </c>
    </row>
    <row r="10" spans="1:16" ht="45" x14ac:dyDescent="0.2">
      <c r="A10" s="82">
        <v>9</v>
      </c>
      <c r="B10" s="82">
        <f ca="1">multtests_summary!V10</f>
        <v>1</v>
      </c>
      <c r="C10" s="82">
        <f ca="1">multtests_summary!G10</f>
        <v>1</v>
      </c>
      <c r="D10" s="202" t="str">
        <f ca="1">VLOOKUP(multtests_summary!H10,chart_multitests!$N$2:$O$5,2,0)</f>
        <v xml:space="preserve"> </v>
      </c>
      <c r="E10" s="82">
        <f ca="1">multtests_summary!K10</f>
        <v>1</v>
      </c>
      <c r="F10" s="82">
        <f ca="1">multtests_summary!M10</f>
        <v>14</v>
      </c>
      <c r="G10" s="202" t="str">
        <f ca="1">VLOOKUP(multtests_summary!N10,chart_multitests!$N$2:$O$5,2,0)</f>
        <v>c</v>
      </c>
      <c r="H10" s="82">
        <f ca="1">multtests_summary!T10</f>
        <v>0</v>
      </c>
      <c r="J10" s="82">
        <f t="shared" ca="1" si="0"/>
        <v>14</v>
      </c>
      <c r="K10" s="34" t="str">
        <f ca="1">multtests_summary!W10</f>
        <v>p value of 0.01 was used instead of 0.05 to balance the risk of type I and type II errors, due to the large number of statistical tests performed.</v>
      </c>
      <c r="L10" s="34" t="str">
        <f ca="1">multtests_summary!Z10</f>
        <v>n/a</v>
      </c>
      <c r="M10" s="208"/>
    </row>
    <row r="11" spans="1:16" ht="135" x14ac:dyDescent="0.2">
      <c r="A11" s="82">
        <v>10</v>
      </c>
      <c r="B11" s="82">
        <f ca="1">multtests_summary!V11</f>
        <v>1</v>
      </c>
      <c r="C11" s="82">
        <f ca="1">multtests_summary!G11</f>
        <v>1</v>
      </c>
      <c r="D11" s="202" t="str">
        <f ca="1">VLOOKUP(multtests_summary!H11,chart_multitests!$N$2:$O$5,2,0)</f>
        <v xml:space="preserve"> </v>
      </c>
      <c r="E11" s="82">
        <f ca="1">multtests_summary!K11</f>
        <v>1</v>
      </c>
      <c r="F11" s="82">
        <f ca="1">multtests_summary!M11</f>
        <v>19</v>
      </c>
      <c r="G11" s="202" t="str">
        <f ca="1">VLOOKUP(multtests_summary!N11,chart_multitests!$N$2:$O$5,2,0)</f>
        <v>x</v>
      </c>
      <c r="H11" s="82">
        <f ca="1">multtests_summary!T11</f>
        <v>4</v>
      </c>
      <c r="J11" s="82">
        <f t="shared" ca="1" si="0"/>
        <v>76</v>
      </c>
      <c r="K11" s="34" t="str">
        <f ca="1">multtests_summary!W11</f>
        <v xml:space="preserve">To correct for multiple comparisons, an alpha level of 0.05/9 (.0055) was used as the threshold for significance for internal state analyses (9 time points) and an alpha level of 0.05 /0 (.005) was used as the threshold for significance for perceptual ratings data (5 perceptual qualities per stimulus, 2 types of stimuli). </v>
      </c>
      <c r="L11" s="34" t="str">
        <f ca="1">multtests_summary!Z11</f>
        <v xml:space="preserve">t-map threshold was set at p uncorrected &lt; 0.005 and a 5-voxel cluster size. Unpredicted responses were considered significant at a peak-level p &lt; 0.05 familywise error (FWE) corrected across the entire brain for multiple comparisons; none were identified. For predicted responses, a region of interest (ROI) approach was used. ROIs included 3 regions of amygdala plus caudate. Peaks in ROI analyses were considered significant at a peak level of p  &lt; 0.05 FWE corrected across the total number of voxels across the ROI. </v>
      </c>
      <c r="M11" s="208"/>
    </row>
    <row r="12" spans="1:16" ht="180" x14ac:dyDescent="0.2">
      <c r="A12" s="82">
        <v>11</v>
      </c>
      <c r="B12" s="82">
        <f ca="1">multtests_summary!V12</f>
        <v>1</v>
      </c>
      <c r="C12" s="82">
        <f ca="1">multtests_summary!G12</f>
        <v>1</v>
      </c>
      <c r="D12" s="202" t="str">
        <f ca="1">VLOOKUP(multtests_summary!H12,chart_multitests!$N$2:$O$5,2,0)</f>
        <v xml:space="preserve"> </v>
      </c>
      <c r="E12" s="82">
        <f ca="1">multtests_summary!K12</f>
        <v>1</v>
      </c>
      <c r="F12" s="82">
        <f ca="1">multtests_summary!M12</f>
        <v>1</v>
      </c>
      <c r="G12" s="202" t="str">
        <f ca="1">VLOOKUP(multtests_summary!N12,chart_multitests!$N$2:$O$5,2,0)</f>
        <v xml:space="preserve"> </v>
      </c>
      <c r="H12" s="82">
        <f ca="1">multtests_summary!T12</f>
        <v>3</v>
      </c>
      <c r="J12" s="82">
        <f t="shared" ca="1" si="0"/>
        <v>3</v>
      </c>
      <c r="K12" s="34" t="str">
        <f ca="1">multtests_summary!W12</f>
        <v>Not needed except for neuro measures</v>
      </c>
      <c r="L12" s="34" t="str">
        <f ca="1">multtests_summary!Z12</f>
        <v>For DTI and fMRI  used uncorrected, lenient statistical thresholds for (P &lt; 0.01, k = 10 for the bilateral hippocampus, and P &lt; 0.005, k = 30 for the entire brain) to detect small statistical effects. For the DTI analysis, three hippocampus- related fiber tracts (fornix, cingulum and uncinate fasciculus) were added to the hippocampus mask.  Structural MRI: to control for multiple statistical testing within ROI, maintained cluster-level false positive detection rate at p &lt; .05, using a voxel-level threshold of p &lt;.01 with a cluster extent (k) empirically determined by Monte Carlo simulation. Also did exploratory whole-brain analyses at a lenient, exploratory threshold (p &lt; .001, cluster size k=100)</v>
      </c>
      <c r="M12" s="208"/>
    </row>
    <row r="13" spans="1:16" ht="120" x14ac:dyDescent="0.2">
      <c r="A13" s="82">
        <v>12</v>
      </c>
      <c r="B13" s="82">
        <f ca="1">multtests_summary!V13</f>
        <v>1</v>
      </c>
      <c r="C13" s="82">
        <f ca="1">multtests_summary!G13</f>
        <v>36</v>
      </c>
      <c r="D13" s="202" t="str">
        <f ca="1">VLOOKUP(multtests_summary!H13,chart_multitests!$N$2:$O$5,2,0)</f>
        <v>u</v>
      </c>
      <c r="E13" s="82">
        <f ca="1">multtests_summary!K13</f>
        <v>1</v>
      </c>
      <c r="F13" s="82">
        <f ca="1">multtests_summary!M13</f>
        <v>1</v>
      </c>
      <c r="G13" s="202" t="str">
        <f ca="1">VLOOKUP(multtests_summary!N13,chart_multitests!$N$2:$O$5,2,0)</f>
        <v xml:space="preserve"> </v>
      </c>
      <c r="H13" s="82">
        <f ca="1">multtests_summary!T13</f>
        <v>0</v>
      </c>
      <c r="J13" s="82">
        <f t="shared" ca="1" si="0"/>
        <v>36</v>
      </c>
      <c r="K13" s="34" t="str">
        <f ca="1">multtests_summary!W13</f>
        <v>To address the multiple hypothesis testing burden, we corrected for the number of independent haplotypes being tested in the TREM region.  Sequential approach: "Where we observed a genetic variant significantly associated with NP pathology, we then assessed the association between that variant and 5 secondary phenotypes, DP, amyloid, NFT, tau, and global cognitive decline, using a secondary Bonferroni-corrected significance threshold of p &lt; 0.01 "</v>
      </c>
      <c r="L13" s="34" t="str">
        <f ca="1">multtests_summary!Z13</f>
        <v>n/a</v>
      </c>
      <c r="M13" s="208"/>
      <c r="O13" s="82">
        <v>0</v>
      </c>
    </row>
    <row r="14" spans="1:16" ht="17" x14ac:dyDescent="0.2">
      <c r="A14" s="82">
        <v>13</v>
      </c>
      <c r="B14" s="82">
        <f ca="1">multtests_summary!V14</f>
        <v>1</v>
      </c>
      <c r="C14" s="82">
        <f ca="1">multtests_summary!G14</f>
        <v>1</v>
      </c>
      <c r="D14" s="202" t="str">
        <f ca="1">VLOOKUP(multtests_summary!H14,chart_multitests!$N$2:$O$5,2,0)</f>
        <v xml:space="preserve"> </v>
      </c>
      <c r="E14" s="82">
        <f ca="1">multtests_summary!K14</f>
        <v>1</v>
      </c>
      <c r="F14" s="82">
        <f ca="1">multtests_summary!M14</f>
        <v>15</v>
      </c>
      <c r="G14" s="202" t="str">
        <f ca="1">VLOOKUP(multtests_summary!N14,chart_multitests!$N$2:$O$5,2,0)</f>
        <v>x</v>
      </c>
      <c r="H14" s="82">
        <f ca="1">multtests_summary!T14</f>
        <v>0</v>
      </c>
      <c r="J14" s="82">
        <f t="shared" ca="1" si="0"/>
        <v>15</v>
      </c>
      <c r="K14" s="34" t="str">
        <f ca="1">multtests_summary!W14</f>
        <v>None reported</v>
      </c>
      <c r="L14" s="34" t="str">
        <f ca="1">multtests_summary!Z14</f>
        <v>n/a</v>
      </c>
      <c r="M14" s="208"/>
      <c r="O14" s="82">
        <v>1</v>
      </c>
      <c r="P14" s="82" t="s">
        <v>2174</v>
      </c>
    </row>
    <row r="15" spans="1:16" ht="30" x14ac:dyDescent="0.2">
      <c r="A15" s="82">
        <v>14</v>
      </c>
      <c r="B15" s="82">
        <f ca="1">multtests_summary!V15</f>
        <v>3</v>
      </c>
      <c r="C15" s="82">
        <f ca="1">multtests_summary!G15</f>
        <v>1</v>
      </c>
      <c r="D15" s="202" t="str">
        <f ca="1">VLOOKUP(multtests_summary!H15,chart_multitests!$N$2:$O$5,2,0)</f>
        <v xml:space="preserve"> </v>
      </c>
      <c r="E15" s="82">
        <f ca="1">multtests_summary!K15</f>
        <v>1</v>
      </c>
      <c r="F15" s="82">
        <f ca="1">multtests_summary!M15</f>
        <v>1</v>
      </c>
      <c r="G15" s="202" t="str">
        <f ca="1">VLOOKUP(multtests_summary!N15,chart_multitests!$N$2:$O$5,2,0)</f>
        <v xml:space="preserve"> </v>
      </c>
      <c r="H15" s="82">
        <f ca="1">multtests_summary!T15</f>
        <v>3</v>
      </c>
      <c r="J15" s="82">
        <f t="shared" ca="1" si="0"/>
        <v>9</v>
      </c>
      <c r="K15" s="34" t="str">
        <f ca="1">multtests_summary!W15</f>
        <v>Only reported adjustments for neuro measures</v>
      </c>
      <c r="L15" s="34" t="str">
        <f ca="1">multtests_summary!Z15</f>
        <v>FWE corrected for multiple comparisons across region of interest., p &lt; .05</v>
      </c>
      <c r="M15" s="208"/>
      <c r="O15" s="82">
        <v>2</v>
      </c>
      <c r="P15" s="82" t="s">
        <v>1339</v>
      </c>
    </row>
    <row r="16" spans="1:16" ht="45" x14ac:dyDescent="0.2">
      <c r="A16" s="82">
        <v>15</v>
      </c>
      <c r="B16" s="82">
        <f ca="1">multtests_summary!V16</f>
        <v>1</v>
      </c>
      <c r="C16" s="82">
        <f ca="1">multtests_summary!G16</f>
        <v>1</v>
      </c>
      <c r="D16" s="202" t="str">
        <f ca="1">VLOOKUP(multtests_summary!H16,chart_multitests!$N$2:$O$5,2,0)</f>
        <v xml:space="preserve"> </v>
      </c>
      <c r="E16" s="82">
        <f ca="1">multtests_summary!K16</f>
        <v>1</v>
      </c>
      <c r="F16" s="82">
        <f ca="1">multtests_summary!M16</f>
        <v>1</v>
      </c>
      <c r="G16" s="202" t="str">
        <f ca="1">VLOOKUP(multtests_summary!N16,chart_multitests!$N$2:$O$5,2,0)</f>
        <v xml:space="preserve"> </v>
      </c>
      <c r="H16" s="82">
        <f ca="1">multtests_summary!T16</f>
        <v>156</v>
      </c>
      <c r="J16" s="82">
        <f t="shared" ca="1" si="0"/>
        <v>156</v>
      </c>
      <c r="K16" s="34" t="str">
        <f ca="1">multtests_summary!W16</f>
        <v>Corrections for multiple contrasts in imaging</v>
      </c>
      <c r="L16" s="34" t="str">
        <f ca="1">multtests_summary!Z16</f>
        <v xml:space="preserve">Sidak corrected significance level to maintain α = .05 for testing 156 correlated outcomes (mean correlation ρ = .25) was determined at p 1.14 ^10-3 </v>
      </c>
      <c r="M16" s="208"/>
      <c r="O16" s="82">
        <v>3</v>
      </c>
      <c r="P16" s="82" t="s">
        <v>2175</v>
      </c>
    </row>
    <row r="17" spans="1:13" ht="30" x14ac:dyDescent="0.2">
      <c r="A17" s="82">
        <v>16</v>
      </c>
      <c r="B17" s="82">
        <f ca="1">multtests_summary!V17</f>
        <v>1</v>
      </c>
      <c r="C17" s="82">
        <f ca="1">multtests_summary!G17</f>
        <v>1</v>
      </c>
      <c r="D17" s="202" t="str">
        <f ca="1">VLOOKUP(multtests_summary!H17,chart_multitests!$N$2:$O$5,2,0)</f>
        <v xml:space="preserve"> </v>
      </c>
      <c r="E17" s="82">
        <f ca="1">multtests_summary!K17</f>
        <v>1</v>
      </c>
      <c r="F17" s="82">
        <f ca="1">multtests_summary!M17</f>
        <v>2</v>
      </c>
      <c r="G17" s="202" t="str">
        <f ca="1">VLOOKUP(multtests_summary!N17,chart_multitests!$N$2:$O$5,2,0)</f>
        <v>c</v>
      </c>
      <c r="H17" s="82">
        <f ca="1">multtests_summary!T17</f>
        <v>0</v>
      </c>
      <c r="J17" s="82">
        <f t="shared" ca="1" si="0"/>
        <v>2</v>
      </c>
      <c r="K17" s="34" t="str">
        <f ca="1">multtests_summary!W17</f>
        <v>Scheffe ́ correction for multiple comparisons (but for other associations; not needed for specific genetic hypothesis)</v>
      </c>
      <c r="L17" s="34" t="str">
        <f ca="1">multtests_summary!Z17</f>
        <v>n/a</v>
      </c>
      <c r="M17" s="208"/>
    </row>
    <row r="18" spans="1:13" ht="30" x14ac:dyDescent="0.2">
      <c r="A18" s="82">
        <v>17</v>
      </c>
      <c r="B18" s="82">
        <f ca="1">multtests_summary!V18</f>
        <v>1</v>
      </c>
      <c r="C18" s="82">
        <f ca="1">multtests_summary!G18</f>
        <v>107</v>
      </c>
      <c r="D18" s="202" t="str">
        <f ca="1">VLOOKUP(multtests_summary!H18,chart_multitests!$N$2:$O$5,2,0)</f>
        <v>c</v>
      </c>
      <c r="E18" s="82">
        <f ca="1">multtests_summary!K18</f>
        <v>1</v>
      </c>
      <c r="F18" s="82">
        <f ca="1">multtests_summary!M18</f>
        <v>2</v>
      </c>
      <c r="G18" s="202" t="str">
        <f ca="1">VLOOKUP(multtests_summary!N18,chart_multitests!$N$2:$O$5,2,0)</f>
        <v>u</v>
      </c>
      <c r="H18" s="82">
        <f ca="1">multtests_summary!T18</f>
        <v>0</v>
      </c>
      <c r="J18" s="82">
        <f t="shared" ca="1" si="0"/>
        <v>214</v>
      </c>
      <c r="K18" s="34" t="str">
        <f ca="1">multtests_summary!W18</f>
        <v xml:space="preserve">Used a single-step Monte- Carlo permutation method to test for genetic associations with our cognitive variables </v>
      </c>
      <c r="L18" s="34" t="str">
        <f ca="1">multtests_summary!Z18</f>
        <v>n/a</v>
      </c>
      <c r="M18" s="208"/>
    </row>
    <row r="19" spans="1:13" ht="45" x14ac:dyDescent="0.2">
      <c r="A19" s="82">
        <v>18</v>
      </c>
      <c r="B19" s="82">
        <f ca="1">multtests_summary!V19</f>
        <v>1</v>
      </c>
      <c r="C19" s="82">
        <f ca="1">multtests_summary!G19</f>
        <v>23</v>
      </c>
      <c r="D19" s="202" t="str">
        <f ca="1">VLOOKUP(multtests_summary!H19,chart_multitests!$N$2:$O$5,2,0)</f>
        <v>c</v>
      </c>
      <c r="E19" s="82">
        <f ca="1">multtests_summary!K19</f>
        <v>1</v>
      </c>
      <c r="F19" s="82">
        <f ca="1">multtests_summary!M19</f>
        <v>4</v>
      </c>
      <c r="G19" s="202" t="str">
        <f ca="1">VLOOKUP(multtests_summary!N19,chart_multitests!$N$2:$O$5,2,0)</f>
        <v>u</v>
      </c>
      <c r="H19" s="82">
        <f ca="1">multtests_summary!T19</f>
        <v>4</v>
      </c>
      <c r="J19" s="82">
        <f t="shared" ca="1" si="0"/>
        <v>368</v>
      </c>
      <c r="K19" s="34" t="str">
        <f ca="1">multtests_summary!W19</f>
        <v xml:space="preserve">Gene-wide significance was empirically determined with permutations that corrected for 23 SNPs (accounting for LD structure), 4 ROIs, &amp; N tests (main effects of SNPs, G E interactions). </v>
      </c>
      <c r="L19" s="34" t="str">
        <f ca="1">multtests_summary!Z19</f>
        <v xml:space="preserve">Functional regions of interest in amygdala and VS. For each univariate analysis the mean contrast values within the ROI were used as the dependent measure. </v>
      </c>
      <c r="M19" s="208"/>
    </row>
    <row r="20" spans="1:13" ht="30" x14ac:dyDescent="0.2">
      <c r="A20" s="82">
        <v>19</v>
      </c>
      <c r="B20" s="82">
        <f ca="1">multtests_summary!V20</f>
        <v>1</v>
      </c>
      <c r="C20" s="82">
        <f ca="1">multtests_summary!G20</f>
        <v>93</v>
      </c>
      <c r="D20" s="202" t="str">
        <f ca="1">VLOOKUP(multtests_summary!H20,chart_multitests!$N$2:$O$5,2,0)</f>
        <v>c</v>
      </c>
      <c r="E20" s="82">
        <f ca="1">multtests_summary!K20</f>
        <v>1</v>
      </c>
      <c r="F20" s="82">
        <f ca="1">multtests_summary!M20</f>
        <v>1</v>
      </c>
      <c r="G20" s="202" t="str">
        <f ca="1">VLOOKUP(multtests_summary!N20,chart_multitests!$N$2:$O$5,2,0)</f>
        <v xml:space="preserve"> </v>
      </c>
      <c r="H20" s="82">
        <f ca="1">multtests_summary!T20</f>
        <v>0</v>
      </c>
      <c r="J20" s="82">
        <f t="shared" ca="1" si="0"/>
        <v>93</v>
      </c>
      <c r="K20" s="34" t="str">
        <f ca="1">multtests_summary!W20</f>
        <v xml:space="preserve">to select SNPs from the discovery cohort findings to test in the replication cohort, we used a strict Bonferroni correction (P&lt; .0042) </v>
      </c>
      <c r="L20" s="34" t="str">
        <f ca="1">multtests_summary!Z20</f>
        <v>n/a</v>
      </c>
      <c r="M20" s="208"/>
    </row>
    <row r="21" spans="1:13" ht="45" x14ac:dyDescent="0.2">
      <c r="A21" s="82">
        <v>20</v>
      </c>
      <c r="B21" s="82">
        <f ca="1">multtests_summary!V21</f>
        <v>1</v>
      </c>
      <c r="C21" s="82">
        <f ca="1">multtests_summary!G21</f>
        <v>1</v>
      </c>
      <c r="D21" s="202" t="str">
        <f ca="1">VLOOKUP(multtests_summary!H21,chart_multitests!$N$2:$O$5,2,0)</f>
        <v xml:space="preserve"> </v>
      </c>
      <c r="E21" s="82">
        <f ca="1">multtests_summary!K21</f>
        <v>1</v>
      </c>
      <c r="F21" s="82">
        <f ca="1">multtests_summary!M21</f>
        <v>14</v>
      </c>
      <c r="G21" s="202" t="str">
        <f ca="1">VLOOKUP(multtests_summary!N21,chart_multitests!$N$2:$O$5,2,0)</f>
        <v>x</v>
      </c>
      <c r="H21" s="82">
        <f ca="1">multtests_summary!T21</f>
        <v>6</v>
      </c>
      <c r="J21" s="82">
        <f t="shared" ca="1" si="0"/>
        <v>84</v>
      </c>
      <c r="K21" s="34" t="str">
        <f ca="1">multtests_summary!W21</f>
        <v>None reported</v>
      </c>
      <c r="L21" s="34" t="str">
        <f ca="1">multtests_summary!Z21</f>
        <v xml:space="preserve">All statistical tests are two-tailed, α = .05,  except for correlations where directional hypothesis that greater activation should correlate with heightened anger control </v>
      </c>
      <c r="M21" s="208"/>
    </row>
    <row r="22" spans="1:13" ht="45" x14ac:dyDescent="0.2">
      <c r="A22" s="82">
        <v>21</v>
      </c>
      <c r="B22" s="82">
        <f ca="1">multtests_summary!V22</f>
        <v>1</v>
      </c>
      <c r="C22" s="82">
        <f ca="1">multtests_summary!G22</f>
        <v>1</v>
      </c>
      <c r="D22" s="202" t="str">
        <f ca="1">VLOOKUP(multtests_summary!H22,chart_multitests!$N$2:$O$5,2,0)</f>
        <v xml:space="preserve"> </v>
      </c>
      <c r="E22" s="82">
        <f ca="1">multtests_summary!K22</f>
        <v>1</v>
      </c>
      <c r="F22" s="82">
        <f ca="1">multtests_summary!M22</f>
        <v>1</v>
      </c>
      <c r="G22" s="202" t="str">
        <f ca="1">VLOOKUP(multtests_summary!N22,chart_multitests!$N$2:$O$5,2,0)</f>
        <v xml:space="preserve"> </v>
      </c>
      <c r="H22" s="82">
        <f ca="1">multtests_summary!T22</f>
        <v>64</v>
      </c>
      <c r="J22" s="82">
        <f t="shared" ca="1" si="0"/>
        <v>64</v>
      </c>
      <c r="K22" s="34" t="str">
        <f ca="1">multtests_summary!W22</f>
        <v>None needed except for neuro measures</v>
      </c>
      <c r="L22" s="34" t="str">
        <f ca="1">multtests_summary!Z22</f>
        <v xml:space="preserve"> Analysis 2: differences in regional FDG by APOE e4 carrier status after accounting for age, sex, and PiB; uncorrected p values and corrected for FDR reported</v>
      </c>
      <c r="M22" s="208"/>
    </row>
    <row r="23" spans="1:13" ht="75" x14ac:dyDescent="0.2">
      <c r="A23" s="82">
        <v>22</v>
      </c>
      <c r="B23" s="82">
        <f ca="1">multtests_summary!V23</f>
        <v>1</v>
      </c>
      <c r="C23" s="82">
        <f ca="1">multtests_summary!G23</f>
        <v>10</v>
      </c>
      <c r="D23" s="202" t="str">
        <f>VLOOKUP(multtests_summary!H23,chart_multitests!$N$2:$O$5,2,0)</f>
        <v>x</v>
      </c>
      <c r="E23" s="82" t="str">
        <f>multtests_summary!K23</f>
        <v>1?</v>
      </c>
      <c r="F23" s="82">
        <f ca="1">multtests_summary!M23</f>
        <v>1</v>
      </c>
      <c r="G23" s="202" t="str">
        <f ca="1">VLOOKUP(multtests_summary!N23,chart_multitests!$N$2:$O$5,2,0)</f>
        <v xml:space="preserve"> </v>
      </c>
      <c r="H23" s="82">
        <f ca="1">multtests_summary!T23</f>
        <v>5</v>
      </c>
      <c r="J23" s="82">
        <f t="shared" ca="1" si="0"/>
        <v>50</v>
      </c>
      <c r="K23" s="34" t="str">
        <f ca="1">multtests_summary!W23</f>
        <v xml:space="preserve">Tests were conducted at a significance level of 0.005 (0.05/10; Bonferroni corrected for the number of genetic tests conducted). We did not perform additional corrections for the number of phenotypes examined.  </v>
      </c>
      <c r="L23" s="34" t="str">
        <f ca="1">multtests_summary!Z23</f>
        <v>Cluster-based inference: P-value for each contiguous cluster on the basis of its size/mass to test whether a ROI size was significant or not using a conservative level of P &lt; 0.001. N neurophenotypes unclear: 0-11 for each of 13 genetic contrasts. Estimated at 5 or quantitative comparisons</v>
      </c>
      <c r="M23" s="208"/>
    </row>
    <row r="24" spans="1:13" ht="75" x14ac:dyDescent="0.2">
      <c r="A24" s="82">
        <v>23</v>
      </c>
      <c r="B24" s="82">
        <f ca="1">multtests_summary!V24</f>
        <v>2</v>
      </c>
      <c r="C24" s="82">
        <f ca="1">multtests_summary!G24</f>
        <v>1</v>
      </c>
      <c r="D24" s="202" t="str">
        <f ca="1">VLOOKUP(multtests_summary!H24,chart_multitests!$N$2:$O$5,2,0)</f>
        <v xml:space="preserve"> </v>
      </c>
      <c r="E24" s="82">
        <f ca="1">multtests_summary!K24</f>
        <v>1</v>
      </c>
      <c r="F24" s="82">
        <f ca="1">multtests_summary!M24</f>
        <v>7</v>
      </c>
      <c r="G24" s="202" t="str">
        <f ca="1">VLOOKUP(multtests_summary!N24,chart_multitests!$N$2:$O$5,2,0)</f>
        <v>x</v>
      </c>
      <c r="H24" s="82">
        <f ca="1">multtests_summary!T24</f>
        <v>4</v>
      </c>
      <c r="J24" s="82">
        <f t="shared" ca="1" si="0"/>
        <v>56</v>
      </c>
      <c r="K24" s="34">
        <f ca="1">multtests_summary!W24</f>
        <v>0</v>
      </c>
      <c r="L24" s="34" t="str">
        <f ca="1">multtests_summary!Z24</f>
        <v xml:space="preserve">Significance for the pure effects of both age and WWC1 genotypes inside the HF was set at an alpha of .05. The threshold for significance outside the HF (whole brain) was set at an alpha of .05. False discovery rate (FDR) for multiple comparisons was used in both of these analyses. </v>
      </c>
      <c r="M24" s="208"/>
    </row>
    <row r="25" spans="1:13" ht="45" x14ac:dyDescent="0.2">
      <c r="A25" s="82">
        <v>24</v>
      </c>
      <c r="B25" s="82">
        <f ca="1">multtests_summary!V25</f>
        <v>1</v>
      </c>
      <c r="C25" s="82">
        <f ca="1">multtests_summary!G25</f>
        <v>2</v>
      </c>
      <c r="D25" s="202" t="str">
        <f ca="1">VLOOKUP(multtests_summary!H25,chart_multitests!$N$2:$O$5,2,0)</f>
        <v>u</v>
      </c>
      <c r="E25" s="82">
        <f ca="1">multtests_summary!K25</f>
        <v>4</v>
      </c>
      <c r="F25" s="82">
        <f ca="1">multtests_summary!M25</f>
        <v>1</v>
      </c>
      <c r="G25" s="202" t="str">
        <f ca="1">VLOOKUP(multtests_summary!N25,chart_multitests!$N$2:$O$5,2,0)</f>
        <v xml:space="preserve"> </v>
      </c>
      <c r="H25" s="82">
        <f ca="1">multtests_summary!T25</f>
        <v>1</v>
      </c>
      <c r="J25" s="82">
        <f t="shared" ca="1" si="0"/>
        <v>8</v>
      </c>
      <c r="K25" s="34" t="str">
        <f ca="1">multtests_summary!W25</f>
        <v>None mentioned? (This paper hard to evaluate)</v>
      </c>
      <c r="L25" s="34" t="str">
        <f ca="1">multtests_summary!Z25</f>
        <v>Statistical significance determined using 2-tailed t-tests within SPM5 at uncorrected whole-brain threshold of P &lt; 0.001 and small volume correction</v>
      </c>
      <c r="M25" s="208"/>
    </row>
    <row r="26" spans="1:13" ht="60" x14ac:dyDescent="0.2">
      <c r="A26" s="82">
        <v>25</v>
      </c>
      <c r="B26" s="82">
        <f ca="1">multtests_summary!V26</f>
        <v>1</v>
      </c>
      <c r="C26" s="82">
        <f ca="1">multtests_summary!G26</f>
        <v>1</v>
      </c>
      <c r="D26" s="202" t="str">
        <f ca="1">VLOOKUP(multtests_summary!H26,chart_multitests!$N$2:$O$5,2,0)</f>
        <v xml:space="preserve"> </v>
      </c>
      <c r="E26" s="82">
        <f ca="1">multtests_summary!K26</f>
        <v>1</v>
      </c>
      <c r="F26" s="82">
        <f ca="1">multtests_summary!M26</f>
        <v>1</v>
      </c>
      <c r="G26" s="202" t="str">
        <f ca="1">VLOOKUP(multtests_summary!N26,chart_multitests!$N$2:$O$5,2,0)</f>
        <v xml:space="preserve"> </v>
      </c>
      <c r="H26" s="82">
        <f ca="1">multtests_summary!T26</f>
        <v>1</v>
      </c>
      <c r="J26" s="82">
        <f t="shared" ca="1" si="0"/>
        <v>1</v>
      </c>
      <c r="K26" s="34" t="str">
        <f ca="1">multtests_summary!W26</f>
        <v>None needed except for neuro measures.</v>
      </c>
      <c r="L26" s="34" t="str">
        <f ca="1">multtests_summary!Z26</f>
        <v xml:space="preserve">Significance at p &lt; 0.05 FWE corrected for multiple comparisons at the voxel level. . Outside ROI, findings  considered significant if they passed a significance threshold of p 0.05 FWE corrected for multiple comparisons across the whole brain. </v>
      </c>
      <c r="M26" s="208"/>
    </row>
    <row r="27" spans="1:13" ht="60" x14ac:dyDescent="0.2">
      <c r="A27" s="82">
        <v>26</v>
      </c>
      <c r="B27" s="82">
        <f ca="1">multtests_summary!V27</f>
        <v>1</v>
      </c>
      <c r="C27" s="82">
        <f ca="1">multtests_summary!G27</f>
        <v>2</v>
      </c>
      <c r="D27" s="202" t="str">
        <f ca="1">VLOOKUP(multtests_summary!H27,chart_multitests!$N$2:$O$5,2,0)</f>
        <v>u</v>
      </c>
      <c r="E27" s="82">
        <f ca="1">multtests_summary!K27</f>
        <v>1</v>
      </c>
      <c r="F27" s="82">
        <f ca="1">multtests_summary!M27</f>
        <v>3</v>
      </c>
      <c r="G27" s="202" t="str">
        <f ca="1">VLOOKUP(multtests_summary!N27,chart_multitests!$N$2:$O$5,2,0)</f>
        <v>x</v>
      </c>
      <c r="H27" s="82">
        <f ca="1">multtests_summary!T27</f>
        <v>0</v>
      </c>
      <c r="J27" s="82">
        <f t="shared" ca="1" si="0"/>
        <v>6</v>
      </c>
      <c r="K27" s="34" t="str">
        <f ca="1">multtests_summary!W27</f>
        <v>The statistical significance threshold for all tests was p = 0.05, using a Bonferroni correction where appropriate. To increase sensitivity, we did not use a Bonferroni correction for any of the control analyses</v>
      </c>
      <c r="L27" s="34" t="str">
        <f ca="1">multtests_summary!Z27</f>
        <v>n/a</v>
      </c>
      <c r="M27" s="208"/>
    </row>
    <row r="28" spans="1:13" ht="30" x14ac:dyDescent="0.2">
      <c r="A28" s="82">
        <v>27</v>
      </c>
      <c r="B28" s="82">
        <f ca="1">multtests_summary!V28</f>
        <v>1</v>
      </c>
      <c r="C28" s="82">
        <f ca="1">multtests_summary!G28</f>
        <v>1</v>
      </c>
      <c r="D28" s="202" t="str">
        <f ca="1">VLOOKUP(multtests_summary!H28,chart_multitests!$N$2:$O$5,2,0)</f>
        <v xml:space="preserve"> </v>
      </c>
      <c r="E28" s="82">
        <f ca="1">multtests_summary!K28</f>
        <v>1</v>
      </c>
      <c r="F28" s="82">
        <f ca="1">multtests_summary!M28</f>
        <v>3</v>
      </c>
      <c r="G28" s="202" t="str">
        <f ca="1">VLOOKUP(multtests_summary!N28,chart_multitests!$N$2:$O$5,2,0)</f>
        <v>x</v>
      </c>
      <c r="H28" s="82">
        <f ca="1">multtests_summary!T28</f>
        <v>0</v>
      </c>
      <c r="J28" s="82">
        <f t="shared" ca="1" si="0"/>
        <v>3</v>
      </c>
      <c r="K28" s="34" t="str">
        <f ca="1">multtests_summary!W28</f>
        <v>None reported. Authors reply to query:  "We did not correct for multiple testing as we only assayed 5-HTTLPR"</v>
      </c>
      <c r="L28" s="34" t="str">
        <f ca="1">multtests_summary!Z28</f>
        <v>n/a</v>
      </c>
      <c r="M28" s="208"/>
    </row>
    <row r="29" spans="1:13" ht="60" x14ac:dyDescent="0.2">
      <c r="A29" s="82">
        <v>28</v>
      </c>
      <c r="B29" s="82">
        <f ca="1">multtests_summary!V29</f>
        <v>2</v>
      </c>
      <c r="C29" s="82">
        <f ca="1">multtests_summary!G29</f>
        <v>1</v>
      </c>
      <c r="D29" s="202" t="str">
        <f ca="1">VLOOKUP(multtests_summary!H29,chart_multitests!$N$2:$O$5,2,0)</f>
        <v xml:space="preserve"> </v>
      </c>
      <c r="E29" s="82">
        <f ca="1">multtests_summary!K29</f>
        <v>1</v>
      </c>
      <c r="F29" s="82">
        <f ca="1">multtests_summary!M29</f>
        <v>2</v>
      </c>
      <c r="G29" s="202" t="str">
        <f ca="1">VLOOKUP(multtests_summary!N29,chart_multitests!$N$2:$O$5,2,0)</f>
        <v>x</v>
      </c>
      <c r="H29" s="82">
        <f ca="1">multtests_summary!T29</f>
        <v>4</v>
      </c>
      <c r="J29" s="82">
        <f t="shared" ca="1" si="0"/>
        <v>16</v>
      </c>
      <c r="K29" s="34" t="str">
        <f ca="1">multtests_summary!W29</f>
        <v xml:space="preserve">Permutations with 100,000 iterations were used to control for hemisphere specific tests of VS BOLD response. Where pcorrected is indicated, p values were corrected for statistical tests performed in the left and right hemisphere. </v>
      </c>
      <c r="L29" s="34" t="str">
        <f ca="1">multtests_summary!Z29</f>
        <v xml:space="preserve">Random field. pFWE-corrected &lt; 0.05). </v>
      </c>
      <c r="M29" s="208"/>
    </row>
    <row r="30" spans="1:13" ht="182" customHeight="1" x14ac:dyDescent="0.2">
      <c r="A30" s="82">
        <v>29</v>
      </c>
      <c r="B30" s="82">
        <f ca="1">multtests_summary!V30</f>
        <v>1</v>
      </c>
      <c r="C30" s="82">
        <f ca="1">multtests_summary!G30</f>
        <v>1</v>
      </c>
      <c r="D30" s="202" t="str">
        <f ca="1">VLOOKUP(multtests_summary!H30,chart_multitests!$N$2:$O$5,2,0)</f>
        <v xml:space="preserve"> </v>
      </c>
      <c r="E30" s="82">
        <f ca="1">multtests_summary!K30</f>
        <v>1</v>
      </c>
      <c r="F30" s="82">
        <f ca="1">multtests_summary!M30</f>
        <v>10</v>
      </c>
      <c r="G30" s="202" t="str">
        <f ca="1">VLOOKUP(multtests_summary!N30,chart_multitests!$N$2:$O$5,2,0)</f>
        <v>x</v>
      </c>
      <c r="H30" s="82">
        <f ca="1">multtests_summary!T30</f>
        <v>4</v>
      </c>
      <c r="J30" s="82">
        <f t="shared" ca="1" si="0"/>
        <v>40</v>
      </c>
      <c r="K30" s="34" t="str">
        <f ca="1">multtests_summary!W30</f>
        <v>None reported</v>
      </c>
      <c r="L30" s="34" t="str">
        <f ca="1">multtests_summary!Z30</f>
        <v xml:space="preserve">"Analyses involving genotype were conducted using these extracted values outside of SPM2, thereby eliminating any possibility of correlations that are artificially inflated because of extraction and correlation techniques that capitalize on the same data twice". </v>
      </c>
      <c r="M30" s="208"/>
    </row>
    <row r="31" spans="1:13" ht="135" x14ac:dyDescent="0.2">
      <c r="A31" s="82">
        <v>30</v>
      </c>
      <c r="B31" s="82">
        <f ca="1">multtests_summary!V31</f>
        <v>2</v>
      </c>
      <c r="C31" s="82">
        <f ca="1">multtests_summary!G31</f>
        <v>1</v>
      </c>
      <c r="D31" s="202" t="str">
        <f ca="1">VLOOKUP(multtests_summary!H31,chart_multitests!$N$2:$O$5,2,0)</f>
        <v xml:space="preserve"> </v>
      </c>
      <c r="E31" s="82">
        <f ca="1">multtests_summary!K31</f>
        <v>1</v>
      </c>
      <c r="F31" s="82">
        <f ca="1">multtests_summary!M31</f>
        <v>10</v>
      </c>
      <c r="G31" s="202" t="str">
        <f ca="1">VLOOKUP(multtests_summary!N31,chart_multitests!$N$2:$O$5,2,0)</f>
        <v>u</v>
      </c>
      <c r="H31" s="82">
        <f ca="1">multtests_summary!T31</f>
        <v>0</v>
      </c>
      <c r="J31" s="82">
        <f t="shared" ca="1" si="0"/>
        <v>20</v>
      </c>
      <c r="K31" s="34" t="str">
        <f ca="1">multtests_summary!W31</f>
        <v xml:space="preserve">Finally, our results were not corrected for multiple testing. Bonferroni correction for multiple testing (32 tests) resulted in a significance level of P = 0.0016, and only the results for sense of coherence in women remained significant. Considering the inter-correlation of the nine measures assessed, we prefer to report nominal levels of significance. Our rationale for this is that in the case of inter- correlation, Bonferroni correction for multiple testing is likely to provide an inadequate reduction of the power to detect small effects. </v>
      </c>
      <c r="L31" s="34" t="str">
        <f ca="1">multtests_summary!Z31</f>
        <v>n/a</v>
      </c>
      <c r="M31" s="20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
  <sheetViews>
    <sheetView workbookViewId="0">
      <pane xSplit="1" ySplit="1" topLeftCell="B2" activePane="bottomRight" state="frozen"/>
      <selection activeCell="L12" sqref="L12"/>
      <selection pane="topRight" activeCell="L12" sqref="L12"/>
      <selection pane="bottomLeft" activeCell="L12" sqref="L12"/>
      <selection pane="bottomRight" activeCell="B3" sqref="B3"/>
    </sheetView>
  </sheetViews>
  <sheetFormatPr baseColWidth="10" defaultColWidth="9.1640625" defaultRowHeight="15" x14ac:dyDescent="0.2"/>
  <cols>
    <col min="1" max="2" width="9.1640625" style="82"/>
    <col min="3" max="3" width="15.83203125" style="82" customWidth="1"/>
    <col min="4" max="4" width="13.5" style="82" customWidth="1"/>
    <col min="5" max="5" width="31" style="82" customWidth="1"/>
    <col min="6" max="6" width="19.5" style="82" customWidth="1"/>
    <col min="7" max="7" width="9.33203125" style="82" customWidth="1"/>
    <col min="8" max="8" width="11" style="34" customWidth="1"/>
    <col min="9" max="11" width="9.1640625" style="82"/>
    <col min="12" max="12" width="26.5" style="82" customWidth="1"/>
    <col min="13" max="16384" width="9.1640625" style="82"/>
  </cols>
  <sheetData>
    <row r="1" spans="1:12" ht="75" x14ac:dyDescent="0.2">
      <c r="A1" s="82" t="s">
        <v>1338</v>
      </c>
      <c r="B1" s="82" t="s">
        <v>1530</v>
      </c>
      <c r="C1" s="82" t="s">
        <v>1335</v>
      </c>
      <c r="D1" s="82" t="s">
        <v>1665</v>
      </c>
      <c r="E1" s="82" t="s">
        <v>1327</v>
      </c>
      <c r="F1" s="82" t="s">
        <v>1666</v>
      </c>
      <c r="G1" s="34" t="s">
        <v>1664</v>
      </c>
      <c r="H1" s="34" t="s">
        <v>1793</v>
      </c>
      <c r="I1" s="34" t="s">
        <v>1794</v>
      </c>
      <c r="K1" s="82" t="s">
        <v>1670</v>
      </c>
      <c r="L1" s="82" t="s">
        <v>1671</v>
      </c>
    </row>
    <row r="2" spans="1:12" ht="90" x14ac:dyDescent="0.2">
      <c r="A2" s="82">
        <v>1</v>
      </c>
      <c r="B2" s="34" t="str">
        <f ca="1">INDIRECT(D2&amp;"4")</f>
        <v>10.1038/mp.2015.144</v>
      </c>
      <c r="C2" s="7" t="s">
        <v>1336</v>
      </c>
      <c r="D2" s="82" t="str">
        <f t="shared" ref="D2:D31" si="0">"overview_"&amp;A2&amp;"!B"</f>
        <v>overview_1!B</v>
      </c>
      <c r="E2" s="34" t="str">
        <f t="shared" ref="E2:E31" ca="1" si="1">INDIRECT(D2&amp;"5")</f>
        <v>Discovery sample (D) Child and Adolescent Twin Study in Sweden (CATSS); Replication sample (R) Twin Study of Child and Adolescent Development (TCHAD); age 16-20; analysed boys, girls and boys+girls</v>
      </c>
      <c r="F2" s="34" t="str">
        <f t="shared" ref="F2:F31" ca="1" si="2">INDIRECT(D2&amp;"6")</f>
        <v>D=2372; R=1232</v>
      </c>
      <c r="G2" s="34" t="str">
        <f ca="1">INDIRECT(D2&amp;"19")</f>
        <v>Yes, with only minor difference in phenotype</v>
      </c>
      <c r="H2" s="82">
        <v>1</v>
      </c>
      <c r="I2" s="82" t="e">
        <f ca="1">10*H2+B2</f>
        <v>#VALUE!</v>
      </c>
      <c r="K2" s="82">
        <v>2372</v>
      </c>
      <c r="L2" s="34" t="str">
        <f ca="1">INDIRECT($D2&amp;"16")</f>
        <v>Means/SDs table 2</v>
      </c>
    </row>
    <row r="3" spans="1:12" ht="75" x14ac:dyDescent="0.2">
      <c r="A3" s="82">
        <v>5</v>
      </c>
      <c r="B3" s="82">
        <v>1</v>
      </c>
      <c r="C3" s="7" t="s">
        <v>1336</v>
      </c>
      <c r="D3" s="82" t="str">
        <f t="shared" si="0"/>
        <v>overview_5!B</v>
      </c>
      <c r="E3" s="34" t="str">
        <f t="shared" ca="1" si="1"/>
        <v>Discovery: Sib pairs from subset of Mid South Tobacco Family study; Half AA and half EA ethnicity, 50% smokers. Replication in case-control samplee of 3088 AA and 1430 EA, all unrelated</v>
      </c>
      <c r="F3" s="34" t="str">
        <f t="shared" ca="1" si="2"/>
        <v>D = 400</v>
      </c>
      <c r="G3" s="34" t="str">
        <f ca="1">INDIRECT(D3&amp;"19")</f>
        <v>yes</v>
      </c>
      <c r="H3" s="82">
        <v>1</v>
      </c>
      <c r="I3" s="82">
        <f t="shared" ref="I3:I31" si="3">10*H3+B3</f>
        <v>11</v>
      </c>
      <c r="K3" s="82">
        <v>400</v>
      </c>
      <c r="L3" s="34" t="str">
        <f t="shared" ref="L3:L31" ca="1" si="4">INDIRECT($D3&amp;"16")</f>
        <v>odds ratio, p 1472</v>
      </c>
    </row>
    <row r="4" spans="1:12" ht="75" x14ac:dyDescent="0.2">
      <c r="A4" s="82">
        <v>9</v>
      </c>
      <c r="B4" s="82">
        <v>1</v>
      </c>
      <c r="C4" s="7" t="s">
        <v>1336</v>
      </c>
      <c r="D4" s="82" t="str">
        <f t="shared" si="0"/>
        <v>overview_9!B</v>
      </c>
      <c r="E4" s="34" t="str">
        <f t="shared" ca="1" si="1"/>
        <v>Australian elderly cohort drawn from the larger Australian Imaging, Biomarkers and Lifestyle study of ageing (AIBL), age 60+, all cognitively healthy at baseline</v>
      </c>
      <c r="F4" s="34" t="str">
        <f t="shared" ca="1" si="2"/>
        <v>N = 527</v>
      </c>
      <c r="G4" s="34" t="str">
        <f ca="1">INDIRECT(D4&amp;"19")</f>
        <v xml:space="preserve">no </v>
      </c>
      <c r="H4" s="82">
        <v>0</v>
      </c>
      <c r="I4" s="82">
        <f t="shared" si="3"/>
        <v>1</v>
      </c>
      <c r="K4" s="82">
        <v>4931</v>
      </c>
      <c r="L4" s="34" t="str">
        <f t="shared" ca="1" si="4"/>
        <v>Table 2</v>
      </c>
    </row>
    <row r="5" spans="1:12" ht="75" x14ac:dyDescent="0.2">
      <c r="A5" s="82">
        <v>9</v>
      </c>
      <c r="B5" s="82">
        <v>1</v>
      </c>
      <c r="C5" s="7" t="s">
        <v>1336</v>
      </c>
      <c r="D5" s="82" t="str">
        <f t="shared" si="0"/>
        <v>overview_9!B</v>
      </c>
      <c r="E5" s="34" t="str">
        <f t="shared" ca="1" si="1"/>
        <v>Australian elderly cohort drawn from the larger Australian Imaging, Biomarkers and Lifestyle study of ageing (AIBL), age 60+, all cognitively healthy at baseline</v>
      </c>
      <c r="F5" s="34" t="str">
        <f t="shared" ca="1" si="2"/>
        <v>N = 527</v>
      </c>
      <c r="G5" s="34" t="str">
        <f ca="1">INDIRECT(D5&amp;"19")</f>
        <v xml:space="preserve">no </v>
      </c>
      <c r="H5" s="82">
        <v>0</v>
      </c>
      <c r="I5" s="82">
        <f t="shared" si="3"/>
        <v>1</v>
      </c>
      <c r="K5" s="82">
        <v>527</v>
      </c>
      <c r="L5" s="34" t="str">
        <f t="shared" ca="1" si="4"/>
        <v>Table 2</v>
      </c>
    </row>
    <row r="6" spans="1:12" ht="75" x14ac:dyDescent="0.2">
      <c r="A6" s="82">
        <v>11</v>
      </c>
      <c r="B6" s="82">
        <v>1</v>
      </c>
      <c r="C6" s="7" t="s">
        <v>1336</v>
      </c>
      <c r="D6" s="82" t="str">
        <f t="shared" si="0"/>
        <v>overview_11!B</v>
      </c>
      <c r="E6" s="34" t="str">
        <f t="shared" ca="1" si="1"/>
        <v>Two German samples from general population: Münster sample and new subsample of the SHIP-TREND MRI cohort that was not part of previously published GWAS</v>
      </c>
      <c r="F6" s="34" t="str">
        <f t="shared" ca="1" si="2"/>
        <v>Sample 1: N = 512; Sample 2: N = 721</v>
      </c>
      <c r="G6" s="34">
        <f t="shared" ref="G6:G31" ca="1" si="5">INDIRECT(D6&amp;"17")</f>
        <v>0.10299999999999999</v>
      </c>
      <c r="H6" s="82">
        <v>1</v>
      </c>
      <c r="I6" s="82">
        <f t="shared" si="3"/>
        <v>11</v>
      </c>
      <c r="K6" s="82">
        <v>264</v>
      </c>
      <c r="L6" s="34" t="str">
        <f t="shared" ca="1" si="4"/>
        <v>Quasi-effect-size only from t-values p 400; this will overestimate as based on finding peak</v>
      </c>
    </row>
    <row r="7" spans="1:12" ht="30" x14ac:dyDescent="0.2">
      <c r="A7" s="82">
        <v>16</v>
      </c>
      <c r="B7" s="82">
        <v>1</v>
      </c>
      <c r="C7" s="7" t="s">
        <v>1336</v>
      </c>
      <c r="D7" s="82" t="str">
        <f t="shared" si="0"/>
        <v>overview_16!B</v>
      </c>
      <c r="E7" s="34" t="str">
        <f t="shared" ca="1" si="1"/>
        <v>Health in Men Study: males aged 65-83 years</v>
      </c>
      <c r="F7" s="34" t="str">
        <f t="shared" ca="1" si="2"/>
        <v>N = 3873</v>
      </c>
      <c r="G7" s="34">
        <f t="shared" ca="1" si="5"/>
        <v>4.4999999999999998E-2</v>
      </c>
      <c r="H7" s="82">
        <v>2</v>
      </c>
      <c r="I7" s="82">
        <f t="shared" si="3"/>
        <v>21</v>
      </c>
      <c r="K7" s="82">
        <v>3973</v>
      </c>
      <c r="L7" s="34" t="str">
        <f t="shared" ca="1" si="4"/>
        <v>odds ratio reported in footnote to Table 1</v>
      </c>
    </row>
    <row r="8" spans="1:12" ht="90" x14ac:dyDescent="0.2">
      <c r="A8" s="82">
        <v>17</v>
      </c>
      <c r="B8" s="82">
        <v>1</v>
      </c>
      <c r="C8" s="5" t="s">
        <v>1336</v>
      </c>
      <c r="D8" s="82" t="str">
        <f>"overview_"&amp;A9&amp;"!B"</f>
        <v>overview_19!B</v>
      </c>
      <c r="E8" s="34" t="str">
        <f ca="1">INDIRECT(D9&amp;"5")</f>
        <v>Discovery sample; treatment-seeking European ancestry smokers aged 18–65 who smoked 10+ cigarettes per day; Replication sample: participants in an open-label trial of nicotine patch versus nicotine nasal spray</v>
      </c>
      <c r="F8" s="34" t="str">
        <f ca="1">INDIRECT(D9&amp;"6")</f>
        <v>Discovery: N = 449_x000D_Replication: N = 165</v>
      </c>
      <c r="G8" s="34">
        <f ca="1">INDIRECT(D9&amp;"17")</f>
        <v>0.13600000000000001</v>
      </c>
      <c r="H8" s="82">
        <v>0</v>
      </c>
      <c r="I8" s="82">
        <f>10*H9+B9</f>
        <v>11</v>
      </c>
      <c r="K8" s="82">
        <v>391</v>
      </c>
      <c r="L8" s="34" t="str">
        <f ca="1">INDIRECT($D9&amp;"16")</f>
        <v>Table 2, odds ratio</v>
      </c>
    </row>
    <row r="9" spans="1:12" ht="90" x14ac:dyDescent="0.2">
      <c r="A9" s="82">
        <v>19</v>
      </c>
      <c r="B9" s="82">
        <v>1</v>
      </c>
      <c r="C9" s="5" t="s">
        <v>1336</v>
      </c>
      <c r="D9" s="82" t="str">
        <f t="shared" si="0"/>
        <v>overview_19!B</v>
      </c>
      <c r="E9" s="34" t="str">
        <f t="shared" ca="1" si="1"/>
        <v>Discovery sample; treatment-seeking European ancestry smokers aged 18–65 who smoked 10+ cigarettes per day; Replication sample: participants in an open-label trial of nicotine patch versus nicotine nasal spray</v>
      </c>
      <c r="F9" s="34" t="str">
        <f t="shared" ca="1" si="2"/>
        <v>Discovery: N = 449_x000D_Replication: N = 165</v>
      </c>
      <c r="G9" s="34">
        <f t="shared" ca="1" si="5"/>
        <v>0.13600000000000001</v>
      </c>
      <c r="H9" s="82">
        <v>1</v>
      </c>
      <c r="I9" s="82">
        <f t="shared" si="3"/>
        <v>11</v>
      </c>
      <c r="K9" s="82">
        <v>449</v>
      </c>
      <c r="L9" s="34" t="str">
        <f t="shared" ca="1" si="4"/>
        <v>Table 2, odds ratio</v>
      </c>
    </row>
    <row r="10" spans="1:12" ht="90" x14ac:dyDescent="0.2">
      <c r="A10" s="82">
        <v>24</v>
      </c>
      <c r="B10" s="82">
        <v>1</v>
      </c>
      <c r="C10" s="5" t="s">
        <v>1336</v>
      </c>
      <c r="D10" s="82" t="str">
        <f t="shared" si="0"/>
        <v>overview_24!B</v>
      </c>
      <c r="E10" s="34" t="str">
        <f t="shared" ca="1" si="1"/>
        <v>Healthy volunteers; Caucasian</v>
      </c>
      <c r="F10" s="34" t="str">
        <f t="shared" ca="1" si="2"/>
        <v>N = 176</v>
      </c>
      <c r="G10" s="34">
        <f t="shared" ca="1" si="5"/>
        <v>0.20899999999999999</v>
      </c>
      <c r="H10" s="82">
        <v>0</v>
      </c>
      <c r="I10" s="82">
        <f t="shared" si="3"/>
        <v>1</v>
      </c>
      <c r="K10" s="82">
        <v>176</v>
      </c>
      <c r="L10" s="34" t="str">
        <f t="shared" ca="1" si="4"/>
        <v>p-value of interaction, evaluated with full N. Also Computed an effect size for the interaction by digitising data from Figure 3 and then computing means for the combinations of COMT and Bray haplotypes described in Figure 3. This gave r = .331</v>
      </c>
    </row>
    <row r="11" spans="1:12" ht="105" x14ac:dyDescent="0.2">
      <c r="A11" s="82">
        <v>29</v>
      </c>
      <c r="B11" s="82">
        <v>1</v>
      </c>
      <c r="C11" s="5" t="s">
        <v>1336</v>
      </c>
      <c r="D11" s="82" t="str">
        <f t="shared" si="0"/>
        <v>overview_29!B</v>
      </c>
      <c r="E11" s="34" t="str">
        <f t="shared" ca="1" si="1"/>
        <v>From the Adult Health and Behavior (AHAB) Study, which investigates a variety of behavioral and biological traits among non-patient, middle-aged community volunteers. Restricted to Caucasian participants,  mean age 44.70±6.49 years).</v>
      </c>
      <c r="F11" s="34" t="str">
        <f t="shared" ca="1" si="2"/>
        <v>N = 91 for imaging genetics; 975 for personality study</v>
      </c>
      <c r="G11" s="34">
        <f t="shared" ca="1" si="5"/>
        <v>0.30499999999999999</v>
      </c>
      <c r="H11" s="82">
        <v>0</v>
      </c>
      <c r="I11" s="82">
        <f t="shared" si="3"/>
        <v>1</v>
      </c>
      <c r="K11" s="82">
        <v>414</v>
      </c>
      <c r="L11" s="34" t="str">
        <f t="shared" ca="1" si="4"/>
        <v>Figure 4B, central bars, digitised values</v>
      </c>
    </row>
    <row r="12" spans="1:12" ht="105" x14ac:dyDescent="0.2">
      <c r="A12" s="82">
        <v>29</v>
      </c>
      <c r="B12" s="82">
        <v>1</v>
      </c>
      <c r="C12" s="5" t="s">
        <v>1336</v>
      </c>
      <c r="D12" s="82" t="str">
        <f t="shared" si="0"/>
        <v>overview_29!B</v>
      </c>
      <c r="E12" s="34" t="str">
        <f t="shared" ca="1" si="1"/>
        <v>From the Adult Health and Behavior (AHAB) Study, which investigates a variety of behavioral and biological traits among non-patient, middle-aged community volunteers. Restricted to Caucasian participants,  mean age 44.70±6.49 years).</v>
      </c>
      <c r="F12" s="34" t="str">
        <f t="shared" ca="1" si="2"/>
        <v>N = 91 for imaging genetics; 975 for personality study</v>
      </c>
      <c r="G12" s="34">
        <f t="shared" ca="1" si="5"/>
        <v>0.30499999999999999</v>
      </c>
      <c r="H12" s="82">
        <v>2</v>
      </c>
      <c r="I12" s="82">
        <f t="shared" si="3"/>
        <v>21</v>
      </c>
      <c r="K12" s="82">
        <v>91</v>
      </c>
      <c r="L12" s="34" t="str">
        <f t="shared" ca="1" si="4"/>
        <v>Figure 4B, central bars, digitised values</v>
      </c>
    </row>
    <row r="13" spans="1:12" ht="60" x14ac:dyDescent="0.2">
      <c r="A13" s="82">
        <v>30</v>
      </c>
      <c r="B13" s="82">
        <v>1</v>
      </c>
      <c r="C13" s="5" t="s">
        <v>1336</v>
      </c>
      <c r="D13" s="82" t="str">
        <f t="shared" si="0"/>
        <v>overview_30!B</v>
      </c>
      <c r="E13" s="34" t="str">
        <f t="shared" ca="1" si="1"/>
        <v>Heidelberg longitudinal cohort: men (47.6%; mean age 53.5±7.1 years) and women (52.4%; mean age 52.9±7.0 years)</v>
      </c>
      <c r="F13" s="34" t="str">
        <f t="shared" ca="1" si="2"/>
        <v>1804 men and 1989 women</v>
      </c>
      <c r="G13" s="34">
        <f t="shared" ca="1" si="5"/>
        <v>6.2E-2</v>
      </c>
      <c r="H13" s="82">
        <v>2</v>
      </c>
      <c r="I13" s="82">
        <f t="shared" si="3"/>
        <v>21</v>
      </c>
      <c r="K13" s="82">
        <f>1904+1999</f>
        <v>3903</v>
      </c>
      <c r="L13" s="34" t="str">
        <f t="shared" ca="1" si="4"/>
        <v>Table 3, p-value</v>
      </c>
    </row>
    <row r="14" spans="1:12" ht="30" x14ac:dyDescent="0.2">
      <c r="A14" s="82">
        <v>2</v>
      </c>
      <c r="B14" s="82">
        <v>2</v>
      </c>
      <c r="C14" s="7" t="s">
        <v>1349</v>
      </c>
      <c r="D14" s="82" t="str">
        <f t="shared" si="0"/>
        <v>overview_2!B</v>
      </c>
      <c r="E14" s="34" t="str">
        <f t="shared" ca="1" si="1"/>
        <v>Undergraduate students  (psychology course)</v>
      </c>
      <c r="F14" s="34">
        <f t="shared" ca="1" si="2"/>
        <v>195</v>
      </c>
      <c r="G14" s="34">
        <f t="shared" ca="1" si="5"/>
        <v>0.19900000000000001</v>
      </c>
      <c r="H14" s="82">
        <v>0</v>
      </c>
      <c r="I14" s="82">
        <f t="shared" si="3"/>
        <v>2</v>
      </c>
      <c r="K14" s="82">
        <v>196</v>
      </c>
      <c r="L14" s="34" t="str">
        <f t="shared" ca="1" si="4"/>
        <v>Theta means/SE figure 4</v>
      </c>
    </row>
    <row r="15" spans="1:12" ht="75" x14ac:dyDescent="0.2">
      <c r="A15" s="82">
        <v>13</v>
      </c>
      <c r="B15" s="82">
        <v>2</v>
      </c>
      <c r="C15" s="7" t="s">
        <v>1349</v>
      </c>
      <c r="D15" s="82" t="str">
        <f t="shared" si="0"/>
        <v>overview_13!B</v>
      </c>
      <c r="E15" s="34" t="str">
        <f t="shared" ca="1" si="1"/>
        <v>General sample: n=187 (60 men); 18-35 years; University of Texas at Austin introductory participant pool; Screened sample n=221 (96 men), given more detailed neuropsychiatric screening</v>
      </c>
      <c r="F15" s="34" t="str">
        <f t="shared" ca="1" si="2"/>
        <v>n1=187; n2=221</v>
      </c>
      <c r="G15" s="34">
        <f t="shared" ca="1" si="5"/>
        <v>0.2</v>
      </c>
      <c r="H15" s="82">
        <v>2</v>
      </c>
      <c r="I15" s="82">
        <f t="shared" si="3"/>
        <v>22</v>
      </c>
      <c r="K15" s="82">
        <v>197</v>
      </c>
      <c r="L15" s="34" t="str">
        <f t="shared" ca="1" si="4"/>
        <v>Table 1</v>
      </c>
    </row>
    <row r="16" spans="1:12" ht="45" x14ac:dyDescent="0.2">
      <c r="A16" s="82">
        <v>20</v>
      </c>
      <c r="B16" s="82">
        <v>2</v>
      </c>
      <c r="C16" s="7" t="s">
        <v>1349</v>
      </c>
      <c r="D16" s="82" t="str">
        <f t="shared" si="0"/>
        <v>overview_20!B</v>
      </c>
      <c r="E16" s="34" t="str">
        <f t="shared" ca="1" si="1"/>
        <v>Healthy male undergraduates, 79% Asian, 16% white; 3% mixed</v>
      </c>
      <c r="F16" s="34" t="str">
        <f t="shared" ca="1" si="2"/>
        <v>N = 38</v>
      </c>
      <c r="G16" s="34">
        <f t="shared" ca="1" si="5"/>
        <v>0.437</v>
      </c>
      <c r="H16" s="82">
        <v>0</v>
      </c>
      <c r="I16" s="82">
        <f t="shared" si="3"/>
        <v>2</v>
      </c>
      <c r="K16" s="82">
        <v>39</v>
      </c>
      <c r="L16" s="34" t="str">
        <f t="shared" ca="1" si="4"/>
        <v>p-value reported in text; confirmed with regression on data from digitised figure</v>
      </c>
    </row>
    <row r="17" spans="1:12" ht="60" x14ac:dyDescent="0.2">
      <c r="A17" s="82">
        <v>3</v>
      </c>
      <c r="B17" s="82">
        <v>3</v>
      </c>
      <c r="C17" s="7" t="s">
        <v>1353</v>
      </c>
      <c r="D17" s="82" t="str">
        <f t="shared" si="0"/>
        <v>overview_3!B</v>
      </c>
      <c r="E17" s="34" t="str">
        <f t="shared" ca="1" si="1"/>
        <v>Healthy subjects (mean age= 22.6, SD = 4.7) recruited from  Brown University and Providence, Rhode Island community</v>
      </c>
      <c r="F17" s="34" t="str">
        <f t="shared" ca="1" si="2"/>
        <v>171 (105 Caucasian)</v>
      </c>
      <c r="G17" s="34">
        <f t="shared" ca="1" si="5"/>
        <v>0.27400000000000002</v>
      </c>
      <c r="H17" s="82">
        <v>0</v>
      </c>
      <c r="I17" s="82">
        <f t="shared" si="3"/>
        <v>3</v>
      </c>
      <c r="K17" s="82">
        <v>171</v>
      </c>
      <c r="L17" s="34" t="str">
        <f t="shared" ca="1" si="4"/>
        <v>Figure 5A</v>
      </c>
    </row>
    <row r="18" spans="1:12" ht="75" x14ac:dyDescent="0.2">
      <c r="A18" s="82">
        <v>10</v>
      </c>
      <c r="B18" s="82">
        <v>3</v>
      </c>
      <c r="C18" s="7" t="s">
        <v>1353</v>
      </c>
      <c r="D18" s="82" t="str">
        <f>"overview_"&amp;A19&amp;"!B"</f>
        <v>overview_25!B</v>
      </c>
      <c r="E18" s="34" t="str">
        <f ca="1">INDIRECT(D19&amp;"5")</f>
        <v>Healthy Caucasian volunteers (195 males, 215 females) aged 18-55 yr; 2nd sample included individuals with Sz and their siblings; our focus here is on sample 1</v>
      </c>
      <c r="F18" s="34" t="str">
        <f ca="1">INDIRECT(D19&amp;"6")</f>
        <v>N1 = 410, (N2 = 201)</v>
      </c>
      <c r="G18" s="34">
        <f ca="1">INDIRECT(D19&amp;"17")</f>
        <v>0.13700000000000001</v>
      </c>
      <c r="H18" s="82">
        <v>0</v>
      </c>
      <c r="I18" s="82">
        <f>10*H19+B19</f>
        <v>23</v>
      </c>
      <c r="K18" s="82">
        <v>32</v>
      </c>
      <c r="L18" s="34" t="str">
        <f ca="1">INDIRECT($D19&amp;"16")</f>
        <v>Digitised means/SEs from Figure 1A</v>
      </c>
    </row>
    <row r="19" spans="1:12" ht="75" x14ac:dyDescent="0.2">
      <c r="A19" s="82">
        <v>25</v>
      </c>
      <c r="B19" s="82">
        <v>3</v>
      </c>
      <c r="C19" s="5" t="s">
        <v>1353</v>
      </c>
      <c r="D19" s="82" t="str">
        <f t="shared" si="0"/>
        <v>overview_25!B</v>
      </c>
      <c r="E19" s="34" t="str">
        <f t="shared" ca="1" si="1"/>
        <v>Healthy Caucasian volunteers (195 males, 215 females) aged 18-55 yr; 2nd sample included individuals with Sz and their siblings; our focus here is on sample 1</v>
      </c>
      <c r="F19" s="34" t="str">
        <f t="shared" ca="1" si="2"/>
        <v>N1 = 410, (N2 = 201)</v>
      </c>
      <c r="G19" s="34">
        <f t="shared" ca="1" si="5"/>
        <v>0.13700000000000001</v>
      </c>
      <c r="H19" s="82">
        <v>2</v>
      </c>
      <c r="I19" s="82">
        <f t="shared" si="3"/>
        <v>23</v>
      </c>
      <c r="K19" s="82">
        <v>410</v>
      </c>
      <c r="L19" s="34" t="str">
        <f t="shared" ca="1" si="4"/>
        <v>Digitised means/SEs from Figure 1A</v>
      </c>
    </row>
    <row r="20" spans="1:12" ht="60" x14ac:dyDescent="0.2">
      <c r="A20" s="82">
        <v>4</v>
      </c>
      <c r="B20" s="82">
        <v>4</v>
      </c>
      <c r="C20" s="7" t="s">
        <v>1355</v>
      </c>
      <c r="D20" s="82" t="str">
        <f t="shared" si="0"/>
        <v>overview_4!B</v>
      </c>
      <c r="E20" s="34" t="str">
        <f t="shared" ca="1" si="1"/>
        <v>Discovery sample (D) training schools of rescue  workers M=22.23, SD=4.07 age; replication sample (R) M=21.43, SD=2.37 age</v>
      </c>
      <c r="F20" s="34" t="str">
        <f t="shared" ca="1" si="2"/>
        <v>D = 112; R = 72</v>
      </c>
      <c r="G20" s="34">
        <f t="shared" ca="1" si="5"/>
        <v>0.53765339999999995</v>
      </c>
      <c r="H20" s="82">
        <v>1</v>
      </c>
      <c r="I20" s="82">
        <f t="shared" si="3"/>
        <v>14</v>
      </c>
      <c r="K20" s="82">
        <v>122</v>
      </c>
      <c r="L20" s="34" t="str">
        <f t="shared" ca="1" si="4"/>
        <v>Lower panel (replication sample) Figure 1</v>
      </c>
    </row>
    <row r="21" spans="1:12" ht="75" x14ac:dyDescent="0.2">
      <c r="A21" s="82">
        <v>6</v>
      </c>
      <c r="B21" s="82">
        <v>4</v>
      </c>
      <c r="C21" s="7" t="s">
        <v>1355</v>
      </c>
      <c r="D21" s="82" t="str">
        <f t="shared" si="0"/>
        <v>overview_6!B</v>
      </c>
      <c r="E21" s="34" t="str">
        <f t="shared" ca="1" si="1"/>
        <v>Healthy, medication free, recruited from medical school/university adverts. Sample D  (all male); sample R  (21 male); 18-30 years. Sample R oversampled homozygotes</v>
      </c>
      <c r="F21" s="34" t="str">
        <f t="shared" ca="1" si="2"/>
        <v>Discovery (D) =99; Replication (R) =69</v>
      </c>
      <c r="G21" s="34">
        <f t="shared" ca="1" si="5"/>
        <v>0.27700000000000002</v>
      </c>
      <c r="H21" s="82">
        <v>1</v>
      </c>
      <c r="I21" s="82">
        <f t="shared" si="3"/>
        <v>14</v>
      </c>
      <c r="K21" s="82">
        <v>99</v>
      </c>
      <c r="L21" s="34" t="str">
        <f t="shared" ca="1" si="4"/>
        <v>Means/SE from Figure 3, expt 1</v>
      </c>
    </row>
    <row r="22" spans="1:12" ht="90" x14ac:dyDescent="0.2">
      <c r="A22" s="82">
        <v>14</v>
      </c>
      <c r="B22" s="82">
        <v>4</v>
      </c>
      <c r="C22" s="7" t="s">
        <v>1355</v>
      </c>
      <c r="D22" s="82" t="str">
        <f t="shared" si="0"/>
        <v>overview_14!B</v>
      </c>
      <c r="E22" s="34" t="str">
        <f t="shared" ca="1" si="1"/>
        <v>188 Healthy first degree relatives (patients BP n=59, MD n=73, SZ n=56); also analyses 110 healthy volunteers from earlier study by Erk S, et al. (2010). Latter group referred to as 'Discovery sample' and 'control sample'</v>
      </c>
      <c r="F22" s="34">
        <f t="shared" ca="1" si="2"/>
        <v>188</v>
      </c>
      <c r="G22" s="34">
        <f t="shared" ca="1" si="5"/>
        <v>0.20300000000000001</v>
      </c>
      <c r="H22" s="82">
        <v>2</v>
      </c>
      <c r="I22" s="82">
        <f t="shared" si="3"/>
        <v>24</v>
      </c>
      <c r="K22" s="82">
        <v>297</v>
      </c>
      <c r="L22" s="34" t="str">
        <f t="shared" ca="1" si="4"/>
        <v>data from Figure 2, (NB previously used controls and all relatives pooled with numbers provided by authors, but  the control data have been published previously)</v>
      </c>
    </row>
    <row r="23" spans="1:12" ht="60" x14ac:dyDescent="0.2">
      <c r="A23" s="82">
        <v>15</v>
      </c>
      <c r="B23" s="82">
        <v>4</v>
      </c>
      <c r="C23" s="7" t="s">
        <v>1355</v>
      </c>
      <c r="D23" s="82" t="str">
        <f t="shared" si="0"/>
        <v>overview_15!B</v>
      </c>
      <c r="E23" s="34" t="str">
        <f t="shared" ca="1" si="1"/>
        <v>From Rotterdam study: Healthy nondemented stroke-free, aged over 45, mean age = 64.7 (SD=10.9)(European)</v>
      </c>
      <c r="F23" s="34" t="str">
        <f t="shared" ca="1" si="2"/>
        <v>N = 4413</v>
      </c>
      <c r="G23" s="34">
        <f t="shared" ca="1" si="5"/>
        <v>4.2000000000000003E-2</v>
      </c>
      <c r="H23" s="82">
        <v>0</v>
      </c>
      <c r="I23" s="82">
        <f t="shared" si="3"/>
        <v>4</v>
      </c>
      <c r="K23" s="82">
        <v>4413</v>
      </c>
      <c r="L23" s="34" t="str">
        <f t="shared" ca="1" si="4"/>
        <v>R2 reported by authors</v>
      </c>
    </row>
    <row r="24" spans="1:12" ht="90" x14ac:dyDescent="0.2">
      <c r="A24" s="82">
        <v>19</v>
      </c>
      <c r="B24" s="82">
        <v>4</v>
      </c>
      <c r="C24" s="5" t="s">
        <v>1355</v>
      </c>
      <c r="D24" s="82" t="str">
        <f t="shared" si="0"/>
        <v>overview_19!B</v>
      </c>
      <c r="E24" s="34" t="str">
        <f t="shared" ca="1" si="1"/>
        <v>Discovery sample; treatment-seeking European ancestry smokers aged 18–65 who smoked 10+ cigarettes per day; Replication sample: participants in an open-label trial of nicotine patch versus nicotine nasal spray</v>
      </c>
      <c r="F24" s="34" t="str">
        <f t="shared" ca="1" si="2"/>
        <v>Discovery: N = 449_x000D_Replication: N = 165</v>
      </c>
      <c r="G24" s="34">
        <f t="shared" ca="1" si="5"/>
        <v>0.13600000000000001</v>
      </c>
      <c r="H24" s="82">
        <v>0</v>
      </c>
      <c r="I24" s="82">
        <f t="shared" si="3"/>
        <v>4</v>
      </c>
      <c r="K24" s="82">
        <v>1445</v>
      </c>
      <c r="L24" s="34" t="str">
        <f t="shared" ca="1" si="4"/>
        <v>Table 2, odds ratio</v>
      </c>
    </row>
    <row r="25" spans="1:12" ht="45" x14ac:dyDescent="0.2">
      <c r="A25" s="82">
        <v>23</v>
      </c>
      <c r="B25" s="82">
        <v>4</v>
      </c>
      <c r="C25" s="7" t="s">
        <v>1355</v>
      </c>
      <c r="D25" s="82" t="str">
        <f t="shared" si="0"/>
        <v>overview_23!B</v>
      </c>
      <c r="E25" s="34" t="str">
        <f t="shared" ca="1" si="1"/>
        <v>Healthy, Caucasian subjects (18–89 years); for some analyses focus just on older subgroup]</v>
      </c>
      <c r="F25" s="34" t="str">
        <f t="shared" ca="1" si="2"/>
        <v>N = 232</v>
      </c>
      <c r="G25" s="34">
        <f t="shared" ca="1" si="5"/>
        <v>0.33700000000000002</v>
      </c>
      <c r="H25" s="82">
        <v>0</v>
      </c>
      <c r="I25" s="82">
        <f t="shared" si="3"/>
        <v>4</v>
      </c>
      <c r="K25" s="82">
        <v>232</v>
      </c>
      <c r="L25" s="34" t="str">
        <f t="shared" ca="1" si="4"/>
        <v>Table 2, means and SD, also checked with p-value</v>
      </c>
    </row>
    <row r="26" spans="1:12" ht="75" x14ac:dyDescent="0.2">
      <c r="A26" s="82">
        <v>7</v>
      </c>
      <c r="B26" s="82">
        <v>5</v>
      </c>
      <c r="C26" s="5" t="s">
        <v>1528</v>
      </c>
      <c r="D26" s="82" t="str">
        <f t="shared" si="0"/>
        <v>overview_7!B</v>
      </c>
      <c r="E26" s="34" t="str">
        <f t="shared" ca="1" si="1"/>
        <v>Caucasian females 18-55; D and R both case-control series of patients with chronic facial pain</v>
      </c>
      <c r="F26" s="34" t="str">
        <f t="shared" ca="1" si="2"/>
        <v>Discovery: controls=198 patients=200; Replication: controls=859; patients=106</v>
      </c>
      <c r="G26" s="34">
        <f t="shared" ca="1" si="5"/>
        <v>0.16300000000000001</v>
      </c>
      <c r="H26" s="82">
        <v>1</v>
      </c>
      <c r="I26" s="82">
        <f t="shared" si="3"/>
        <v>15</v>
      </c>
      <c r="K26" s="82">
        <v>399</v>
      </c>
      <c r="L26" s="34" t="str">
        <f t="shared" ca="1" si="4"/>
        <v>t-value, supporting Table S3</v>
      </c>
    </row>
    <row r="27" spans="1:12" ht="30" x14ac:dyDescent="0.2">
      <c r="A27" s="82">
        <v>27</v>
      </c>
      <c r="B27" s="82">
        <v>5</v>
      </c>
      <c r="C27" s="5" t="s">
        <v>1528</v>
      </c>
      <c r="D27" s="82" t="str">
        <f t="shared" si="0"/>
        <v>overview_27!B</v>
      </c>
      <c r="E27" s="34" t="str">
        <f t="shared" ca="1" si="1"/>
        <v>Nonsmokers aged 19-55 yr</v>
      </c>
      <c r="F27" s="34" t="str">
        <f t="shared" ca="1" si="2"/>
        <v>N= 107</v>
      </c>
      <c r="G27" s="34">
        <f t="shared" ca="1" si="5"/>
        <v>0.26600000000000001</v>
      </c>
      <c r="H27" s="82">
        <v>0</v>
      </c>
      <c r="I27" s="82">
        <f t="shared" si="3"/>
        <v>5</v>
      </c>
      <c r="K27" s="82">
        <v>107</v>
      </c>
      <c r="L27" s="34" t="str">
        <f t="shared" ca="1" si="4"/>
        <v>Odds ratio computed from Table 3</v>
      </c>
    </row>
    <row r="28" spans="1:12" ht="45" x14ac:dyDescent="0.2">
      <c r="A28" s="82">
        <v>12</v>
      </c>
      <c r="B28" s="82">
        <v>6</v>
      </c>
      <c r="C28" s="7" t="s">
        <v>1529</v>
      </c>
      <c r="D28" s="82" t="str">
        <f>"overview_"&amp;A29&amp;"!B"</f>
        <v>overview_21!B</v>
      </c>
      <c r="E28" s="34" t="str">
        <f ca="1">INDIRECT(D29&amp;"5")</f>
        <v>Participants from general population aged 70 to 95 yrs</v>
      </c>
      <c r="F28" s="34" t="str">
        <f ca="1">INDIRECT(D29&amp;"6")</f>
        <v>N = 600</v>
      </c>
      <c r="G28" s="34">
        <f ca="1">INDIRECT(D29&amp;"17")</f>
        <v>0.114</v>
      </c>
      <c r="H28" s="82">
        <v>0</v>
      </c>
      <c r="I28" s="82">
        <f>10*H29+B29</f>
        <v>7</v>
      </c>
      <c r="K28" s="82">
        <v>3421</v>
      </c>
      <c r="L28" s="34" t="str">
        <f ca="1">INDIRECT($D29&amp;"16")</f>
        <v>initially computed from p-value in Figure 2; author provided corrected value</v>
      </c>
    </row>
    <row r="29" spans="1:12" ht="45" x14ac:dyDescent="0.2">
      <c r="A29" s="82">
        <v>21</v>
      </c>
      <c r="B29" s="82">
        <v>7</v>
      </c>
      <c r="C29" s="7" t="s">
        <v>1546</v>
      </c>
      <c r="D29" s="82" t="str">
        <f t="shared" si="0"/>
        <v>overview_21!B</v>
      </c>
      <c r="E29" s="34" t="str">
        <f t="shared" ca="1" si="1"/>
        <v>Participants from general population aged 70 to 95 yrs</v>
      </c>
      <c r="F29" s="34" t="str">
        <f t="shared" ca="1" si="2"/>
        <v>N = 600</v>
      </c>
      <c r="G29" s="34">
        <f t="shared" ca="1" si="5"/>
        <v>0.114</v>
      </c>
      <c r="H29" s="82">
        <v>0</v>
      </c>
      <c r="I29" s="82">
        <f t="shared" si="3"/>
        <v>7</v>
      </c>
      <c r="K29" s="82">
        <v>600</v>
      </c>
      <c r="L29" s="34" t="str">
        <f t="shared" ca="1" si="4"/>
        <v>initially computed from p-value in Figure 2; author provided corrected value</v>
      </c>
    </row>
    <row r="30" spans="1:12" ht="75" x14ac:dyDescent="0.2">
      <c r="A30" s="82">
        <v>22</v>
      </c>
      <c r="B30" s="82">
        <v>9</v>
      </c>
      <c r="C30" s="7" t="s">
        <v>1564</v>
      </c>
      <c r="D30" s="82" t="str">
        <f t="shared" si="0"/>
        <v>overview_22!B</v>
      </c>
      <c r="E30" s="34" t="str">
        <f t="shared" ca="1" si="1"/>
        <v>Neonates (144 singleborn; 129 twins: for some analyses twins treated as one case so effective N = 186): ethnicity white; around 40% parents had psychiatric history</v>
      </c>
      <c r="F30" s="34" t="str">
        <f t="shared" ca="1" si="2"/>
        <v>N = 272</v>
      </c>
      <c r="G30" s="34">
        <f t="shared" ca="1" si="5"/>
        <v>0.16900000000000001</v>
      </c>
      <c r="H30" s="82">
        <v>0</v>
      </c>
      <c r="I30" s="82">
        <f t="shared" si="3"/>
        <v>9</v>
      </c>
      <c r="K30" s="82">
        <v>272</v>
      </c>
      <c r="L30" s="34" t="str">
        <f t="shared" ca="1" si="4"/>
        <v>P-value given in first line of Results</v>
      </c>
    </row>
    <row r="31" spans="1:12" ht="30" x14ac:dyDescent="0.2">
      <c r="A31" s="82">
        <v>26</v>
      </c>
      <c r="B31" s="82">
        <v>9</v>
      </c>
      <c r="C31" s="5" t="s">
        <v>1600</v>
      </c>
      <c r="D31" s="82" t="str">
        <f t="shared" si="0"/>
        <v>overview_26!B</v>
      </c>
      <c r="E31" s="34" t="str">
        <f t="shared" ca="1" si="1"/>
        <v>Healthy, Caucasian, highly-educated, mean age 26 yr</v>
      </c>
      <c r="F31" s="34" t="str">
        <f t="shared" ca="1" si="2"/>
        <v>N = 682</v>
      </c>
      <c r="G31" s="34">
        <f t="shared" ca="1" si="5"/>
        <v>0.107</v>
      </c>
      <c r="H31" s="82">
        <v>0</v>
      </c>
      <c r="I31" s="82">
        <f t="shared" si="3"/>
        <v>9</v>
      </c>
      <c r="K31" s="82">
        <v>692</v>
      </c>
      <c r="L31" s="34" t="str">
        <f t="shared" ca="1" si="4"/>
        <v>Figure 2B ; digitised means/SE</v>
      </c>
    </row>
    <row r="32" spans="1:12" x14ac:dyDescent="0.2">
      <c r="C32" s="5"/>
      <c r="E32" s="34"/>
      <c r="F32" s="34"/>
      <c r="G32" s="34"/>
      <c r="H32" s="82"/>
      <c r="L32" s="34"/>
    </row>
    <row r="33" spans="4:9" x14ac:dyDescent="0.2">
      <c r="F33" s="82" t="s">
        <v>1664</v>
      </c>
    </row>
    <row r="34" spans="4:9" x14ac:dyDescent="0.2">
      <c r="D34" s="82" t="s">
        <v>1335</v>
      </c>
      <c r="E34" s="82" t="s">
        <v>1335</v>
      </c>
      <c r="F34" s="83">
        <v>0</v>
      </c>
      <c r="G34" s="83">
        <v>1</v>
      </c>
      <c r="H34" s="63">
        <v>2</v>
      </c>
      <c r="I34" s="82" t="s">
        <v>1669</v>
      </c>
    </row>
    <row r="35" spans="4:9" x14ac:dyDescent="0.2">
      <c r="D35" s="82" t="str">
        <f ca="1">VLOOKUP(E49,B1:C31,2,0)</f>
        <v>J Cog Neuro</v>
      </c>
      <c r="E35" s="82">
        <v>1</v>
      </c>
      <c r="F35" s="82">
        <f ca="1">COUNTIF($I$2:$I$31,"="&amp;F49)</f>
        <v>2</v>
      </c>
      <c r="G35" s="82">
        <f ca="1">COUNTIF($I$2:$I$31,"="&amp;G49)</f>
        <v>0</v>
      </c>
      <c r="H35" s="82">
        <f ca="1">COUNTIF($I$2:$I$31,"="&amp;H49)</f>
        <v>1</v>
      </c>
      <c r="I35" s="82">
        <f ca="1">(G35+H35)/SUM(F35:H35)</f>
        <v>0.33333333333333331</v>
      </c>
    </row>
    <row r="36" spans="4:9" x14ac:dyDescent="0.2">
      <c r="D36" s="82" t="str">
        <f ca="1">VLOOKUP(E49,B2:C33,2,0)</f>
        <v>J Cog Neuro</v>
      </c>
      <c r="E36" s="82">
        <v>2</v>
      </c>
      <c r="F36" s="82">
        <f t="shared" ref="F36:H43" ca="1" si="6">COUNTIF($I$2:$I$31,"="&amp;F49)</f>
        <v>2</v>
      </c>
      <c r="G36" s="82">
        <f t="shared" ca="1" si="6"/>
        <v>0</v>
      </c>
      <c r="H36" s="82">
        <f t="shared" ca="1" si="6"/>
        <v>1</v>
      </c>
      <c r="I36" s="82">
        <f t="shared" ref="I36:I43" ca="1" si="7">(G36+H36)/SUM(F36:H36)</f>
        <v>0.33333333333333331</v>
      </c>
    </row>
    <row r="37" spans="4:9" x14ac:dyDescent="0.2">
      <c r="D37" s="82" t="str">
        <f>VLOOKUP(E50,B3:C34,2,0)</f>
        <v>J Neurosci</v>
      </c>
      <c r="E37" s="82">
        <v>3</v>
      </c>
      <c r="F37" s="82">
        <f t="shared" ca="1" si="6"/>
        <v>1</v>
      </c>
      <c r="G37" s="82">
        <f t="shared" ca="1" si="6"/>
        <v>0</v>
      </c>
      <c r="H37" s="82">
        <f t="shared" ca="1" si="6"/>
        <v>2</v>
      </c>
      <c r="I37" s="82">
        <f t="shared" ca="1" si="7"/>
        <v>0.66666666666666663</v>
      </c>
    </row>
    <row r="38" spans="4:9" x14ac:dyDescent="0.2">
      <c r="D38" s="82" t="str">
        <f t="shared" ref="D38:D43" si="8">VLOOKUP(E51,B4:C47,2,0)</f>
        <v>Biol Psychiat</v>
      </c>
      <c r="E38" s="82">
        <v>4</v>
      </c>
      <c r="F38" s="82">
        <f t="shared" ca="1" si="6"/>
        <v>3</v>
      </c>
      <c r="G38" s="82">
        <f t="shared" ca="1" si="6"/>
        <v>2</v>
      </c>
      <c r="H38" s="82">
        <f t="shared" ca="1" si="6"/>
        <v>1</v>
      </c>
      <c r="I38" s="82">
        <f ca="1">(G39+H39)/SUM(F39:H39)</f>
        <v>0.5</v>
      </c>
    </row>
    <row r="39" spans="4:9" x14ac:dyDescent="0.2">
      <c r="D39" s="82" t="str">
        <f>VLOOKUP(E52,B5:C49,2,0)</f>
        <v>Pain</v>
      </c>
      <c r="E39" s="82">
        <v>5</v>
      </c>
      <c r="F39" s="82">
        <f t="shared" ca="1" si="6"/>
        <v>1</v>
      </c>
      <c r="G39" s="82">
        <f t="shared" ca="1" si="6"/>
        <v>1</v>
      </c>
      <c r="H39" s="82">
        <f t="shared" ca="1" si="6"/>
        <v>0</v>
      </c>
      <c r="I39" s="82">
        <f t="shared" ca="1" si="7"/>
        <v>0.5</v>
      </c>
    </row>
    <row r="40" spans="4:9" x14ac:dyDescent="0.2">
      <c r="D40" s="82" t="str">
        <f t="shared" si="8"/>
        <v>Annals Neurol</v>
      </c>
      <c r="E40" s="82">
        <v>6</v>
      </c>
      <c r="F40" s="82">
        <f t="shared" ca="1" si="6"/>
        <v>0</v>
      </c>
      <c r="G40" s="82">
        <f t="shared" ca="1" si="6"/>
        <v>0</v>
      </c>
      <c r="H40" s="82">
        <f t="shared" ca="1" si="6"/>
        <v>0</v>
      </c>
      <c r="I40" s="82" t="e">
        <f t="shared" ca="1" si="7"/>
        <v>#DIV/0!</v>
      </c>
    </row>
    <row r="41" spans="4:9" x14ac:dyDescent="0.2">
      <c r="D41" s="82" t="str">
        <f t="shared" si="8"/>
        <v>Neurology</v>
      </c>
      <c r="E41" s="82">
        <v>7</v>
      </c>
      <c r="F41" s="82">
        <f t="shared" ca="1" si="6"/>
        <v>2</v>
      </c>
      <c r="G41" s="82">
        <f t="shared" ca="1" si="6"/>
        <v>0</v>
      </c>
      <c r="H41" s="82">
        <f t="shared" ca="1" si="6"/>
        <v>0</v>
      </c>
      <c r="I41" s="82">
        <f t="shared" ca="1" si="7"/>
        <v>0</v>
      </c>
    </row>
    <row r="42" spans="4:9" x14ac:dyDescent="0.2">
      <c r="D42" s="82" t="str">
        <f>VLOOKUP(E55,B9:C51,2,0)</f>
        <v>Cerebral Cortex</v>
      </c>
      <c r="E42" s="82">
        <v>9</v>
      </c>
      <c r="F42" s="82">
        <f t="shared" ca="1" si="6"/>
        <v>2</v>
      </c>
      <c r="G42" s="82">
        <f t="shared" ca="1" si="6"/>
        <v>0</v>
      </c>
      <c r="H42" s="82">
        <f t="shared" ca="1" si="6"/>
        <v>0</v>
      </c>
      <c r="I42" s="82">
        <f t="shared" ca="1" si="7"/>
        <v>0</v>
      </c>
    </row>
    <row r="43" spans="4:9" x14ac:dyDescent="0.2">
      <c r="D43" s="82" t="str">
        <f t="shared" si="8"/>
        <v>Cerebral Cortex</v>
      </c>
      <c r="E43" s="82">
        <v>9</v>
      </c>
      <c r="F43" s="82">
        <f t="shared" ca="1" si="6"/>
        <v>2</v>
      </c>
      <c r="G43" s="82">
        <f t="shared" ca="1" si="6"/>
        <v>0</v>
      </c>
      <c r="H43" s="82">
        <f t="shared" ca="1" si="6"/>
        <v>0</v>
      </c>
      <c r="I43" s="82">
        <f t="shared" ca="1" si="7"/>
        <v>0</v>
      </c>
    </row>
    <row r="44" spans="4:9" x14ac:dyDescent="0.2">
      <c r="I44" s="82">
        <f ca="1">SUM(F35:H43)</f>
        <v>23</v>
      </c>
    </row>
    <row r="47" spans="4:9" x14ac:dyDescent="0.2">
      <c r="E47" s="82" t="s">
        <v>1335</v>
      </c>
      <c r="F47" s="82">
        <v>0</v>
      </c>
      <c r="G47" s="82">
        <v>1</v>
      </c>
      <c r="H47" s="34">
        <v>2</v>
      </c>
    </row>
    <row r="48" spans="4:9" x14ac:dyDescent="0.2">
      <c r="E48" s="82">
        <v>1</v>
      </c>
      <c r="F48" s="82">
        <f>F$47*10+$E49</f>
        <v>2</v>
      </c>
      <c r="G48" s="82">
        <f>G$47*10+$E49</f>
        <v>12</v>
      </c>
      <c r="H48" s="82">
        <f>H$47*10+$E49</f>
        <v>22</v>
      </c>
    </row>
    <row r="49" spans="5:8" x14ac:dyDescent="0.2">
      <c r="E49" s="82">
        <v>2</v>
      </c>
      <c r="F49" s="82">
        <f t="shared" ref="F49:H56" si="9">F$47*10+$E49</f>
        <v>2</v>
      </c>
      <c r="G49" s="82">
        <f t="shared" si="9"/>
        <v>12</v>
      </c>
      <c r="H49" s="82">
        <f t="shared" si="9"/>
        <v>22</v>
      </c>
    </row>
    <row r="50" spans="5:8" x14ac:dyDescent="0.2">
      <c r="E50" s="82">
        <v>3</v>
      </c>
      <c r="F50" s="82">
        <f t="shared" si="9"/>
        <v>3</v>
      </c>
      <c r="G50" s="82">
        <f t="shared" si="9"/>
        <v>13</v>
      </c>
      <c r="H50" s="82">
        <f t="shared" si="9"/>
        <v>23</v>
      </c>
    </row>
    <row r="51" spans="5:8" x14ac:dyDescent="0.2">
      <c r="E51" s="82">
        <v>4</v>
      </c>
      <c r="F51" s="82">
        <f t="shared" si="9"/>
        <v>4</v>
      </c>
      <c r="G51" s="82">
        <f t="shared" si="9"/>
        <v>14</v>
      </c>
      <c r="H51" s="82">
        <f t="shared" si="9"/>
        <v>24</v>
      </c>
    </row>
    <row r="52" spans="5:8" x14ac:dyDescent="0.2">
      <c r="E52" s="82">
        <v>5</v>
      </c>
      <c r="F52" s="82">
        <f t="shared" si="9"/>
        <v>5</v>
      </c>
      <c r="G52" s="82">
        <f t="shared" si="9"/>
        <v>15</v>
      </c>
      <c r="H52" s="82">
        <f t="shared" si="9"/>
        <v>25</v>
      </c>
    </row>
    <row r="53" spans="5:8" x14ac:dyDescent="0.2">
      <c r="E53" s="82">
        <v>6</v>
      </c>
      <c r="F53" s="82">
        <f t="shared" si="9"/>
        <v>6</v>
      </c>
      <c r="G53" s="82">
        <f t="shared" si="9"/>
        <v>16</v>
      </c>
      <c r="H53" s="82">
        <f t="shared" si="9"/>
        <v>26</v>
      </c>
    </row>
    <row r="54" spans="5:8" x14ac:dyDescent="0.2">
      <c r="E54" s="82">
        <v>7</v>
      </c>
      <c r="F54" s="82">
        <f t="shared" si="9"/>
        <v>7</v>
      </c>
      <c r="G54" s="82">
        <f t="shared" si="9"/>
        <v>17</v>
      </c>
      <c r="H54" s="82">
        <f t="shared" si="9"/>
        <v>27</v>
      </c>
    </row>
    <row r="55" spans="5:8" x14ac:dyDescent="0.2">
      <c r="E55" s="82">
        <v>9</v>
      </c>
      <c r="F55" s="82">
        <f t="shared" si="9"/>
        <v>9</v>
      </c>
      <c r="G55" s="82">
        <f t="shared" si="9"/>
        <v>19</v>
      </c>
      <c r="H55" s="82">
        <f t="shared" si="9"/>
        <v>29</v>
      </c>
    </row>
    <row r="56" spans="5:8" x14ac:dyDescent="0.2">
      <c r="E56" s="82">
        <v>9</v>
      </c>
      <c r="F56" s="82">
        <f t="shared" si="9"/>
        <v>9</v>
      </c>
      <c r="G56" s="82">
        <f t="shared" si="9"/>
        <v>19</v>
      </c>
      <c r="H56" s="82">
        <f t="shared" si="9"/>
        <v>29</v>
      </c>
    </row>
    <row r="57" spans="5:8" x14ac:dyDescent="0.2">
      <c r="H57" s="82"/>
    </row>
    <row r="58" spans="5:8" x14ac:dyDescent="0.2">
      <c r="H58" s="82"/>
    </row>
    <row r="60" spans="5:8" x14ac:dyDescent="0.2">
      <c r="H60" s="82"/>
    </row>
    <row r="61" spans="5:8" x14ac:dyDescent="0.2">
      <c r="H61" s="82"/>
    </row>
    <row r="62" spans="5:8" x14ac:dyDescent="0.2">
      <c r="H62" s="82"/>
    </row>
    <row r="63" spans="5:8" x14ac:dyDescent="0.2">
      <c r="H63" s="82"/>
    </row>
    <row r="64" spans="5:8" x14ac:dyDescent="0.2">
      <c r="H64" s="82"/>
    </row>
    <row r="65" spans="8:8" x14ac:dyDescent="0.2">
      <c r="H65" s="82"/>
    </row>
    <row r="66" spans="8:8" x14ac:dyDescent="0.2">
      <c r="H66" s="82"/>
    </row>
    <row r="67" spans="8:8" x14ac:dyDescent="0.2">
      <c r="H67" s="82"/>
    </row>
    <row r="68" spans="8:8" x14ac:dyDescent="0.2">
      <c r="H68" s="82"/>
    </row>
    <row r="69" spans="8:8" x14ac:dyDescent="0.2">
      <c r="H69" s="8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workbookViewId="0">
      <pane xSplit="1" ySplit="1" topLeftCell="E18" activePane="bottomRight" state="frozen"/>
      <selection activeCell="L12" sqref="L12"/>
      <selection pane="topRight" activeCell="L12" sqref="L12"/>
      <selection pane="bottomLeft" activeCell="L12" sqref="L12"/>
      <selection pane="bottomRight" activeCell="I21" sqref="I21"/>
    </sheetView>
  </sheetViews>
  <sheetFormatPr baseColWidth="10" defaultColWidth="9.1640625" defaultRowHeight="15" x14ac:dyDescent="0.2"/>
  <cols>
    <col min="1" max="2" width="9.1640625" style="82"/>
    <col min="3" max="3" width="15.83203125" style="82" customWidth="1"/>
    <col min="4" max="4" width="7.33203125" style="82" customWidth="1"/>
    <col min="5" max="5" width="13.5" style="82" customWidth="1"/>
    <col min="6" max="6" width="31" style="82" customWidth="1"/>
    <col min="7" max="7" width="19.5" style="82" customWidth="1"/>
    <col min="8" max="8" width="20.83203125" style="82" customWidth="1"/>
    <col min="9" max="9" width="11" style="34" customWidth="1"/>
    <col min="10" max="12" width="9.1640625" style="82"/>
    <col min="13" max="13" width="26.5" style="82" customWidth="1"/>
    <col min="14" max="16384" width="9.1640625" style="82"/>
  </cols>
  <sheetData>
    <row r="1" spans="1:13" ht="120" x14ac:dyDescent="0.2">
      <c r="A1" s="82" t="s">
        <v>1338</v>
      </c>
      <c r="B1" s="82" t="s">
        <v>1530</v>
      </c>
      <c r="C1" s="82" t="s">
        <v>1335</v>
      </c>
      <c r="D1" s="82" t="s">
        <v>2206</v>
      </c>
      <c r="E1" s="82" t="s">
        <v>1665</v>
      </c>
      <c r="F1" s="82" t="s">
        <v>1327</v>
      </c>
      <c r="G1" s="82" t="s">
        <v>1666</v>
      </c>
      <c r="H1" s="34" t="s">
        <v>1664</v>
      </c>
      <c r="I1" s="34" t="s">
        <v>2208</v>
      </c>
      <c r="J1" s="34" t="s">
        <v>1794</v>
      </c>
    </row>
    <row r="2" spans="1:13" ht="90" x14ac:dyDescent="0.2">
      <c r="A2" s="82">
        <v>1</v>
      </c>
      <c r="B2" s="34" t="str">
        <f t="shared" ref="B2:B15" ca="1" si="0">INDIRECT(E2&amp;"4")</f>
        <v>10.1038/mp.2015.144</v>
      </c>
      <c r="C2" s="7" t="s">
        <v>1336</v>
      </c>
      <c r="D2" s="7">
        <v>1</v>
      </c>
      <c r="E2" s="82" t="str">
        <f t="shared" ref="E2:E31" si="1">"overview_"&amp;A2&amp;"!B"</f>
        <v>overview_1!B</v>
      </c>
      <c r="F2" s="34" t="str">
        <f t="shared" ref="F2:F31" ca="1" si="2">INDIRECT(E2&amp;"5")</f>
        <v>Discovery sample (D) Child and Adolescent Twin Study in Sweden (CATSS); Replication sample (R) Twin Study of Child and Adolescent Development (TCHAD); age 16-20; analysed boys, girls and boys+girls</v>
      </c>
      <c r="G2" s="34" t="str">
        <f t="shared" ref="G2:G31" ca="1" si="3">INDIRECT(E2&amp;"6")</f>
        <v>D=2372; R=1232</v>
      </c>
      <c r="H2" s="34" t="str">
        <f t="shared" ref="H2:H8" ca="1" si="4">INDIRECT(E2&amp;"19")</f>
        <v>Yes, with only minor difference in phenotype</v>
      </c>
      <c r="I2" s="82">
        <v>1</v>
      </c>
      <c r="J2" s="82">
        <f>10*I2+D2</f>
        <v>11</v>
      </c>
      <c r="M2" s="34"/>
    </row>
    <row r="3" spans="1:13" ht="45" x14ac:dyDescent="0.2">
      <c r="A3" s="82">
        <v>2</v>
      </c>
      <c r="B3" s="34" t="str">
        <f t="shared" ca="1" si="0"/>
        <v>10.1162/jocn_a_00905</v>
      </c>
      <c r="C3" s="7" t="s">
        <v>2205</v>
      </c>
      <c r="D3" s="7">
        <v>2</v>
      </c>
      <c r="E3" s="82" t="str">
        <f t="shared" si="1"/>
        <v>overview_2!B</v>
      </c>
      <c r="F3" s="34" t="str">
        <f t="shared" ca="1" si="2"/>
        <v>Undergraduate students  (psychology course)</v>
      </c>
      <c r="G3" s="34">
        <f t="shared" ca="1" si="3"/>
        <v>195</v>
      </c>
      <c r="H3" s="34" t="str">
        <f t="shared" ca="1" si="4"/>
        <v xml:space="preserve">No </v>
      </c>
      <c r="I3" s="82">
        <v>0</v>
      </c>
      <c r="J3" s="82">
        <f t="shared" ref="J3:J31" si="5">10*I3+D3</f>
        <v>2</v>
      </c>
      <c r="M3" s="34"/>
    </row>
    <row r="4" spans="1:13" ht="60" x14ac:dyDescent="0.2">
      <c r="A4" s="82">
        <v>3</v>
      </c>
      <c r="B4" s="34" t="str">
        <f t="shared" ca="1" si="0"/>
        <v>10.1523/JNEUROSCI.1901-15.2016</v>
      </c>
      <c r="C4" s="7" t="s">
        <v>1353</v>
      </c>
      <c r="D4" s="7">
        <v>3</v>
      </c>
      <c r="E4" s="82" t="str">
        <f t="shared" si="1"/>
        <v>overview_3!B</v>
      </c>
      <c r="F4" s="34" t="str">
        <f t="shared" ca="1" si="2"/>
        <v>Healthy subjects (mean age= 22.6, SD = 4.7) recruited from  Brown University and Providence, Rhode Island community</v>
      </c>
      <c r="G4" s="34" t="str">
        <f t="shared" ca="1" si="3"/>
        <v>171 (105 Caucasian)</v>
      </c>
      <c r="H4" s="34" t="str">
        <f t="shared" ca="1" si="4"/>
        <v xml:space="preserve">No </v>
      </c>
      <c r="I4" s="82">
        <v>0</v>
      </c>
      <c r="J4" s="82">
        <f t="shared" si="5"/>
        <v>3</v>
      </c>
      <c r="M4" s="34"/>
    </row>
    <row r="5" spans="1:13" ht="115" customHeight="1" x14ac:dyDescent="0.2">
      <c r="A5" s="82">
        <v>4</v>
      </c>
      <c r="B5" s="34" t="str">
        <f t="shared" ca="1" si="0"/>
        <v>10.1016/j.biopsych.2014.12.018</v>
      </c>
      <c r="C5" s="7" t="s">
        <v>1355</v>
      </c>
      <c r="D5" s="7">
        <v>4</v>
      </c>
      <c r="E5" s="82" t="str">
        <f t="shared" si="1"/>
        <v>overview_4!B</v>
      </c>
      <c r="F5" s="34" t="str">
        <f t="shared" ca="1" si="2"/>
        <v>Discovery sample (D) training schools of rescue  workers M=22.23, SD=4.07 age; replication sample (R) M=21.43, SD=2.37 age</v>
      </c>
      <c r="G5" s="34" t="str">
        <f t="shared" ca="1" si="3"/>
        <v>D = 112; R = 72</v>
      </c>
      <c r="H5" s="34" t="str">
        <f t="shared" ca="1" si="4"/>
        <v>selected result from replication sample, but same  sex-specific association with hippocampal activation found in discovery sample</v>
      </c>
      <c r="I5" s="82">
        <v>1</v>
      </c>
      <c r="J5" s="82">
        <f t="shared" si="5"/>
        <v>14</v>
      </c>
      <c r="M5" s="34"/>
    </row>
    <row r="6" spans="1:13" ht="75" x14ac:dyDescent="0.2">
      <c r="A6" s="82">
        <v>5</v>
      </c>
      <c r="B6" s="34" t="str">
        <f t="shared" ca="1" si="0"/>
        <v>10.1039/mp.2014.156</v>
      </c>
      <c r="C6" s="7" t="s">
        <v>1336</v>
      </c>
      <c r="D6" s="7">
        <v>1</v>
      </c>
      <c r="E6" s="82" t="str">
        <f t="shared" si="1"/>
        <v>overview_5!B</v>
      </c>
      <c r="F6" s="34" t="str">
        <f t="shared" ca="1" si="2"/>
        <v>Discovery: Sib pairs from subset of Mid South Tobacco Family study; Half AA and half EA ethnicity, 50% smokers. Replication in case-control samplee of 3088 AA and 1430 EA, all unrelated</v>
      </c>
      <c r="G6" s="34" t="str">
        <f t="shared" ca="1" si="3"/>
        <v>D = 400</v>
      </c>
      <c r="H6" s="34" t="str">
        <f t="shared" ca="1" si="4"/>
        <v>yes</v>
      </c>
      <c r="I6" s="82">
        <v>1</v>
      </c>
      <c r="J6" s="82">
        <f t="shared" si="5"/>
        <v>11</v>
      </c>
      <c r="M6" s="34"/>
    </row>
    <row r="7" spans="1:13" ht="75" x14ac:dyDescent="0.2">
      <c r="A7" s="82">
        <v>6</v>
      </c>
      <c r="B7" s="34" t="str">
        <f t="shared" ca="1" si="0"/>
        <v>10.1016/j.biopsych.2014.07.034</v>
      </c>
      <c r="C7" s="7" t="s">
        <v>1355</v>
      </c>
      <c r="D7" s="7">
        <v>4</v>
      </c>
      <c r="E7" s="82" t="str">
        <f t="shared" si="1"/>
        <v>overview_6!B</v>
      </c>
      <c r="F7" s="34" t="str">
        <f t="shared" ca="1" si="2"/>
        <v>Healthy, medication free, recruited from medical school/university adverts. Sample D  (all male); sample R  (21 male); 18-30 years. Sample R oversampled homozygotes</v>
      </c>
      <c r="G7" s="34" t="str">
        <f t="shared" ca="1" si="3"/>
        <v>Discovery (D) =99; Replication (R) =69</v>
      </c>
      <c r="H7" s="34" t="str">
        <f t="shared" ca="1" si="4"/>
        <v>yes</v>
      </c>
      <c r="I7" s="82">
        <v>1</v>
      </c>
      <c r="J7" s="82">
        <f t="shared" si="5"/>
        <v>14</v>
      </c>
      <c r="M7" s="34"/>
    </row>
    <row r="8" spans="1:13" ht="60" x14ac:dyDescent="0.2">
      <c r="A8" s="82">
        <v>7</v>
      </c>
      <c r="B8" s="34" t="str">
        <f t="shared" ca="1" si="0"/>
        <v>10.1097/j.pain.0000000000000273</v>
      </c>
      <c r="C8" s="5" t="s">
        <v>1528</v>
      </c>
      <c r="D8" s="5">
        <v>5</v>
      </c>
      <c r="E8" s="82" t="str">
        <f t="shared" si="1"/>
        <v>overview_7!B</v>
      </c>
      <c r="F8" s="34" t="str">
        <f ca="1">INDIRECT(E9&amp;"5")</f>
        <v>Age 65+</v>
      </c>
      <c r="G8" s="34" t="str">
        <f ca="1">INDIRECT(E9&amp;"6")</f>
        <v>N = 4931</v>
      </c>
      <c r="H8" s="34" t="str">
        <f t="shared" ca="1" si="4"/>
        <v>yes</v>
      </c>
      <c r="I8" s="82">
        <v>1</v>
      </c>
      <c r="J8" s="82">
        <f t="shared" si="5"/>
        <v>15</v>
      </c>
      <c r="M8" s="34"/>
    </row>
    <row r="9" spans="1:13" ht="75" x14ac:dyDescent="0.2">
      <c r="A9" s="82">
        <v>8</v>
      </c>
      <c r="B9" s="34" t="str">
        <f t="shared" ca="1" si="0"/>
        <v>10.1038/mp.2015.62</v>
      </c>
      <c r="C9" s="5" t="s">
        <v>1336</v>
      </c>
      <c r="D9" s="5">
        <v>1</v>
      </c>
      <c r="E9" s="82" t="str">
        <f t="shared" ref="E9" si="6">"overview_"&amp;A9&amp;"!B"</f>
        <v>overview_8!B</v>
      </c>
      <c r="F9" s="34" t="str">
        <f t="shared" ref="F9:F10" ca="1" si="7">INDIRECT(E10&amp;"5")</f>
        <v>Australian elderly cohort drawn from the larger Australian Imaging, Biomarkers and Lifestyle study of ageing (AIBL), age 60+, all cognitively healthy at baseline</v>
      </c>
      <c r="G9" s="34" t="str">
        <f t="shared" ref="G9:G10" ca="1" si="8">INDIRECT(E10&amp;"6")</f>
        <v>N = 527</v>
      </c>
      <c r="H9" s="34" t="str">
        <f t="shared" ref="H9:H31" ca="1" si="9">INDIRECT(E9&amp;"19")</f>
        <v xml:space="preserve">no </v>
      </c>
      <c r="I9" s="82">
        <v>0</v>
      </c>
      <c r="J9" s="82">
        <f t="shared" si="5"/>
        <v>1</v>
      </c>
      <c r="M9" s="34"/>
    </row>
    <row r="10" spans="1:13" ht="75" x14ac:dyDescent="0.2">
      <c r="A10" s="82">
        <v>9</v>
      </c>
      <c r="B10" s="34" t="str">
        <f t="shared" ca="1" si="0"/>
        <v>10.1038/mp.2014.79</v>
      </c>
      <c r="C10" s="5" t="s">
        <v>1336</v>
      </c>
      <c r="D10" s="5">
        <v>1</v>
      </c>
      <c r="E10" s="82" t="str">
        <f t="shared" si="1"/>
        <v>overview_9!B</v>
      </c>
      <c r="F10" s="34" t="str">
        <f t="shared" ca="1" si="7"/>
        <v xml:space="preserve">Right handed; 15 male M=25.3 years, SD=5.6, range 18-40; greater New Haven area; were enrolled based on BMI and genotype, matched on age, sex, genotype </v>
      </c>
      <c r="G10" s="34" t="str">
        <f t="shared" ca="1" si="8"/>
        <v>N = 32</v>
      </c>
      <c r="H10" s="34" t="str">
        <f t="shared" ca="1" si="9"/>
        <v xml:space="preserve">no </v>
      </c>
      <c r="I10" s="82">
        <v>0</v>
      </c>
      <c r="J10" s="82">
        <f t="shared" si="5"/>
        <v>1</v>
      </c>
      <c r="M10" s="34"/>
    </row>
    <row r="11" spans="1:13" ht="75" x14ac:dyDescent="0.2">
      <c r="A11" s="82">
        <v>10</v>
      </c>
      <c r="B11" s="34" t="str">
        <f t="shared" ca="1" si="0"/>
        <v>10.1523/JNEUROSCI.3884-14.2015</v>
      </c>
      <c r="C11" s="5" t="s">
        <v>1353</v>
      </c>
      <c r="D11" s="5">
        <v>3</v>
      </c>
      <c r="E11" s="82" t="str">
        <f t="shared" si="1"/>
        <v>overview_10!B</v>
      </c>
      <c r="F11" s="34" t="str">
        <f t="shared" ca="1" si="2"/>
        <v xml:space="preserve">Right handed; 15 male M=25.3 years, SD=5.6, range 18-40; greater New Haven area; were enrolled based on BMI and genotype, matched on age, sex, genotype </v>
      </c>
      <c r="G11" s="34" t="str">
        <f t="shared" ca="1" si="3"/>
        <v>N = 32</v>
      </c>
      <c r="H11" s="34" t="str">
        <f t="shared" ca="1" si="9"/>
        <v xml:space="preserve">no </v>
      </c>
      <c r="I11" s="82">
        <v>0</v>
      </c>
      <c r="J11" s="82">
        <f t="shared" si="5"/>
        <v>3</v>
      </c>
      <c r="M11" s="34"/>
    </row>
    <row r="12" spans="1:13" ht="75" x14ac:dyDescent="0.2">
      <c r="A12" s="82">
        <v>11</v>
      </c>
      <c r="B12" s="34" t="str">
        <f t="shared" ca="1" si="0"/>
        <v>10.1038/mp.2014.39</v>
      </c>
      <c r="C12" s="5" t="s">
        <v>1336</v>
      </c>
      <c r="D12" s="5">
        <v>1</v>
      </c>
      <c r="E12" s="82" t="str">
        <f t="shared" si="1"/>
        <v>overview_11!B</v>
      </c>
      <c r="F12" s="34" t="str">
        <f t="shared" ca="1" si="2"/>
        <v>Two German samples from general population: Münster sample and new subsample of the SHIP-TREND MRI cohort that was not part of previously published GWAS</v>
      </c>
      <c r="G12" s="34" t="str">
        <f t="shared" ca="1" si="3"/>
        <v>Sample 1: N = 512; Sample 2: N = 721</v>
      </c>
      <c r="H12" s="34" t="str">
        <f t="shared" ca="1" si="9"/>
        <v>yes</v>
      </c>
      <c r="I12" s="82">
        <v>1</v>
      </c>
      <c r="J12" s="82">
        <f t="shared" si="5"/>
        <v>11</v>
      </c>
      <c r="M12" s="34"/>
    </row>
    <row r="13" spans="1:13" ht="90" x14ac:dyDescent="0.2">
      <c r="A13" s="82">
        <v>12</v>
      </c>
      <c r="B13" s="34" t="str">
        <f t="shared" ca="1" si="0"/>
        <v>10.1002/ana.24337</v>
      </c>
      <c r="C13" s="5" t="s">
        <v>1529</v>
      </c>
      <c r="D13" s="5">
        <v>6</v>
      </c>
      <c r="E13" s="82" t="str">
        <f t="shared" si="1"/>
        <v>overview_12!B</v>
      </c>
      <c r="F13" s="34" t="str">
        <f t="shared" ca="1" si="2"/>
        <v>Deceased individuals from 3 prospective cohorts on ageing; mixed heritage (European American, African American)</v>
      </c>
      <c r="G13" s="34" t="str">
        <f t="shared" ca="1" si="3"/>
        <v>N = 3421</v>
      </c>
      <c r="H13" s="34" t="str">
        <f t="shared" ca="1" si="9"/>
        <v xml:space="preserve">Unclear. Fig 2 shows results for all 3 cohorts combined. Unclear if there was significant effect in both cohorts independently </v>
      </c>
      <c r="I13" s="82">
        <v>0</v>
      </c>
      <c r="J13" s="82">
        <f t="shared" si="5"/>
        <v>6</v>
      </c>
      <c r="M13" s="34"/>
    </row>
    <row r="14" spans="1:13" ht="75" x14ac:dyDescent="0.2">
      <c r="A14" s="82">
        <v>13</v>
      </c>
      <c r="B14" s="34" t="str">
        <f t="shared" ca="1" si="0"/>
        <v>10.1162/jocn_a_00724</v>
      </c>
      <c r="C14" s="7" t="s">
        <v>1349</v>
      </c>
      <c r="D14" s="7">
        <v>2</v>
      </c>
      <c r="E14" s="82" t="str">
        <f t="shared" si="1"/>
        <v>overview_13!B</v>
      </c>
      <c r="F14" s="34" t="str">
        <f t="shared" ca="1" si="2"/>
        <v>General sample: n=187 (60 men); 18-35 years; University of Texas at Austin introductory participant pool; Screened sample n=221 (96 men), given more detailed neuropsychiatric screening</v>
      </c>
      <c r="G14" s="34" t="str">
        <f t="shared" ca="1" si="3"/>
        <v>n1=187; n2=221</v>
      </c>
      <c r="H14" s="34" t="str">
        <f t="shared" ca="1" si="9"/>
        <v>No effect of cohort when both samples in analysis, but effect of genotype not significant within either cohort alone</v>
      </c>
      <c r="I14" s="82">
        <v>2</v>
      </c>
      <c r="J14" s="82">
        <f t="shared" si="5"/>
        <v>22</v>
      </c>
      <c r="M14" s="34"/>
    </row>
    <row r="15" spans="1:13" ht="90" x14ac:dyDescent="0.2">
      <c r="A15" s="82">
        <v>14</v>
      </c>
      <c r="B15" s="34" t="str">
        <f t="shared" ca="1" si="0"/>
        <v>10.1016/j.biopsych.2013.11.025</v>
      </c>
      <c r="C15" s="7" t="s">
        <v>1355</v>
      </c>
      <c r="D15" s="7">
        <v>4</v>
      </c>
      <c r="E15" s="82" t="str">
        <f t="shared" si="1"/>
        <v>overview_14!B</v>
      </c>
      <c r="F15" s="34" t="str">
        <f t="shared" ca="1" si="2"/>
        <v>188 Healthy first degree relatives (patients BP n=59, MD n=73, SZ n=56); also analyses 110 healthy volunteers from earlier study by Erk S, et al. (2010). Latter group referred to as 'Discovery sample' and 'control sample'</v>
      </c>
      <c r="G15" s="34">
        <f t="shared" ca="1" si="3"/>
        <v>188</v>
      </c>
      <c r="H15" s="34" t="str">
        <f t="shared" ca="1" si="9"/>
        <v>This sample treated as replication of previous study, though data from that study are analysed here, with some different results</v>
      </c>
      <c r="I15" s="82">
        <v>2</v>
      </c>
      <c r="J15" s="82">
        <f t="shared" si="5"/>
        <v>24</v>
      </c>
      <c r="M15" s="34"/>
    </row>
    <row r="16" spans="1:13" ht="60" x14ac:dyDescent="0.2">
      <c r="A16" s="82">
        <v>15</v>
      </c>
      <c r="B16" s="34" t="str">
        <f t="shared" ref="B16:B20" ca="1" si="10">INDIRECT(E16&amp;"4")</f>
        <v>10.1016/j.biopsych.2014.03.006</v>
      </c>
      <c r="C16" s="7" t="s">
        <v>1355</v>
      </c>
      <c r="D16" s="7">
        <v>4</v>
      </c>
      <c r="E16" s="82" t="str">
        <f t="shared" si="1"/>
        <v>overview_15!B</v>
      </c>
      <c r="F16" s="34" t="str">
        <f t="shared" ca="1" si="2"/>
        <v>From Rotterdam study: Healthy nondemented stroke-free, aged over 45, mean age = 64.7 (SD=10.9)(European)</v>
      </c>
      <c r="G16" s="34" t="str">
        <f t="shared" ca="1" si="3"/>
        <v>N = 4413</v>
      </c>
      <c r="H16" s="34" t="str">
        <f t="shared" ca="1" si="9"/>
        <v>No</v>
      </c>
      <c r="I16" s="82">
        <v>0</v>
      </c>
      <c r="J16" s="82">
        <f t="shared" si="5"/>
        <v>4</v>
      </c>
      <c r="M16" s="34"/>
    </row>
    <row r="17" spans="1:13" ht="45" x14ac:dyDescent="0.2">
      <c r="A17" s="82">
        <v>16</v>
      </c>
      <c r="B17" s="34" t="str">
        <f t="shared" ca="1" si="10"/>
        <v>10.1038/mp.2013.117</v>
      </c>
      <c r="C17" s="7" t="s">
        <v>1336</v>
      </c>
      <c r="D17" s="7">
        <v>1</v>
      </c>
      <c r="E17" s="82" t="str">
        <f t="shared" si="1"/>
        <v>overview_16!B</v>
      </c>
      <c r="F17" s="34" t="str">
        <f t="shared" ca="1" si="2"/>
        <v>Health in Men Study: males aged 65-83 years</v>
      </c>
      <c r="G17" s="34" t="str">
        <f t="shared" ca="1" si="3"/>
        <v>N = 3873</v>
      </c>
      <c r="H17" s="34" t="str">
        <f t="shared" ca="1" si="9"/>
        <v>No, but selected result replicates previously established finding</v>
      </c>
      <c r="I17" s="82">
        <v>3</v>
      </c>
      <c r="J17" s="82">
        <f t="shared" si="5"/>
        <v>31</v>
      </c>
      <c r="M17" s="34"/>
    </row>
    <row r="18" spans="1:13" ht="60" x14ac:dyDescent="0.2">
      <c r="A18" s="82">
        <v>17</v>
      </c>
      <c r="B18" s="34" t="str">
        <f t="shared" ca="1" si="10"/>
        <v>10.1038/mp.2013.140</v>
      </c>
      <c r="C18" s="7" t="s">
        <v>1336</v>
      </c>
      <c r="D18" s="7">
        <v>1</v>
      </c>
      <c r="E18" s="82" t="str">
        <f t="shared" si="1"/>
        <v>overview_17!B</v>
      </c>
      <c r="F18" s="34" t="str">
        <f ca="1">INDIRECT(E18&amp;"5")</f>
        <v>Right-handed non-clinical participants of European descent from undergraduate participant pools; (201 males; mean age=21.2, s.d = 5.1 years)</v>
      </c>
      <c r="G18" s="34" t="str">
        <f ca="1">INDIRECT(E18&amp;"6")</f>
        <v xml:space="preserve">N = 381 </v>
      </c>
      <c r="H18" s="34" t="str">
        <f t="shared" ca="1" si="9"/>
        <v>No</v>
      </c>
      <c r="I18" s="82">
        <v>0</v>
      </c>
      <c r="J18" s="82">
        <f t="shared" si="5"/>
        <v>1</v>
      </c>
      <c r="M18" s="34"/>
    </row>
    <row r="19" spans="1:13" ht="60" x14ac:dyDescent="0.2">
      <c r="A19" s="82">
        <v>18</v>
      </c>
      <c r="B19" s="34" t="str">
        <f t="shared" ca="1" si="10"/>
        <v>10.1016/j.biopsych.2013.07.043</v>
      </c>
      <c r="C19" s="7" t="s">
        <v>1355</v>
      </c>
      <c r="D19" s="7">
        <v>4</v>
      </c>
      <c r="E19" s="82" t="str">
        <f t="shared" si="1"/>
        <v>overview_18!B</v>
      </c>
      <c r="F19" s="34" t="str">
        <f t="shared" ca="1" si="2"/>
        <v>Adolescents from IMAGEN sample</v>
      </c>
      <c r="G19" s="34" t="str">
        <f t="shared" ca="1" si="3"/>
        <v>N = 1445</v>
      </c>
      <c r="H19" s="34" t="str">
        <f t="shared" ca="1" si="9"/>
        <v>No</v>
      </c>
      <c r="I19" s="82">
        <v>0</v>
      </c>
      <c r="J19" s="82">
        <f t="shared" si="5"/>
        <v>4</v>
      </c>
      <c r="M19" s="34"/>
    </row>
    <row r="20" spans="1:13" ht="90" x14ac:dyDescent="0.2">
      <c r="A20" s="82">
        <v>19</v>
      </c>
      <c r="B20" s="34" t="str">
        <f t="shared" ca="1" si="10"/>
        <v>10.1038/mp.2013.104</v>
      </c>
      <c r="C20" s="7" t="s">
        <v>1336</v>
      </c>
      <c r="D20" s="7">
        <v>1</v>
      </c>
      <c r="E20" s="82" t="str">
        <f t="shared" si="1"/>
        <v>overview_19!B</v>
      </c>
      <c r="F20" s="34" t="str">
        <f t="shared" ca="1" si="2"/>
        <v>Discovery sample; treatment-seeking European ancestry smokers aged 18–65 who smoked 10+ cigarettes per day; Replication sample: participants in an open-label trial of nicotine patch versus nicotine nasal spray</v>
      </c>
      <c r="G20" s="34" t="str">
        <f t="shared" ca="1" si="3"/>
        <v>Discovery: N = 449_x000D_Replication: N = 165</v>
      </c>
      <c r="H20" s="34" t="str">
        <f t="shared" ca="1" si="9"/>
        <v>yes</v>
      </c>
      <c r="I20" s="82">
        <v>1</v>
      </c>
      <c r="J20" s="82">
        <f t="shared" si="5"/>
        <v>11</v>
      </c>
      <c r="M20" s="34"/>
    </row>
    <row r="21" spans="1:13" ht="45" x14ac:dyDescent="0.2">
      <c r="A21" s="82">
        <v>20</v>
      </c>
      <c r="B21" s="34" t="str">
        <f t="shared" ref="B21:B31" ca="1" si="11">INDIRECT(E21&amp;"4")</f>
        <v>10.1162/jocn_a_00592</v>
      </c>
      <c r="C21" s="7" t="s">
        <v>1349</v>
      </c>
      <c r="D21" s="7">
        <v>2</v>
      </c>
      <c r="E21" s="82" t="str">
        <f t="shared" si="1"/>
        <v>overview_20!B</v>
      </c>
      <c r="F21" s="34" t="str">
        <f t="shared" ca="1" si="2"/>
        <v>Healthy male undergraduates, 79% Asian, 16% white; 3% mixed</v>
      </c>
      <c r="G21" s="34" t="str">
        <f t="shared" ca="1" si="3"/>
        <v>N = 38</v>
      </c>
      <c r="H21" s="34" t="str">
        <f t="shared" ca="1" si="9"/>
        <v>No</v>
      </c>
      <c r="I21" s="82">
        <v>0</v>
      </c>
      <c r="J21" s="82">
        <f t="shared" si="5"/>
        <v>2</v>
      </c>
      <c r="M21" s="34"/>
    </row>
    <row r="22" spans="1:13" ht="60" x14ac:dyDescent="0.2">
      <c r="A22" s="82">
        <v>21</v>
      </c>
      <c r="B22" s="34" t="str">
        <f t="shared" ca="1" si="11"/>
        <v>10.1212/WNL.0000000000000467</v>
      </c>
      <c r="C22" s="7" t="s">
        <v>1546</v>
      </c>
      <c r="D22" s="7">
        <v>7</v>
      </c>
      <c r="E22" s="82" t="str">
        <f t="shared" si="1"/>
        <v>overview_21!B</v>
      </c>
      <c r="F22" s="34" t="str">
        <f t="shared" ca="1" si="2"/>
        <v>Participants from general population aged 70 to 95 yrs</v>
      </c>
      <c r="G22" s="34" t="str">
        <f t="shared" ca="1" si="3"/>
        <v>N = 600</v>
      </c>
      <c r="H22" s="34" t="str">
        <f t="shared" ca="1" si="9"/>
        <v>No</v>
      </c>
      <c r="I22" s="82">
        <v>0</v>
      </c>
      <c r="J22" s="82">
        <f t="shared" si="5"/>
        <v>7</v>
      </c>
      <c r="M22" s="34"/>
    </row>
    <row r="23" spans="1:13" ht="75" x14ac:dyDescent="0.2">
      <c r="A23" s="82">
        <v>22</v>
      </c>
      <c r="B23" s="34" t="str">
        <f t="shared" ca="1" si="11"/>
        <v>10.1093/cercor/bhs401</v>
      </c>
      <c r="C23" s="7" t="s">
        <v>2207</v>
      </c>
      <c r="D23" s="7">
        <v>8</v>
      </c>
      <c r="E23" s="82" t="str">
        <f t="shared" si="1"/>
        <v>overview_22!B</v>
      </c>
      <c r="F23" s="34" t="str">
        <f t="shared" ca="1" si="2"/>
        <v>Neonates (144 singleborn; 129 twins: for some analyses twins treated as one case so effective N = 186): ethnicity white; around 40% parents had psychiatric history</v>
      </c>
      <c r="G23" s="34" t="str">
        <f t="shared" ca="1" si="3"/>
        <v>N = 272</v>
      </c>
      <c r="H23" s="34" t="str">
        <f t="shared" ca="1" si="9"/>
        <v>no</v>
      </c>
      <c r="I23" s="82">
        <v>0</v>
      </c>
      <c r="J23" s="82">
        <f t="shared" si="5"/>
        <v>8</v>
      </c>
      <c r="M23" s="34"/>
    </row>
    <row r="24" spans="1:13" ht="60" x14ac:dyDescent="0.2">
      <c r="A24" s="82">
        <v>23</v>
      </c>
      <c r="B24" s="34" t="str">
        <f t="shared" ca="1" si="11"/>
        <v>10.1016/j.biopsych.2013.09.036</v>
      </c>
      <c r="C24" s="5" t="s">
        <v>1355</v>
      </c>
      <c r="D24" s="5">
        <v>4</v>
      </c>
      <c r="E24" s="82" t="str">
        <f t="shared" si="1"/>
        <v>overview_23!B</v>
      </c>
      <c r="F24" s="34" t="str">
        <f t="shared" ca="1" si="2"/>
        <v>Healthy, Caucasian subjects (18–89 years); for some analyses focus just on older subgroup]</v>
      </c>
      <c r="G24" s="34" t="str">
        <f t="shared" ca="1" si="3"/>
        <v>N = 232</v>
      </c>
      <c r="H24" s="34" t="str">
        <f t="shared" ca="1" si="9"/>
        <v>no</v>
      </c>
      <c r="I24" s="82">
        <v>0</v>
      </c>
      <c r="J24" s="82">
        <f t="shared" si="5"/>
        <v>4</v>
      </c>
      <c r="M24" s="34"/>
    </row>
    <row r="25" spans="1:13" ht="45" x14ac:dyDescent="0.2">
      <c r="A25" s="82">
        <v>24</v>
      </c>
      <c r="B25" s="34" t="str">
        <f t="shared" ca="1" si="11"/>
        <v>10.1038/mp.2013.133</v>
      </c>
      <c r="C25" s="7" t="s">
        <v>1336</v>
      </c>
      <c r="D25" s="7">
        <v>1</v>
      </c>
      <c r="E25" s="82" t="str">
        <f t="shared" si="1"/>
        <v>overview_24!B</v>
      </c>
      <c r="F25" s="34" t="str">
        <f t="shared" ca="1" si="2"/>
        <v>Healthy volunteers; Caucasian</v>
      </c>
      <c r="G25" s="34" t="str">
        <f t="shared" ca="1" si="3"/>
        <v>N = 176</v>
      </c>
      <c r="H25" s="34" t="str">
        <f t="shared" ca="1" si="9"/>
        <v>no</v>
      </c>
      <c r="I25" s="82">
        <v>0</v>
      </c>
      <c r="J25" s="82">
        <f t="shared" si="5"/>
        <v>1</v>
      </c>
      <c r="M25" s="34"/>
    </row>
    <row r="26" spans="1:13" ht="75" x14ac:dyDescent="0.2">
      <c r="A26" s="82">
        <v>25</v>
      </c>
      <c r="B26" s="34" t="str">
        <f t="shared" ca="1" si="11"/>
        <v>10.1523/JNEUROSCI.3496-13.2014</v>
      </c>
      <c r="C26" s="5" t="s">
        <v>1353</v>
      </c>
      <c r="D26" s="5">
        <v>3</v>
      </c>
      <c r="E26" s="82" t="str">
        <f t="shared" si="1"/>
        <v>overview_25!B</v>
      </c>
      <c r="F26" s="34" t="str">
        <f t="shared" ca="1" si="2"/>
        <v>Healthy Caucasian volunteers (195 males, 215 females) aged 18-55 yr; 2nd sample included individuals with Sz and their siblings; our focus here is on sample 1</v>
      </c>
      <c r="G26" s="34" t="str">
        <f t="shared" ca="1" si="3"/>
        <v>N1 = 410, (N2 = 201)</v>
      </c>
      <c r="H26" s="34" t="str">
        <f t="shared" ca="1" si="9"/>
        <v>Sz patients and siblings but effect not replicated in patients</v>
      </c>
      <c r="I26" s="82">
        <v>2</v>
      </c>
      <c r="J26" s="82">
        <f t="shared" si="5"/>
        <v>23</v>
      </c>
      <c r="M26" s="34"/>
    </row>
    <row r="27" spans="1:13" ht="45" x14ac:dyDescent="0.2">
      <c r="A27" s="82">
        <v>26</v>
      </c>
      <c r="B27" s="34" t="str">
        <f t="shared" ca="1" si="11"/>
        <v>10.1016/j.neuron.2013.08.030</v>
      </c>
      <c r="C27" s="5" t="s">
        <v>1600</v>
      </c>
      <c r="D27" s="5">
        <v>9</v>
      </c>
      <c r="E27" s="82" t="str">
        <f t="shared" si="1"/>
        <v>overview_26!B</v>
      </c>
      <c r="F27" s="34" t="str">
        <f t="shared" ca="1" si="2"/>
        <v>Healthy, Caucasian, highly-educated, mean age 26 yr</v>
      </c>
      <c r="G27" s="34" t="str">
        <f t="shared" ca="1" si="3"/>
        <v>N = 682</v>
      </c>
      <c r="H27" s="34" t="str">
        <f t="shared" ca="1" si="9"/>
        <v>no</v>
      </c>
      <c r="I27" s="82">
        <v>0</v>
      </c>
      <c r="J27" s="82">
        <f t="shared" si="5"/>
        <v>9</v>
      </c>
      <c r="M27" s="34"/>
    </row>
    <row r="28" spans="1:13" ht="45" x14ac:dyDescent="0.2">
      <c r="A28" s="82">
        <v>27</v>
      </c>
      <c r="B28" s="34" t="str">
        <f t="shared" ca="1" si="11"/>
        <v>10.1016/j.pain.2013.05.016</v>
      </c>
      <c r="C28" s="7" t="s">
        <v>1528</v>
      </c>
      <c r="D28" s="7">
        <v>5</v>
      </c>
      <c r="E28" s="82" t="str">
        <f>"overview_"&amp;A28&amp;"!B"</f>
        <v>overview_27!B</v>
      </c>
      <c r="F28" s="34" t="str">
        <f ca="1">INDIRECT(E28&amp;"5")</f>
        <v>Nonsmokers aged 19-55 yr</v>
      </c>
      <c r="G28" s="34" t="str">
        <f ca="1">INDIRECT(E28&amp;"6")</f>
        <v>N= 107</v>
      </c>
      <c r="H28" s="34" t="str">
        <f t="shared" ca="1" si="9"/>
        <v xml:space="preserve">no </v>
      </c>
      <c r="I28" s="82">
        <v>0</v>
      </c>
      <c r="J28" s="82">
        <f t="shared" si="5"/>
        <v>5</v>
      </c>
      <c r="M28" s="34"/>
    </row>
    <row r="29" spans="1:13" ht="60" x14ac:dyDescent="0.2">
      <c r="A29" s="82">
        <v>28</v>
      </c>
      <c r="B29" s="34" t="str">
        <f t="shared" ca="1" si="11"/>
        <v>10.1016/j.biopsych.2013.03.027</v>
      </c>
      <c r="C29" s="7" t="s">
        <v>1355</v>
      </c>
      <c r="D29" s="7">
        <v>4</v>
      </c>
      <c r="E29" s="82" t="str">
        <f t="shared" si="1"/>
        <v>overview_28!B</v>
      </c>
      <c r="F29" s="34" t="str">
        <f t="shared" ca="1" si="2"/>
        <v>Adolescents from the IMAGEN study who did not achieve diagnostic criteria for ADHD; 190 boys, 224 girls; mean age 14 yr</v>
      </c>
      <c r="G29" s="34">
        <f t="shared" ca="1" si="3"/>
        <v>414</v>
      </c>
      <c r="H29" s="34" t="str">
        <f t="shared" ca="1" si="9"/>
        <v>no</v>
      </c>
      <c r="I29" s="82">
        <v>0</v>
      </c>
      <c r="J29" s="82">
        <f t="shared" si="5"/>
        <v>4</v>
      </c>
      <c r="M29" s="34"/>
    </row>
    <row r="30" spans="1:13" ht="105" x14ac:dyDescent="0.2">
      <c r="A30" s="82">
        <v>29</v>
      </c>
      <c r="B30" s="34" t="str">
        <f t="shared" ca="1" si="11"/>
        <v>10.1038/mp.2012.72</v>
      </c>
      <c r="C30" s="7" t="s">
        <v>1336</v>
      </c>
      <c r="D30" s="7">
        <v>1</v>
      </c>
      <c r="E30" s="82" t="str">
        <f t="shared" si="1"/>
        <v>overview_29!B</v>
      </c>
      <c r="F30" s="34" t="str">
        <f t="shared" ca="1" si="2"/>
        <v>From the Adult Health and Behavior (AHAB) Study, which investigates a variety of behavioral and biological traits among non-patient, middle-aged community volunteers. Restricted to Caucasian participants,  mean age 44.70±6.49 years).</v>
      </c>
      <c r="G30" s="34" t="str">
        <f t="shared" ca="1" si="3"/>
        <v>N = 91 for imaging genetics; 975 for personality study</v>
      </c>
      <c r="H30" s="34" t="str">
        <f t="shared" ca="1" si="9"/>
        <v>2nd, larger, sample had  converging evidence with different phenotype (stress reactivity); For first sample, clear a priori predictions from prior mouse study</v>
      </c>
      <c r="I30" s="82">
        <v>2</v>
      </c>
      <c r="J30" s="82">
        <f t="shared" si="5"/>
        <v>21</v>
      </c>
      <c r="M30" s="34"/>
    </row>
    <row r="31" spans="1:13" ht="60" x14ac:dyDescent="0.2">
      <c r="A31" s="82">
        <v>30</v>
      </c>
      <c r="B31" s="34" t="str">
        <f t="shared" ca="1" si="11"/>
        <v>10.1038/mp.2012.53</v>
      </c>
      <c r="C31" s="7" t="s">
        <v>1336</v>
      </c>
      <c r="D31" s="7">
        <v>1</v>
      </c>
      <c r="E31" s="82" t="str">
        <f t="shared" si="1"/>
        <v>overview_30!B</v>
      </c>
      <c r="F31" s="34" t="str">
        <f t="shared" ca="1" si="2"/>
        <v>Heidelberg longitudinal cohort: men (47.6%; mean age 53.5±7.1 years) and women (52.4%; mean age 52.9±7.0 years)</v>
      </c>
      <c r="G31" s="34" t="str">
        <f t="shared" ca="1" si="3"/>
        <v>1804 men and 1989 women</v>
      </c>
      <c r="H31" s="34" t="str">
        <f t="shared" ca="1" si="9"/>
        <v>No: this study had a priori hypothesis based on finding from previous large study</v>
      </c>
      <c r="I31" s="82">
        <v>3</v>
      </c>
      <c r="J31" s="82">
        <f t="shared" si="5"/>
        <v>31</v>
      </c>
      <c r="M31" s="34"/>
    </row>
    <row r="32" spans="1:13" x14ac:dyDescent="0.2">
      <c r="C32" s="5"/>
      <c r="D32" s="5"/>
      <c r="F32" s="34"/>
      <c r="G32" s="34"/>
      <c r="H32" s="34"/>
      <c r="I32" s="82"/>
      <c r="M32" s="34"/>
    </row>
    <row r="33" spans="5:10" x14ac:dyDescent="0.2">
      <c r="G33" s="82" t="s">
        <v>1664</v>
      </c>
    </row>
    <row r="34" spans="5:10" x14ac:dyDescent="0.2">
      <c r="E34" s="82" t="s">
        <v>1335</v>
      </c>
      <c r="F34" s="82" t="s">
        <v>1335</v>
      </c>
      <c r="G34" s="83">
        <v>0</v>
      </c>
      <c r="H34" s="83">
        <v>1</v>
      </c>
      <c r="I34" s="63">
        <v>2</v>
      </c>
      <c r="J34" s="82" t="s">
        <v>1669</v>
      </c>
    </row>
    <row r="35" spans="5:10" x14ac:dyDescent="0.2">
      <c r="E35" s="82" t="e">
        <f ca="1">VLOOKUP(F49,B1:C31,2,0)</f>
        <v>#N/A</v>
      </c>
      <c r="F35" s="82">
        <v>1</v>
      </c>
      <c r="G35" s="82">
        <f>COUNTIF($J$2:$J$31,"="&amp;G49)</f>
        <v>2</v>
      </c>
      <c r="H35" s="82">
        <f>COUNTIF($J$2:$J$31,"="&amp;H49)</f>
        <v>0</v>
      </c>
      <c r="I35" s="82">
        <f>COUNTIF($J$2:$J$31,"="&amp;I49)</f>
        <v>1</v>
      </c>
      <c r="J35" s="82">
        <f>(H35+I35)/SUM(G35:I35)</f>
        <v>0.33333333333333331</v>
      </c>
    </row>
    <row r="36" spans="5:10" x14ac:dyDescent="0.2">
      <c r="E36" s="82" t="e">
        <f ca="1">VLOOKUP(F49,B2:C33,2,0)</f>
        <v>#N/A</v>
      </c>
      <c r="F36" s="82">
        <v>2</v>
      </c>
      <c r="G36" s="82">
        <f t="shared" ref="G36:I43" si="12">COUNTIF($J$2:$J$31,"="&amp;G49)</f>
        <v>2</v>
      </c>
      <c r="H36" s="82">
        <f t="shared" si="12"/>
        <v>0</v>
      </c>
      <c r="I36" s="82">
        <f t="shared" si="12"/>
        <v>1</v>
      </c>
      <c r="J36" s="82">
        <f t="shared" ref="J36:J43" si="13">(H36+I36)/SUM(G36:I36)</f>
        <v>0.33333333333333331</v>
      </c>
    </row>
    <row r="37" spans="5:10" x14ac:dyDescent="0.2">
      <c r="E37" s="82" t="e">
        <f ca="1">VLOOKUP(F50,B3:C34,2,0)</f>
        <v>#N/A</v>
      </c>
      <c r="F37" s="82">
        <v>3</v>
      </c>
      <c r="G37" s="82">
        <f t="shared" si="12"/>
        <v>2</v>
      </c>
      <c r="H37" s="82">
        <f t="shared" si="12"/>
        <v>0</v>
      </c>
      <c r="I37" s="82">
        <f t="shared" si="12"/>
        <v>1</v>
      </c>
      <c r="J37" s="82">
        <f t="shared" si="13"/>
        <v>0.33333333333333331</v>
      </c>
    </row>
    <row r="38" spans="5:10" x14ac:dyDescent="0.2">
      <c r="E38" s="82" t="e">
        <f t="shared" ref="E38:E43" ca="1" si="14">VLOOKUP(F51,B4:C47,2,0)</f>
        <v>#N/A</v>
      </c>
      <c r="F38" s="82">
        <v>4</v>
      </c>
      <c r="G38" s="82">
        <f t="shared" si="12"/>
        <v>4</v>
      </c>
      <c r="H38" s="82">
        <f t="shared" si="12"/>
        <v>2</v>
      </c>
      <c r="I38" s="82">
        <f t="shared" si="12"/>
        <v>1</v>
      </c>
      <c r="J38" s="82">
        <f>(H39+I39)/SUM(G39:I39)</f>
        <v>0.5</v>
      </c>
    </row>
    <row r="39" spans="5:10" x14ac:dyDescent="0.2">
      <c r="E39" s="82" t="e">
        <f ca="1">VLOOKUP(F52,B5:C49,2,0)</f>
        <v>#N/A</v>
      </c>
      <c r="F39" s="82">
        <v>5</v>
      </c>
      <c r="G39" s="82">
        <f t="shared" si="12"/>
        <v>1</v>
      </c>
      <c r="H39" s="82">
        <f t="shared" si="12"/>
        <v>1</v>
      </c>
      <c r="I39" s="82">
        <f t="shared" si="12"/>
        <v>0</v>
      </c>
      <c r="J39" s="82">
        <f t="shared" si="13"/>
        <v>0.5</v>
      </c>
    </row>
    <row r="40" spans="5:10" x14ac:dyDescent="0.2">
      <c r="E40" s="82" t="e">
        <f t="shared" ca="1" si="14"/>
        <v>#N/A</v>
      </c>
      <c r="F40" s="82">
        <v>6</v>
      </c>
      <c r="G40" s="82">
        <f t="shared" si="12"/>
        <v>1</v>
      </c>
      <c r="H40" s="82">
        <f t="shared" si="12"/>
        <v>0</v>
      </c>
      <c r="I40" s="82">
        <f t="shared" si="12"/>
        <v>0</v>
      </c>
      <c r="J40" s="82">
        <f t="shared" si="13"/>
        <v>0</v>
      </c>
    </row>
    <row r="41" spans="5:10" x14ac:dyDescent="0.2">
      <c r="E41" s="82" t="e">
        <f t="shared" ca="1" si="14"/>
        <v>#N/A</v>
      </c>
      <c r="F41" s="82">
        <v>7</v>
      </c>
      <c r="G41" s="82">
        <f t="shared" si="12"/>
        <v>1</v>
      </c>
      <c r="H41" s="82">
        <f t="shared" si="12"/>
        <v>0</v>
      </c>
      <c r="I41" s="82">
        <f t="shared" si="12"/>
        <v>0</v>
      </c>
      <c r="J41" s="82">
        <f t="shared" si="13"/>
        <v>0</v>
      </c>
    </row>
    <row r="42" spans="5:10" x14ac:dyDescent="0.2">
      <c r="E42" s="82" t="e">
        <f ca="1">VLOOKUP(F55,B9:C51,2,0)</f>
        <v>#N/A</v>
      </c>
      <c r="F42" s="82">
        <v>9</v>
      </c>
      <c r="G42" s="82">
        <f t="shared" si="12"/>
        <v>1</v>
      </c>
      <c r="H42" s="82">
        <f t="shared" si="12"/>
        <v>0</v>
      </c>
      <c r="I42" s="82">
        <f t="shared" si="12"/>
        <v>0</v>
      </c>
      <c r="J42" s="82">
        <f t="shared" si="13"/>
        <v>0</v>
      </c>
    </row>
    <row r="43" spans="5:10" x14ac:dyDescent="0.2">
      <c r="E43" s="82" t="e">
        <f t="shared" ca="1" si="14"/>
        <v>#N/A</v>
      </c>
      <c r="F43" s="82">
        <v>9</v>
      </c>
      <c r="G43" s="82">
        <f t="shared" si="12"/>
        <v>1</v>
      </c>
      <c r="H43" s="82">
        <f t="shared" si="12"/>
        <v>0</v>
      </c>
      <c r="I43" s="82">
        <f t="shared" si="12"/>
        <v>0</v>
      </c>
      <c r="J43" s="82">
        <f t="shared" si="13"/>
        <v>0</v>
      </c>
    </row>
    <row r="44" spans="5:10" x14ac:dyDescent="0.2">
      <c r="J44" s="82">
        <f>SUM(G35:I43)</f>
        <v>22</v>
      </c>
    </row>
    <row r="47" spans="5:10" x14ac:dyDescent="0.2">
      <c r="F47" s="82" t="s">
        <v>1335</v>
      </c>
      <c r="G47" s="82">
        <v>0</v>
      </c>
      <c r="H47" s="82">
        <v>1</v>
      </c>
      <c r="I47" s="34">
        <v>2</v>
      </c>
    </row>
    <row r="48" spans="5:10" x14ac:dyDescent="0.2">
      <c r="F48" s="82">
        <v>1</v>
      </c>
      <c r="G48" s="82">
        <f>G$47*10+$F49</f>
        <v>2</v>
      </c>
      <c r="H48" s="82">
        <f>H$47*10+$F49</f>
        <v>12</v>
      </c>
      <c r="I48" s="82">
        <f>I$47*10+$F49</f>
        <v>22</v>
      </c>
    </row>
    <row r="49" spans="6:9" x14ac:dyDescent="0.2">
      <c r="F49" s="82">
        <v>2</v>
      </c>
      <c r="G49" s="82">
        <f t="shared" ref="G49:I56" si="15">G$47*10+$F49</f>
        <v>2</v>
      </c>
      <c r="H49" s="82">
        <f t="shared" si="15"/>
        <v>12</v>
      </c>
      <c r="I49" s="82">
        <f t="shared" si="15"/>
        <v>22</v>
      </c>
    </row>
    <row r="50" spans="6:9" x14ac:dyDescent="0.2">
      <c r="F50" s="82">
        <v>3</v>
      </c>
      <c r="G50" s="82">
        <f t="shared" si="15"/>
        <v>3</v>
      </c>
      <c r="H50" s="82">
        <f t="shared" si="15"/>
        <v>13</v>
      </c>
      <c r="I50" s="82">
        <f t="shared" si="15"/>
        <v>23</v>
      </c>
    </row>
    <row r="51" spans="6:9" x14ac:dyDescent="0.2">
      <c r="F51" s="82">
        <v>4</v>
      </c>
      <c r="G51" s="82">
        <f t="shared" si="15"/>
        <v>4</v>
      </c>
      <c r="H51" s="82">
        <f t="shared" si="15"/>
        <v>14</v>
      </c>
      <c r="I51" s="82">
        <f t="shared" si="15"/>
        <v>24</v>
      </c>
    </row>
    <row r="52" spans="6:9" x14ac:dyDescent="0.2">
      <c r="F52" s="82">
        <v>5</v>
      </c>
      <c r="G52" s="82">
        <f t="shared" si="15"/>
        <v>5</v>
      </c>
      <c r="H52" s="82">
        <f t="shared" si="15"/>
        <v>15</v>
      </c>
      <c r="I52" s="82">
        <f t="shared" si="15"/>
        <v>25</v>
      </c>
    </row>
    <row r="53" spans="6:9" x14ac:dyDescent="0.2">
      <c r="F53" s="82">
        <v>6</v>
      </c>
      <c r="G53" s="82">
        <f t="shared" si="15"/>
        <v>6</v>
      </c>
      <c r="H53" s="82">
        <f t="shared" si="15"/>
        <v>16</v>
      </c>
      <c r="I53" s="82">
        <f t="shared" si="15"/>
        <v>26</v>
      </c>
    </row>
    <row r="54" spans="6:9" x14ac:dyDescent="0.2">
      <c r="F54" s="82">
        <v>7</v>
      </c>
      <c r="G54" s="82">
        <f t="shared" si="15"/>
        <v>7</v>
      </c>
      <c r="H54" s="82">
        <f t="shared" si="15"/>
        <v>17</v>
      </c>
      <c r="I54" s="82">
        <f t="shared" si="15"/>
        <v>27</v>
      </c>
    </row>
    <row r="55" spans="6:9" x14ac:dyDescent="0.2">
      <c r="F55" s="82">
        <v>9</v>
      </c>
      <c r="G55" s="82">
        <f t="shared" si="15"/>
        <v>9</v>
      </c>
      <c r="H55" s="82">
        <f t="shared" si="15"/>
        <v>19</v>
      </c>
      <c r="I55" s="82">
        <f t="shared" si="15"/>
        <v>29</v>
      </c>
    </row>
    <row r="56" spans="6:9" x14ac:dyDescent="0.2">
      <c r="F56" s="82">
        <v>9</v>
      </c>
      <c r="G56" s="82">
        <f t="shared" si="15"/>
        <v>9</v>
      </c>
      <c r="H56" s="82">
        <f t="shared" si="15"/>
        <v>19</v>
      </c>
      <c r="I56" s="82">
        <f t="shared" si="15"/>
        <v>29</v>
      </c>
    </row>
    <row r="57" spans="6:9" x14ac:dyDescent="0.2">
      <c r="I57" s="82"/>
    </row>
    <row r="58" spans="6:9" x14ac:dyDescent="0.2">
      <c r="I58" s="82"/>
    </row>
    <row r="60" spans="6:9" x14ac:dyDescent="0.2">
      <c r="I60" s="82"/>
    </row>
    <row r="61" spans="6:9" x14ac:dyDescent="0.2">
      <c r="I61" s="82"/>
    </row>
    <row r="62" spans="6:9" x14ac:dyDescent="0.2">
      <c r="I62" s="82"/>
    </row>
    <row r="63" spans="6:9" x14ac:dyDescent="0.2">
      <c r="I63" s="82"/>
    </row>
    <row r="64" spans="6:9" x14ac:dyDescent="0.2">
      <c r="I64" s="82"/>
    </row>
    <row r="65" spans="9:9" x14ac:dyDescent="0.2">
      <c r="I65" s="82"/>
    </row>
    <row r="66" spans="9:9" x14ac:dyDescent="0.2">
      <c r="I66" s="82"/>
    </row>
    <row r="67" spans="9:9" x14ac:dyDescent="0.2">
      <c r="I67" s="82"/>
    </row>
    <row r="68" spans="9:9" x14ac:dyDescent="0.2">
      <c r="I68" s="82"/>
    </row>
    <row r="69" spans="9:9" x14ac:dyDescent="0.2">
      <c r="I69" s="82"/>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zoomScale="110" zoomScaleNormal="110" zoomScalePageLayoutView="110" workbookViewId="0">
      <pane xSplit="1" ySplit="1" topLeftCell="B2" activePane="bottomRight" state="frozen"/>
      <selection activeCell="L12" sqref="L12"/>
      <selection pane="topRight" activeCell="L12" sqref="L12"/>
      <selection pane="bottomLeft" activeCell="L12" sqref="L12"/>
      <selection pane="bottomRight" activeCell="I26" sqref="I26"/>
    </sheetView>
  </sheetViews>
  <sheetFormatPr baseColWidth="10" defaultColWidth="8.83203125" defaultRowHeight="15" x14ac:dyDescent="0.2"/>
  <cols>
    <col min="4" max="4" width="15.83203125" customWidth="1"/>
  </cols>
  <sheetData>
    <row r="1" spans="1:18" x14ac:dyDescent="0.2">
      <c r="A1" t="s">
        <v>1338</v>
      </c>
      <c r="B1" t="s">
        <v>0</v>
      </c>
      <c r="C1" t="s">
        <v>1470</v>
      </c>
      <c r="D1" t="s">
        <v>1335</v>
      </c>
      <c r="E1" t="s">
        <v>1530</v>
      </c>
      <c r="F1" t="s">
        <v>1554</v>
      </c>
      <c r="G1" t="s">
        <v>1880</v>
      </c>
      <c r="H1" t="s">
        <v>2160</v>
      </c>
      <c r="I1" t="s">
        <v>1661</v>
      </c>
      <c r="J1" t="s">
        <v>1663</v>
      </c>
    </row>
    <row r="2" spans="1:18" x14ac:dyDescent="0.2">
      <c r="A2">
        <v>1</v>
      </c>
      <c r="B2">
        <f>overview_1!$H$8</f>
        <v>999</v>
      </c>
      <c r="C2">
        <f>overview_1!$B$15</f>
        <v>0.141081316183089</v>
      </c>
      <c r="D2" s="7" t="s">
        <v>1336</v>
      </c>
      <c r="E2">
        <v>1</v>
      </c>
      <c r="F2">
        <f>LN(B2)</f>
        <v>6.9067547786485539</v>
      </c>
      <c r="G2" t="str">
        <f>overview_1!$B$38</f>
        <v>n/a</v>
      </c>
      <c r="H2">
        <f>overview_1!$B$17</f>
        <v>8.8999999999999996E-2</v>
      </c>
      <c r="I2">
        <v>0</v>
      </c>
    </row>
    <row r="3" spans="1:18" x14ac:dyDescent="0.2">
      <c r="A3">
        <v>2</v>
      </c>
      <c r="B3">
        <f>overview_2!$H$8</f>
        <v>195</v>
      </c>
      <c r="C3">
        <f>overview_2!$B$15</f>
        <v>0.15880139519748426</v>
      </c>
      <c r="D3" s="7" t="s">
        <v>1349</v>
      </c>
      <c r="E3">
        <v>2</v>
      </c>
      <c r="F3">
        <f t="shared" ref="F3:F27" si="0">LN(B3)</f>
        <v>5.2729995585637468</v>
      </c>
      <c r="G3" t="str">
        <f>overview_2!$B$38</f>
        <v>n/a</v>
      </c>
      <c r="H3">
        <f>overview_2!$B$17</f>
        <v>0.19900000000000001</v>
      </c>
      <c r="I3" t="s">
        <v>1662</v>
      </c>
    </row>
    <row r="4" spans="1:18" x14ac:dyDescent="0.2">
      <c r="A4">
        <v>3</v>
      </c>
      <c r="B4">
        <f>overview_3!$H$8</f>
        <v>101</v>
      </c>
      <c r="C4">
        <f>overview_3!$B$15</f>
        <v>0.33858432300086005</v>
      </c>
      <c r="D4" s="7" t="s">
        <v>1353</v>
      </c>
      <c r="E4">
        <v>3</v>
      </c>
      <c r="F4">
        <f t="shared" si="0"/>
        <v>4.6151205168412597</v>
      </c>
      <c r="G4" t="str">
        <f>overview_3!$B$38</f>
        <v>n/a</v>
      </c>
      <c r="H4">
        <f>overview_3!$B$17</f>
        <v>0.27400000000000002</v>
      </c>
      <c r="I4" t="s">
        <v>1440</v>
      </c>
    </row>
    <row r="5" spans="1:18" x14ac:dyDescent="0.2">
      <c r="A5">
        <v>4</v>
      </c>
      <c r="B5">
        <f>overview_4!$H$8</f>
        <v>24</v>
      </c>
      <c r="C5">
        <f>overview_4!$B$15</f>
        <v>0.56155639493501763</v>
      </c>
      <c r="D5" s="7" t="s">
        <v>1355</v>
      </c>
      <c r="E5">
        <v>4</v>
      </c>
      <c r="F5">
        <f t="shared" si="0"/>
        <v>3.1780538303479458</v>
      </c>
      <c r="G5">
        <f>overview_4!$B$38</f>
        <v>1</v>
      </c>
      <c r="H5">
        <f>overview_4!$B$17</f>
        <v>0.53765339999999995</v>
      </c>
      <c r="I5" t="s">
        <v>1440</v>
      </c>
    </row>
    <row r="6" spans="1:18" x14ac:dyDescent="0.2">
      <c r="A6">
        <v>5</v>
      </c>
      <c r="B6">
        <f>overview_5!$H$8</f>
        <v>3088</v>
      </c>
      <c r="C6">
        <f>overview_5!$B$15</f>
        <v>6.220800885867471E-2</v>
      </c>
      <c r="D6" s="7" t="s">
        <v>1336</v>
      </c>
      <c r="E6">
        <v>1</v>
      </c>
      <c r="F6">
        <f t="shared" si="0"/>
        <v>8.0352789111446672</v>
      </c>
      <c r="G6">
        <f>overview_6!$B$38</f>
        <v>2</v>
      </c>
      <c r="H6">
        <f>overview_5!$B$17</f>
        <v>0.05</v>
      </c>
    </row>
    <row r="7" spans="1:18" x14ac:dyDescent="0.2">
      <c r="A7">
        <v>6</v>
      </c>
      <c r="B7">
        <f>overview_6!$H$8</f>
        <v>99</v>
      </c>
      <c r="C7">
        <f>overview_6!$B$15</f>
        <v>0.2754717126628497</v>
      </c>
      <c r="D7" s="7" t="s">
        <v>1355</v>
      </c>
      <c r="E7">
        <v>4</v>
      </c>
      <c r="F7">
        <f t="shared" si="0"/>
        <v>4.5951198501345898</v>
      </c>
      <c r="G7" t="str">
        <f>overview_5!$B$38</f>
        <v>n/a</v>
      </c>
      <c r="H7">
        <f>overview_6!$B$17</f>
        <v>0.27700000000000002</v>
      </c>
    </row>
    <row r="8" spans="1:18" x14ac:dyDescent="0.2">
      <c r="A8">
        <v>7</v>
      </c>
      <c r="B8">
        <f>overview_7!$H$8</f>
        <v>290</v>
      </c>
      <c r="C8">
        <f>overview_7!$B$15</f>
        <v>0.18093942975542232</v>
      </c>
      <c r="D8" s="5" t="s">
        <v>1528</v>
      </c>
      <c r="E8">
        <v>5</v>
      </c>
      <c r="F8">
        <f>LN(B9)</f>
        <v>8.4342462705953114</v>
      </c>
      <c r="G8" t="str">
        <f>overview_7!$B$38</f>
        <v>n/a</v>
      </c>
      <c r="H8">
        <f>overview_7!$B$17</f>
        <v>0.16300000000000001</v>
      </c>
    </row>
    <row r="9" spans="1:18" x14ac:dyDescent="0.2">
      <c r="A9">
        <v>8</v>
      </c>
      <c r="B9">
        <f>overview_8!$H$8</f>
        <v>4602</v>
      </c>
      <c r="C9">
        <f>overview_8!$B$15</f>
        <v>0.22</v>
      </c>
      <c r="D9" s="7" t="s">
        <v>1336</v>
      </c>
      <c r="E9">
        <v>1</v>
      </c>
      <c r="F9">
        <f t="shared" si="0"/>
        <v>8.4342462705953114</v>
      </c>
      <c r="G9" t="str">
        <f>overview_8!$B$38</f>
        <v>n/a</v>
      </c>
      <c r="H9">
        <f>overview_8!$B$17</f>
        <v>4.1000000000000002E-2</v>
      </c>
      <c r="R9" t="s">
        <v>2204</v>
      </c>
    </row>
    <row r="10" spans="1:18" x14ac:dyDescent="0.2">
      <c r="A10">
        <v>9</v>
      </c>
      <c r="B10">
        <f>overview_9!$H$8</f>
        <v>528</v>
      </c>
      <c r="C10">
        <f>overview_9!$B$15</f>
        <v>0.10428762298163216</v>
      </c>
      <c r="D10" s="7" t="s">
        <v>1336</v>
      </c>
      <c r="E10">
        <v>1</v>
      </c>
      <c r="F10">
        <f t="shared" si="0"/>
        <v>6.2690962837062614</v>
      </c>
      <c r="G10" t="str">
        <f>overview_8!$B$38</f>
        <v>n/a</v>
      </c>
      <c r="H10">
        <f>overview_9!$B$17</f>
        <v>0.121</v>
      </c>
    </row>
    <row r="11" spans="1:18" x14ac:dyDescent="0.2">
      <c r="A11">
        <v>10</v>
      </c>
      <c r="B11">
        <f>overview_10!$H$8</f>
        <v>32</v>
      </c>
      <c r="C11">
        <f>overview_10!$B$15</f>
        <v>0.66002656042496677</v>
      </c>
      <c r="D11" s="7" t="s">
        <v>1353</v>
      </c>
      <c r="E11">
        <v>3</v>
      </c>
      <c r="F11">
        <f t="shared" si="0"/>
        <v>3.4657359027997265</v>
      </c>
      <c r="G11">
        <f>overview_10!$B$38</f>
        <v>1</v>
      </c>
      <c r="H11">
        <f>overview_10!$B$17</f>
        <v>0.47199999999999998</v>
      </c>
    </row>
    <row r="12" spans="1:18" x14ac:dyDescent="0.2">
      <c r="A12">
        <v>11</v>
      </c>
      <c r="B12">
        <f>overview_11!$H$8</f>
        <v>721</v>
      </c>
      <c r="C12">
        <f>overview_11!$B$15</f>
        <v>0.17038222910265771</v>
      </c>
      <c r="D12" s="7" t="s">
        <v>1336</v>
      </c>
      <c r="E12">
        <v>1</v>
      </c>
      <c r="F12">
        <f t="shared" si="0"/>
        <v>6.5806391372849493</v>
      </c>
      <c r="G12">
        <f>overview_11!$B$38</f>
        <v>1</v>
      </c>
      <c r="H12">
        <f>overview_11!$B$17</f>
        <v>0.10299999999999999</v>
      </c>
    </row>
    <row r="13" spans="1:18" x14ac:dyDescent="0.2">
      <c r="A13">
        <v>12</v>
      </c>
      <c r="B13">
        <f>overview_12!$H$8</f>
        <v>3421</v>
      </c>
      <c r="C13">
        <f>overview_12!$B$15</f>
        <v>5.2088785039844189E-2</v>
      </c>
      <c r="D13" s="7" t="s">
        <v>1529</v>
      </c>
      <c r="E13">
        <v>6</v>
      </c>
      <c r="F13">
        <f t="shared" si="0"/>
        <v>8.1376881849776055</v>
      </c>
      <c r="G13" t="str">
        <f>overview_12!$B$38</f>
        <v>n/a</v>
      </c>
      <c r="H13">
        <f>overview_12!$B$17</f>
        <v>4.7E-2</v>
      </c>
    </row>
    <row r="14" spans="1:18" x14ac:dyDescent="0.2">
      <c r="A14">
        <v>13</v>
      </c>
      <c r="B14">
        <f>overview_13!$H$8</f>
        <v>193</v>
      </c>
      <c r="C14">
        <f>overview_13!$B$15</f>
        <v>0.18876479599548945</v>
      </c>
      <c r="D14" s="7" t="s">
        <v>1349</v>
      </c>
      <c r="E14">
        <v>2</v>
      </c>
      <c r="F14">
        <f t="shared" si="0"/>
        <v>5.2626901889048856</v>
      </c>
      <c r="G14" t="str">
        <f>overview_13!$B$38</f>
        <v>n/a</v>
      </c>
      <c r="H14">
        <f>overview_13!$B$17</f>
        <v>0.2</v>
      </c>
    </row>
    <row r="15" spans="1:18" x14ac:dyDescent="0.2">
      <c r="A15">
        <v>14</v>
      </c>
      <c r="B15">
        <f>overview_14!$H$8</f>
        <v>187</v>
      </c>
      <c r="C15">
        <f>overview_14!$B$15</f>
        <v>0.33082751730192467</v>
      </c>
      <c r="D15" s="7" t="s">
        <v>1355</v>
      </c>
      <c r="E15">
        <v>4</v>
      </c>
      <c r="F15">
        <f t="shared" si="0"/>
        <v>5.2311086168545868</v>
      </c>
      <c r="G15">
        <f>overview_14!$B$38</f>
        <v>1</v>
      </c>
      <c r="H15">
        <f>overview_14!$B$17</f>
        <v>0.20300000000000001</v>
      </c>
    </row>
    <row r="16" spans="1:18" x14ac:dyDescent="0.2">
      <c r="A16">
        <v>15</v>
      </c>
      <c r="B16">
        <f>overview_15!$H$8</f>
        <v>4424</v>
      </c>
      <c r="C16">
        <f>overview_15!$B$15</f>
        <v>5.3851648071345036E-2</v>
      </c>
      <c r="D16" s="7" t="s">
        <v>1355</v>
      </c>
      <c r="E16">
        <v>4</v>
      </c>
      <c r="F16">
        <f t="shared" si="0"/>
        <v>8.3947995432021703</v>
      </c>
      <c r="G16">
        <f>overview_15!$B$38</f>
        <v>0</v>
      </c>
      <c r="H16">
        <f>overview_15!$B$17</f>
        <v>4.2000000000000003E-2</v>
      </c>
    </row>
    <row r="17" spans="1:14" x14ac:dyDescent="0.2">
      <c r="A17">
        <v>16</v>
      </c>
      <c r="B17">
        <f>overview_16!$H$8</f>
        <v>3873</v>
      </c>
      <c r="C17">
        <f>overview_16!$B$15</f>
        <v>5.4869660274705065E-2</v>
      </c>
      <c r="D17" s="7" t="s">
        <v>1336</v>
      </c>
      <c r="E17">
        <v>1</v>
      </c>
      <c r="F17">
        <f t="shared" si="0"/>
        <v>8.2617846795147525</v>
      </c>
      <c r="G17" t="str">
        <f>overview_16!$B$38</f>
        <v>n/a</v>
      </c>
      <c r="H17">
        <f>overview_16!$B$17</f>
        <v>4.4999999999999998E-2</v>
      </c>
    </row>
    <row r="18" spans="1:14" x14ac:dyDescent="0.2">
      <c r="A18">
        <v>17</v>
      </c>
      <c r="B18">
        <f>overview_17!$H$8</f>
        <v>381</v>
      </c>
      <c r="C18">
        <f>overview_17!$B$15</f>
        <v>0.20337743160068528</v>
      </c>
      <c r="D18" s="5" t="s">
        <v>1336</v>
      </c>
      <c r="E18">
        <v>1</v>
      </c>
      <c r="F18">
        <f>LN(B19)</f>
        <v>7.2758646005465328</v>
      </c>
      <c r="G18" t="str">
        <f>overview_17!$B$38</f>
        <v>n/a</v>
      </c>
      <c r="H18">
        <f>overview_17!$B$17</f>
        <v>0.14299999999999999</v>
      </c>
      <c r="L18" t="s">
        <v>1553</v>
      </c>
      <c r="N18">
        <f>CORREL(B2:B31,C2:C31)</f>
        <v>-0.5423033447741703</v>
      </c>
    </row>
    <row r="19" spans="1:14" x14ac:dyDescent="0.2">
      <c r="A19">
        <v>18</v>
      </c>
      <c r="B19">
        <f>overview_18!$H$8</f>
        <v>1445</v>
      </c>
      <c r="C19">
        <f>overview_18!$B$15</f>
        <v>0.11434385273992104</v>
      </c>
      <c r="D19" s="5" t="s">
        <v>1355</v>
      </c>
      <c r="E19">
        <v>4</v>
      </c>
      <c r="F19">
        <f t="shared" si="0"/>
        <v>7.2758646005465328</v>
      </c>
      <c r="G19">
        <f>overview_18!$B$38</f>
        <v>0</v>
      </c>
      <c r="H19">
        <f>overview_18!$B$17</f>
        <v>7.3999999999999996E-2</v>
      </c>
      <c r="L19" t="s">
        <v>1555</v>
      </c>
      <c r="N19">
        <f>CORREL(F2:F32,C2:C32)</f>
        <v>-0.81549850621977771</v>
      </c>
    </row>
    <row r="20" spans="1:14" x14ac:dyDescent="0.2">
      <c r="A20">
        <v>19</v>
      </c>
      <c r="B20">
        <f>overview_19!$H$8</f>
        <v>423</v>
      </c>
      <c r="C20">
        <f>overview_19!$B$15</f>
        <v>0.18033307699310666</v>
      </c>
      <c r="D20" s="5" t="s">
        <v>1336</v>
      </c>
      <c r="E20">
        <v>1</v>
      </c>
      <c r="F20">
        <f t="shared" si="0"/>
        <v>6.0473721790462776</v>
      </c>
      <c r="G20">
        <f>overview_18!$B$38</f>
        <v>0</v>
      </c>
      <c r="H20">
        <f>overview_19!$B$17</f>
        <v>0.13600000000000001</v>
      </c>
    </row>
    <row r="21" spans="1:14" x14ac:dyDescent="0.2">
      <c r="A21">
        <v>20</v>
      </c>
      <c r="B21">
        <f>overview_20!$H$8</f>
        <v>38</v>
      </c>
      <c r="C21">
        <f>overview_20!$B$15</f>
        <v>0.37014165169068081</v>
      </c>
      <c r="D21" s="7" t="s">
        <v>1349</v>
      </c>
      <c r="E21">
        <v>2</v>
      </c>
      <c r="F21">
        <f t="shared" si="0"/>
        <v>3.6375861597263857</v>
      </c>
      <c r="G21">
        <f>overview_20!$B$38</f>
        <v>0</v>
      </c>
      <c r="H21">
        <f>overview_20!$B$17</f>
        <v>0.437</v>
      </c>
    </row>
    <row r="22" spans="1:14" x14ac:dyDescent="0.2">
      <c r="A22">
        <v>21</v>
      </c>
      <c r="B22">
        <f>overview_21!$H$8</f>
        <v>600</v>
      </c>
      <c r="C22">
        <f>overview_21!$B$15</f>
        <v>9.2999999999999999E-2</v>
      </c>
      <c r="D22" s="7" t="s">
        <v>1546</v>
      </c>
      <c r="E22">
        <v>7</v>
      </c>
      <c r="F22">
        <f t="shared" si="0"/>
        <v>6.3969296552161463</v>
      </c>
      <c r="G22">
        <f>overview_21!$B$38</f>
        <v>0</v>
      </c>
      <c r="H22">
        <f>overview_21!$B$17</f>
        <v>0.114</v>
      </c>
    </row>
    <row r="23" spans="1:14" x14ac:dyDescent="0.2">
      <c r="A23">
        <v>22</v>
      </c>
      <c r="B23">
        <f>overview_22!$H$8</f>
        <v>282</v>
      </c>
      <c r="C23">
        <f>overview_22!$B$15</f>
        <v>0.17674960498889997</v>
      </c>
      <c r="D23" s="7" t="s">
        <v>1564</v>
      </c>
      <c r="E23">
        <v>9</v>
      </c>
      <c r="F23">
        <f t="shared" si="0"/>
        <v>5.6419070709381138</v>
      </c>
      <c r="G23">
        <f>overview_22!$B$38</f>
        <v>1</v>
      </c>
      <c r="H23">
        <f>overview_22!$B$17</f>
        <v>0.16900000000000001</v>
      </c>
    </row>
    <row r="24" spans="1:14" x14ac:dyDescent="0.2">
      <c r="A24">
        <v>23</v>
      </c>
      <c r="B24">
        <f>overview_23!$H$8</f>
        <v>66</v>
      </c>
      <c r="C24">
        <f>overview_23!$B$15</f>
        <v>0.40180172704680395</v>
      </c>
      <c r="D24" s="7" t="s">
        <v>1355</v>
      </c>
      <c r="E24">
        <v>4</v>
      </c>
      <c r="F24">
        <f t="shared" si="0"/>
        <v>4.1896547420264252</v>
      </c>
      <c r="G24">
        <f>overview_23!$B$38</f>
        <v>1</v>
      </c>
      <c r="H24">
        <f>overview_23!$B$17</f>
        <v>0.33700000000000002</v>
      </c>
    </row>
    <row r="25" spans="1:14" x14ac:dyDescent="0.2">
      <c r="A25">
        <v>24</v>
      </c>
      <c r="B25">
        <f>overview_24!$H$8</f>
        <v>176</v>
      </c>
      <c r="C25">
        <f>overview_24!$B$15</f>
        <v>0.24464638046414378</v>
      </c>
      <c r="D25" s="5" t="s">
        <v>1336</v>
      </c>
      <c r="E25">
        <v>1</v>
      </c>
      <c r="F25">
        <f t="shared" si="0"/>
        <v>5.1704839950381514</v>
      </c>
      <c r="G25">
        <f>overview_24!$B$38</f>
        <v>2</v>
      </c>
      <c r="H25">
        <f>overview_24!$B$17</f>
        <v>0.20899999999999999</v>
      </c>
    </row>
    <row r="26" spans="1:14" x14ac:dyDescent="0.2">
      <c r="A26">
        <v>25</v>
      </c>
      <c r="B26">
        <f>overview_25!$H$8</f>
        <v>410</v>
      </c>
      <c r="C26">
        <f>overview_25!$B$15</f>
        <v>0.27720875076810847</v>
      </c>
      <c r="D26" s="5" t="s">
        <v>1353</v>
      </c>
      <c r="E26">
        <v>3</v>
      </c>
      <c r="F26">
        <f t="shared" si="0"/>
        <v>6.0161571596983539</v>
      </c>
      <c r="G26">
        <f>overview_25!$B$38</f>
        <v>1</v>
      </c>
      <c r="H26">
        <f>overview_25!$B$17</f>
        <v>0.13700000000000001</v>
      </c>
    </row>
    <row r="27" spans="1:14" x14ac:dyDescent="0.2">
      <c r="A27">
        <v>26</v>
      </c>
      <c r="B27">
        <f>overview_26!$H$8</f>
        <v>682</v>
      </c>
      <c r="C27">
        <f>overview_26!$B$15</f>
        <v>9.2791633586091618E-2</v>
      </c>
      <c r="D27" s="5" t="s">
        <v>1600</v>
      </c>
      <c r="E27">
        <v>9</v>
      </c>
      <c r="F27">
        <f t="shared" si="0"/>
        <v>6.5250296578434623</v>
      </c>
      <c r="G27" t="str">
        <f>overview_26!$B$38</f>
        <v>n/a</v>
      </c>
      <c r="H27">
        <f>overview_26!$B$17</f>
        <v>0.107</v>
      </c>
    </row>
    <row r="28" spans="1:14" x14ac:dyDescent="0.2">
      <c r="A28">
        <v>27</v>
      </c>
      <c r="B28">
        <f>overview_27!$H$8</f>
        <v>107</v>
      </c>
      <c r="C28">
        <f>overview_27!$B$15</f>
        <v>0.39759238312644984</v>
      </c>
      <c r="D28" s="5" t="s">
        <v>1528</v>
      </c>
      <c r="E28">
        <v>5</v>
      </c>
      <c r="F28">
        <f>LN(B29)</f>
        <v>5.2470240721604862</v>
      </c>
      <c r="G28" t="str">
        <f>overview_27!$B$38</f>
        <v>n/a</v>
      </c>
      <c r="H28">
        <f>overview_27!$B$17</f>
        <v>0.26600000000000001</v>
      </c>
    </row>
    <row r="29" spans="1:14" x14ac:dyDescent="0.2">
      <c r="A29">
        <v>28</v>
      </c>
      <c r="B29">
        <f>overview_28!$H$8</f>
        <v>190</v>
      </c>
      <c r="C29">
        <f>overview_28!$B$15</f>
        <v>0.23363488926488099</v>
      </c>
      <c r="D29" s="5" t="s">
        <v>1336</v>
      </c>
      <c r="E29">
        <v>1</v>
      </c>
      <c r="F29">
        <f t="shared" ref="F29" si="1">LN(B29)</f>
        <v>5.2470240721604862</v>
      </c>
      <c r="G29">
        <f>overview_28!$B$38</f>
        <v>1</v>
      </c>
      <c r="H29">
        <f>overview_28!$B$17</f>
        <v>0.20200000000000001</v>
      </c>
    </row>
    <row r="30" spans="1:14" x14ac:dyDescent="0.2">
      <c r="A30">
        <v>29</v>
      </c>
      <c r="B30">
        <f>overview_29!$H$8</f>
        <v>81</v>
      </c>
      <c r="C30">
        <f>overview_29!$B$15</f>
        <v>0.38976798359611098</v>
      </c>
      <c r="D30" s="5" t="s">
        <v>1336</v>
      </c>
      <c r="E30">
        <v>1</v>
      </c>
      <c r="F30">
        <f t="shared" ref="F30:F31" si="2">LN(B30)</f>
        <v>4.3944491546724391</v>
      </c>
      <c r="G30">
        <f>overview_28!$B$38</f>
        <v>1</v>
      </c>
      <c r="H30">
        <f>overview_29!$B$17</f>
        <v>0.30499999999999999</v>
      </c>
    </row>
    <row r="31" spans="1:14" x14ac:dyDescent="0.2">
      <c r="A31">
        <v>30</v>
      </c>
      <c r="B31">
        <f>overview_30!$H$8</f>
        <v>1998</v>
      </c>
      <c r="C31">
        <f>overview_30!$B$15</f>
        <v>8.1156186569172534E-2</v>
      </c>
      <c r="D31" s="5" t="s">
        <v>1336</v>
      </c>
      <c r="E31">
        <v>1</v>
      </c>
      <c r="F31">
        <f t="shared" si="2"/>
        <v>7.5999019592084984</v>
      </c>
      <c r="G31" t="str">
        <f>overview_30!$B$38</f>
        <v>n/a</v>
      </c>
      <c r="H31">
        <f>overview_30!$B$17</f>
        <v>6.2E-2</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M50"/>
  <sheetViews>
    <sheetView tabSelected="1" zoomScale="90" zoomScaleNormal="90" zoomScalePageLayoutView="90" workbookViewId="0">
      <pane xSplit="1" ySplit="1" topLeftCell="B5" activePane="bottomRight" state="frozen"/>
      <selection activeCell="A38" sqref="A38"/>
      <selection pane="topRight" activeCell="A38" sqref="A38"/>
      <selection pane="bottomLeft" activeCell="A38" sqref="A38"/>
      <selection pane="bottomRight" activeCell="I11" sqref="I11"/>
    </sheetView>
  </sheetViews>
  <sheetFormatPr baseColWidth="10" defaultColWidth="9.1640625" defaultRowHeight="15" x14ac:dyDescent="0.2"/>
  <cols>
    <col min="1" max="1" width="42.1640625" style="34" customWidth="1"/>
    <col min="2" max="2" width="65.33203125" style="33" customWidth="1"/>
    <col min="3" max="3" width="11.1640625" customWidth="1"/>
    <col min="4" max="4" width="14.33203125" customWidth="1"/>
    <col min="5" max="5" width="9.83203125" customWidth="1"/>
    <col min="6" max="6" width="7.5" customWidth="1"/>
    <col min="7" max="7" width="10.83203125" customWidth="1"/>
    <col min="8" max="8" width="9.5" bestFit="1" customWidth="1"/>
  </cols>
  <sheetData>
    <row r="1" spans="1:13" s="58" customFormat="1" x14ac:dyDescent="0.2">
      <c r="A1" s="63" t="s">
        <v>1360</v>
      </c>
      <c r="B1" s="57">
        <v>30</v>
      </c>
      <c r="D1" s="52" t="s">
        <v>1851</v>
      </c>
      <c r="E1" s="52"/>
      <c r="F1" s="52"/>
      <c r="G1" s="52"/>
      <c r="H1" s="52"/>
      <c r="I1" s="52"/>
      <c r="J1" s="52"/>
      <c r="K1" s="52"/>
      <c r="L1" s="52"/>
      <c r="M1" s="52"/>
    </row>
    <row r="2" spans="1:13" ht="57.75" customHeight="1" x14ac:dyDescent="0.2">
      <c r="A2" s="34" t="s">
        <v>1321</v>
      </c>
      <c r="B2" s="33" t="str">
        <f ca="1">INDIRECT("main!"&amp;"C"&amp;B$1+2)</f>
        <v>Strohmaier, J.; Amelang, M.; Hothorn, L. A.; Witt, S. H.; Nieratschker, V.; Gerhard, D.; Meier, S.; Wuest, S.; Frank, J.; Loerbroks, A.; Rietschel, M.; Stuermer, T.; Schulze, T. G.</v>
      </c>
      <c r="D2" s="73" t="s">
        <v>1537</v>
      </c>
      <c r="E2" s="53"/>
      <c r="F2" s="53"/>
      <c r="G2" s="53"/>
      <c r="H2" s="53"/>
      <c r="I2" s="53" t="s">
        <v>1382</v>
      </c>
      <c r="J2" s="53"/>
      <c r="K2" s="53"/>
      <c r="L2" s="53"/>
      <c r="M2" s="53"/>
    </row>
    <row r="3" spans="1:13" ht="41.5" customHeight="1" x14ac:dyDescent="0.2">
      <c r="A3" s="34" t="s">
        <v>1322</v>
      </c>
      <c r="B3" s="33" t="str">
        <f ca="1">INDIRECT("main!"&amp;"D"&amp;B$1+2)</f>
        <v>The psychiatric vulnerability gene CACNA1C and its sex-specific relationship with personality traits, resilience factors and depressive symptoms in the general population</v>
      </c>
      <c r="D3" s="53" t="s">
        <v>1395</v>
      </c>
      <c r="E3" s="53" t="s">
        <v>1366</v>
      </c>
      <c r="F3" s="53" t="s">
        <v>1367</v>
      </c>
      <c r="G3" s="54" t="s">
        <v>0</v>
      </c>
      <c r="H3" s="54" t="s">
        <v>2154</v>
      </c>
      <c r="I3" s="54" t="s">
        <v>2154</v>
      </c>
      <c r="K3" s="53"/>
      <c r="L3" s="54"/>
      <c r="M3" s="54"/>
    </row>
    <row r="4" spans="1:13" x14ac:dyDescent="0.2">
      <c r="A4" s="34" t="s">
        <v>1324</v>
      </c>
      <c r="B4" s="33" t="str">
        <f ca="1">INDIRECT("main!"&amp;"J"&amp;B$1+2)</f>
        <v>10.1038/mp.2012.53</v>
      </c>
      <c r="C4" s="33"/>
      <c r="D4" t="s">
        <v>1628</v>
      </c>
      <c r="E4" s="55">
        <v>0</v>
      </c>
      <c r="G4" s="55">
        <v>379</v>
      </c>
      <c r="H4">
        <f>INT(G4*1999/G$8)</f>
        <v>199</v>
      </c>
      <c r="I4">
        <f>INT(H4*1999/H$8)</f>
        <v>199</v>
      </c>
      <c r="K4" s="53"/>
      <c r="L4" s="53"/>
      <c r="M4" s="53"/>
    </row>
    <row r="5" spans="1:13" ht="32.75" customHeight="1" x14ac:dyDescent="0.2">
      <c r="A5" s="34" t="s">
        <v>1327</v>
      </c>
      <c r="B5" s="33" t="str">
        <f ca="1">INDIRECT("main!"&amp;"M"&amp;B$1+2)</f>
        <v>Heidelberg longitudinal cohort: men (47.6%; mean age 53.5±7.1 years) and women (52.4%; mean age 52.9±7.0 years)</v>
      </c>
      <c r="D5" t="s">
        <v>1437</v>
      </c>
      <c r="E5" s="55">
        <v>1</v>
      </c>
      <c r="G5" s="55">
        <v>1511</v>
      </c>
      <c r="H5">
        <f t="shared" ref="H5:H6" si="0">INT(G5*1999/G$8)</f>
        <v>793</v>
      </c>
      <c r="I5">
        <f t="shared" ref="I5:I6" si="1">INT(H5*1999/H$8)</f>
        <v>793</v>
      </c>
      <c r="K5" s="53"/>
      <c r="L5" s="53"/>
      <c r="M5" s="53"/>
    </row>
    <row r="6" spans="1:13" x14ac:dyDescent="0.2">
      <c r="A6" s="34" t="s">
        <v>1333</v>
      </c>
      <c r="B6" s="33" t="str">
        <f ca="1">INDIRECT("main!"&amp;"L"&amp;B$1+2)</f>
        <v>1804 men and 1989 women</v>
      </c>
      <c r="D6" s="54" t="s">
        <v>1308</v>
      </c>
      <c r="E6" s="55">
        <v>2</v>
      </c>
      <c r="G6" s="55">
        <v>1917</v>
      </c>
      <c r="H6">
        <f t="shared" si="0"/>
        <v>1006</v>
      </c>
      <c r="I6">
        <f t="shared" si="1"/>
        <v>1006</v>
      </c>
      <c r="K6" s="53"/>
      <c r="L6" s="53"/>
      <c r="M6" s="53"/>
    </row>
    <row r="7" spans="1:13" x14ac:dyDescent="0.2">
      <c r="A7" s="34" t="s">
        <v>1903</v>
      </c>
      <c r="B7" s="33">
        <v>2</v>
      </c>
      <c r="D7" s="54"/>
      <c r="E7" s="55"/>
      <c r="G7" s="55"/>
      <c r="K7" s="53"/>
      <c r="L7" s="53"/>
      <c r="M7" s="53"/>
    </row>
    <row r="8" spans="1:13" ht="20.25" customHeight="1" x14ac:dyDescent="0.2">
      <c r="A8" s="34" t="s">
        <v>343</v>
      </c>
      <c r="B8" s="33" t="str">
        <f ca="1">INDIRECT("main!"&amp;"q"&amp;B$1+2)</f>
        <v>CACNA1C</v>
      </c>
      <c r="D8" s="54"/>
      <c r="E8" s="55" t="s">
        <v>1374</v>
      </c>
      <c r="F8" s="55"/>
      <c r="G8" s="55">
        <f>SUM(G4:G6)</f>
        <v>3807</v>
      </c>
      <c r="H8" s="55">
        <f>SUM(H4:H6)</f>
        <v>1998</v>
      </c>
      <c r="I8" s="55">
        <f>SUM(I4:I6)</f>
        <v>1998</v>
      </c>
      <c r="J8" s="55"/>
      <c r="K8" s="55"/>
      <c r="L8" s="55"/>
      <c r="M8" s="55"/>
    </row>
    <row r="9" spans="1:13" ht="34.5" customHeight="1" x14ac:dyDescent="0.2">
      <c r="A9" s="34" t="s">
        <v>1329</v>
      </c>
      <c r="B9" s="33" t="str">
        <f ca="1">INDIRECT("main!"&amp;"r"&amp;B$1+2)</f>
        <v>rs1006737</v>
      </c>
      <c r="D9" s="53"/>
      <c r="E9" s="55"/>
      <c r="F9" s="55"/>
      <c r="G9" s="55"/>
      <c r="H9" s="55"/>
      <c r="I9" s="201" t="s">
        <v>2155</v>
      </c>
      <c r="J9" s="55"/>
      <c r="K9" s="53"/>
      <c r="L9" s="53"/>
      <c r="M9" s="53"/>
    </row>
    <row r="10" spans="1:13" ht="128.5" customHeight="1" x14ac:dyDescent="0.2">
      <c r="A10" s="34" t="s">
        <v>1323</v>
      </c>
      <c r="B10" s="33" t="s">
        <v>1796</v>
      </c>
      <c r="D10" s="53"/>
      <c r="E10" s="55"/>
      <c r="F10" s="55"/>
      <c r="G10" s="55"/>
      <c r="H10" s="55"/>
      <c r="I10" s="55"/>
      <c r="J10" s="55"/>
      <c r="K10" s="53"/>
      <c r="L10" s="53"/>
      <c r="M10" s="53"/>
    </row>
    <row r="11" spans="1:13" ht="62" customHeight="1" x14ac:dyDescent="0.2">
      <c r="A11" s="34" t="s">
        <v>1396</v>
      </c>
      <c r="B11" s="33" t="str">
        <f ca="1">INDIRECT("main!"&amp;"w"&amp;B$1+2)</f>
        <v>Nonparametric approach because skewed distributions. Association between phenotype and the three genotypes of SNP rs1006737 was analyzed using a maximum test, which includes the additive, recessive and dominant modes of inheritance.</v>
      </c>
      <c r="D11" s="53"/>
      <c r="E11" s="69"/>
      <c r="F11" s="69"/>
      <c r="G11" s="55"/>
      <c r="H11" s="55"/>
      <c r="I11" s="55"/>
      <c r="J11" s="55"/>
      <c r="K11" s="53"/>
      <c r="L11" s="53"/>
      <c r="M11" s="53"/>
    </row>
    <row r="12" spans="1:13" ht="43.5" customHeight="1" x14ac:dyDescent="0.2">
      <c r="A12" s="34" t="s">
        <v>1898</v>
      </c>
      <c r="B12" s="33" t="s">
        <v>2356</v>
      </c>
      <c r="D12" s="53"/>
      <c r="E12" s="70"/>
      <c r="F12" s="76"/>
      <c r="G12" s="53"/>
      <c r="H12" s="53"/>
      <c r="I12" s="53"/>
      <c r="J12" s="53"/>
      <c r="K12" s="53"/>
      <c r="L12" s="53"/>
      <c r="M12" s="53"/>
    </row>
    <row r="13" spans="1:13" ht="49.75" customHeight="1" x14ac:dyDescent="0.2">
      <c r="A13" s="34" t="s">
        <v>1326</v>
      </c>
      <c r="B13" s="33" t="s">
        <v>1623</v>
      </c>
      <c r="D13" s="53"/>
      <c r="E13" s="56"/>
      <c r="F13" s="53"/>
      <c r="G13" s="53"/>
      <c r="H13" s="53"/>
      <c r="I13" s="53"/>
      <c r="J13" s="53"/>
      <c r="K13" s="53"/>
      <c r="L13" s="53"/>
      <c r="M13" s="53"/>
    </row>
    <row r="14" spans="1:13" x14ac:dyDescent="0.2">
      <c r="A14" s="34" t="s">
        <v>1852</v>
      </c>
      <c r="B14" s="33" t="str">
        <f>D4&amp;" (N = "&amp;H4&amp;"); "&amp;D5&amp;" (N = "&amp;H5&amp;"); "&amp;D6&amp;" (N = "&amp;H6&amp;")"</f>
        <v>AA   (N = 199); AG (N = 793); GG (N = 1006)</v>
      </c>
      <c r="D14" s="58" t="s">
        <v>1438</v>
      </c>
      <c r="E14" s="58"/>
      <c r="F14" s="58"/>
      <c r="G14" s="53"/>
      <c r="H14" s="53"/>
      <c r="I14" s="53"/>
      <c r="J14" s="53"/>
      <c r="K14" s="53"/>
      <c r="L14" s="53"/>
      <c r="M14" s="53"/>
    </row>
    <row r="15" spans="1:13" x14ac:dyDescent="0.2">
      <c r="A15" s="34" t="s">
        <v>1848</v>
      </c>
      <c r="B15" s="62">
        <f>ABS(F17)</f>
        <v>8.1156186569172534E-2</v>
      </c>
      <c r="D15" s="58"/>
      <c r="E15" s="58"/>
      <c r="F15" s="58"/>
    </row>
    <row r="16" spans="1:13" x14ac:dyDescent="0.2">
      <c r="A16" s="34" t="s">
        <v>1899</v>
      </c>
      <c r="B16" s="62" t="s">
        <v>2153</v>
      </c>
      <c r="D16" t="s">
        <v>1439</v>
      </c>
      <c r="E16" t="s">
        <v>1440</v>
      </c>
      <c r="F16" t="s">
        <v>1378</v>
      </c>
    </row>
    <row r="17" spans="1:6" ht="16" x14ac:dyDescent="0.2">
      <c r="A17" s="204" t="s">
        <v>2189</v>
      </c>
      <c r="B17" s="33">
        <v>6.2E-2</v>
      </c>
      <c r="D17">
        <v>2.7999999999999998E-4</v>
      </c>
      <c r="E17">
        <f>TINV(D17,I8-2)</f>
        <v>3.6396054538885538</v>
      </c>
      <c r="F17" s="77">
        <f>SQRT(E17^2/(E17^2+I8))</f>
        <v>8.1156186569172534E-2</v>
      </c>
    </row>
    <row r="18" spans="1:6" x14ac:dyDescent="0.2">
      <c r="A18" s="64" t="s">
        <v>1401</v>
      </c>
      <c r="B18" s="33">
        <v>0.99399999999999999</v>
      </c>
      <c r="D18">
        <v>2.7999999999999998E-4</v>
      </c>
      <c r="E18">
        <f>TINV(D18,I8-2)</f>
        <v>3.6396054538885538</v>
      </c>
      <c r="F18" s="77">
        <f>SQRT(E18^2/(E18^2+I8))</f>
        <v>8.1156186569172534E-2</v>
      </c>
    </row>
    <row r="19" spans="1:6" x14ac:dyDescent="0.2">
      <c r="A19" s="64" t="s">
        <v>1346</v>
      </c>
      <c r="B19" s="5" t="s">
        <v>1624</v>
      </c>
    </row>
    <row r="20" spans="1:6" ht="85.5" customHeight="1" x14ac:dyDescent="0.2">
      <c r="A20" s="33" t="s">
        <v>1388</v>
      </c>
      <c r="B20" s="33" t="s">
        <v>2307</v>
      </c>
      <c r="D20" s="58"/>
    </row>
    <row r="21" spans="1:6" ht="26" customHeight="1" x14ac:dyDescent="0.2">
      <c r="A21" s="33" t="s">
        <v>1390</v>
      </c>
      <c r="D21" s="236" t="s">
        <v>2415</v>
      </c>
      <c r="E21" s="236" t="s">
        <v>2416</v>
      </c>
    </row>
    <row r="22" spans="1:6" ht="42" customHeight="1" x14ac:dyDescent="0.2">
      <c r="A22" s="34" t="s">
        <v>1387</v>
      </c>
      <c r="D22" s="236">
        <v>3793</v>
      </c>
      <c r="E22" s="236">
        <v>0</v>
      </c>
    </row>
    <row r="23" spans="1:6" ht="28.5" customHeight="1" x14ac:dyDescent="0.2">
      <c r="A23" s="63" t="s">
        <v>1426</v>
      </c>
      <c r="B23" s="57"/>
    </row>
    <row r="24" spans="1:6" s="140" customFormat="1" ht="28.5" customHeight="1" x14ac:dyDescent="0.2">
      <c r="A24" s="138" t="s">
        <v>1746</v>
      </c>
      <c r="B24" s="139"/>
    </row>
    <row r="25" spans="1:6" s="136" customFormat="1" ht="28.5" customHeight="1" x14ac:dyDescent="0.2">
      <c r="A25" s="137" t="s">
        <v>1753</v>
      </c>
      <c r="B25" s="137" t="s">
        <v>885</v>
      </c>
    </row>
    <row r="26" spans="1:6" s="136" customFormat="1" ht="28.5" customHeight="1" x14ac:dyDescent="0.2">
      <c r="A26" s="137" t="s">
        <v>1681</v>
      </c>
      <c r="B26" s="137">
        <f ca="1">INDIRECT("N_SNPs!"&amp;"L"&amp;B$1+2)</f>
        <v>0</v>
      </c>
    </row>
    <row r="27" spans="1:6" s="136" customFormat="1" ht="28.5" customHeight="1" x14ac:dyDescent="0.2">
      <c r="A27" s="137" t="s">
        <v>1747</v>
      </c>
      <c r="B27" s="137">
        <f ca="1">INDIRECT("N_SNPs!"&amp;"M"&amp;B$1+2)</f>
        <v>1</v>
      </c>
    </row>
    <row r="28" spans="1:6" s="136" customFormat="1" ht="28.5" customHeight="1" x14ac:dyDescent="0.2">
      <c r="A28" s="137" t="s">
        <v>1683</v>
      </c>
      <c r="B28" s="137" t="str">
        <f ca="1">INDIRECT("N_SNPs!"&amp;"N"&amp;B$1+2)</f>
        <v>not needed</v>
      </c>
    </row>
    <row r="29" spans="1:6" s="136" customFormat="1" ht="28.5" customHeight="1" x14ac:dyDescent="0.2">
      <c r="A29" s="137" t="s">
        <v>2171</v>
      </c>
      <c r="B29" s="137">
        <f ca="1">INDIRECT("N_SNPs!"&amp;"O"&amp;B$1+2)</f>
        <v>1</v>
      </c>
    </row>
    <row r="30" spans="1:6" s="136" customFormat="1" ht="28.5" customHeight="1" x14ac:dyDescent="0.2">
      <c r="A30" s="137" t="s">
        <v>2170</v>
      </c>
      <c r="B30" s="137">
        <v>0</v>
      </c>
    </row>
    <row r="31" spans="1:6" s="136" customFormat="1" ht="28.5" customHeight="1" x14ac:dyDescent="0.2">
      <c r="A31" s="137" t="s">
        <v>2172</v>
      </c>
      <c r="B31" s="137">
        <f ca="1">INDIRECT("N_SNPs!"&amp;"Q"&amp;B$1+2)</f>
        <v>5</v>
      </c>
    </row>
    <row r="32" spans="1:6" s="136" customFormat="1" ht="28.5" customHeight="1" x14ac:dyDescent="0.2">
      <c r="A32" s="137" t="s">
        <v>1686</v>
      </c>
      <c r="B32" s="137">
        <f ca="1">INDIRECT("N_SNPs!"&amp;"R"&amp;B$1+2)</f>
        <v>0</v>
      </c>
    </row>
    <row r="33" spans="1:3" s="172" customFormat="1" ht="28.5" customHeight="1" x14ac:dyDescent="0.2">
      <c r="A33" s="171" t="s">
        <v>1808</v>
      </c>
      <c r="B33" s="171">
        <v>10</v>
      </c>
    </row>
    <row r="34" spans="1:3" s="172" customFormat="1" ht="28.5" customHeight="1" x14ac:dyDescent="0.2">
      <c r="A34" s="203" t="s">
        <v>2177</v>
      </c>
      <c r="B34" s="171">
        <v>3</v>
      </c>
    </row>
    <row r="35" spans="1:3" s="172" customFormat="1" ht="28.5" customHeight="1" x14ac:dyDescent="0.2">
      <c r="A35" s="171" t="s">
        <v>1810</v>
      </c>
      <c r="B35" s="171">
        <v>1</v>
      </c>
    </row>
    <row r="36" spans="1:3" s="174" customFormat="1" ht="28.5" customHeight="1" x14ac:dyDescent="0.2">
      <c r="A36" s="173" t="s">
        <v>1835</v>
      </c>
      <c r="B36" s="173" t="s">
        <v>1752</v>
      </c>
      <c r="C36" s="174" t="s">
        <v>2421</v>
      </c>
    </row>
    <row r="37" spans="1:3" s="174" customFormat="1" ht="28.5" customHeight="1" x14ac:dyDescent="0.2">
      <c r="A37" s="173" t="s">
        <v>2272</v>
      </c>
      <c r="B37" s="173" t="s">
        <v>1752</v>
      </c>
    </row>
    <row r="38" spans="1:3" s="174" customFormat="1" ht="28.5" customHeight="1" x14ac:dyDescent="0.2">
      <c r="A38" s="173" t="s">
        <v>2299</v>
      </c>
      <c r="B38" s="173" t="s">
        <v>1752</v>
      </c>
    </row>
    <row r="39" spans="1:3" s="174" customFormat="1" ht="28.5" customHeight="1" x14ac:dyDescent="0.2">
      <c r="A39" s="173" t="s">
        <v>2273</v>
      </c>
      <c r="B39" s="173">
        <v>0</v>
      </c>
    </row>
    <row r="40" spans="1:3" s="174" customFormat="1" ht="28.5" customHeight="1" x14ac:dyDescent="0.2">
      <c r="A40" s="173" t="s">
        <v>2274</v>
      </c>
      <c r="B40" s="33" t="s">
        <v>1752</v>
      </c>
    </row>
    <row r="41" spans="1:3" s="176" customFormat="1" ht="85" customHeight="1" x14ac:dyDescent="0.2">
      <c r="A41" s="175" t="s">
        <v>1815</v>
      </c>
      <c r="B41" s="7" t="s">
        <v>2196</v>
      </c>
    </row>
    <row r="42" spans="1:3" s="176" customFormat="1" ht="85" customHeight="1" x14ac:dyDescent="0.2">
      <c r="A42" s="175" t="s">
        <v>1881</v>
      </c>
      <c r="B42" s="7" t="s">
        <v>1891</v>
      </c>
    </row>
    <row r="43" spans="1:3" x14ac:dyDescent="0.2">
      <c r="A43" s="34" t="s">
        <v>1398</v>
      </c>
      <c r="B43" s="65"/>
    </row>
    <row r="44" spans="1:3" x14ac:dyDescent="0.2">
      <c r="A44" s="34" t="s">
        <v>1410</v>
      </c>
    </row>
    <row r="45" spans="1:3" x14ac:dyDescent="0.2">
      <c r="A45" s="34" t="s">
        <v>2374</v>
      </c>
      <c r="B45" s="33" t="s">
        <v>1752</v>
      </c>
    </row>
    <row r="47" spans="1:3" x14ac:dyDescent="0.2">
      <c r="A47" s="34" t="s">
        <v>1416</v>
      </c>
      <c r="B47" s="66" t="s">
        <v>1913</v>
      </c>
    </row>
    <row r="49" spans="1:2" x14ac:dyDescent="0.2">
      <c r="A49" s="34" t="s">
        <v>1490</v>
      </c>
      <c r="B49" s="66">
        <v>42689</v>
      </c>
    </row>
    <row r="50" spans="1:2" ht="30" x14ac:dyDescent="0.2">
      <c r="B50" s="33" t="s">
        <v>1914</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45</vt:i4>
      </vt:variant>
    </vt:vector>
  </HeadingPairs>
  <TitlesOfParts>
    <vt:vector size="45" baseType="lpstr">
      <vt:lpstr>authorcontact</vt:lpstr>
      <vt:lpstr>studies_with_subsamples</vt:lpstr>
      <vt:lpstr>N_SNPs</vt:lpstr>
      <vt:lpstr>multtests_summary</vt:lpstr>
      <vt:lpstr>chart_multitests</vt:lpstr>
      <vt:lpstr>studies_with_replicates (2)</vt:lpstr>
      <vt:lpstr>studies_with_replicates</vt:lpstr>
      <vt:lpstr>for_funnel</vt:lpstr>
      <vt:lpstr>overview_30</vt:lpstr>
      <vt:lpstr>overview_29</vt:lpstr>
      <vt:lpstr>overview_28</vt:lpstr>
      <vt:lpstr>overview_27</vt:lpstr>
      <vt:lpstr>overview_26</vt:lpstr>
      <vt:lpstr>overview_25</vt:lpstr>
      <vt:lpstr>overview_24</vt:lpstr>
      <vt:lpstr>overview_23</vt:lpstr>
      <vt:lpstr>overview_22</vt:lpstr>
      <vt:lpstr>overview_21</vt:lpstr>
      <vt:lpstr>overview_20</vt:lpstr>
      <vt:lpstr>overview_19</vt:lpstr>
      <vt:lpstr>overview_18</vt:lpstr>
      <vt:lpstr>overview_17</vt:lpstr>
      <vt:lpstr>overview_16</vt:lpstr>
      <vt:lpstr>overview_15</vt:lpstr>
      <vt:lpstr>overview_14</vt:lpstr>
      <vt:lpstr>overview_13</vt:lpstr>
      <vt:lpstr>overview_12</vt:lpstr>
      <vt:lpstr>overview_11</vt:lpstr>
      <vt:lpstr>overview_10</vt:lpstr>
      <vt:lpstr>overview_9</vt:lpstr>
      <vt:lpstr>overview_8</vt:lpstr>
      <vt:lpstr>overview_7</vt:lpstr>
      <vt:lpstr>overview_6</vt:lpstr>
      <vt:lpstr>overview_5</vt:lpstr>
      <vt:lpstr>overview_4</vt:lpstr>
      <vt:lpstr>overview_3</vt:lpstr>
      <vt:lpstr>overview_2</vt:lpstr>
      <vt:lpstr>overview_1</vt:lpstr>
      <vt:lpstr>main</vt:lpstr>
      <vt:lpstr>origtable_allrows</vt:lpstr>
      <vt:lpstr>compute r</vt:lpstr>
      <vt:lpstr>summary_tab</vt:lpstr>
      <vt:lpstr>SNPinfo</vt:lpstr>
      <vt:lpstr>6_corrected_data</vt:lpstr>
      <vt:lpstr>overview_6_orig data</vt:lpstr>
    </vt:vector>
  </TitlesOfParts>
  <Company>University of Oxford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Grabitz</dc:creator>
  <cp:lastModifiedBy>Microsoft Office User</cp:lastModifiedBy>
  <dcterms:created xsi:type="dcterms:W3CDTF">2016-07-18T08:50:29Z</dcterms:created>
  <dcterms:modified xsi:type="dcterms:W3CDTF">2017-04-30T05:24:35Z</dcterms:modified>
</cp:coreProperties>
</file>