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mc:AlternateContent xmlns:mc="http://schemas.openxmlformats.org/markup-compatibility/2006">
    <mc:Choice Requires="x15">
      <x15ac:absPath xmlns:x15ac="http://schemas.microsoft.com/office/spreadsheetml/2010/11/ac" url="C:\SOSTest\Instructional\NPfl\"/>
    </mc:Choice>
  </mc:AlternateContent>
  <xr:revisionPtr revIDLastSave="0" documentId="13_ncr:1_{7859B422-35F9-4A4B-9775-4E90E328B9A6}" xr6:coauthVersionLast="47" xr6:coauthVersionMax="47" xr10:uidLastSave="{00000000-0000-0000-0000-000000000000}"/>
  <bookViews>
    <workbookView xWindow="-80" yWindow="-80" windowWidth="19360" windowHeight="10360" xr2:uid="{00000000-000D-0000-FFFF-FFFF00000000}"/>
  </bookViews>
  <sheets>
    <sheet name="NPfI Calculator"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 i="4" l="1"/>
  <c r="X11" i="4"/>
  <c r="X10" i="4"/>
  <c r="X9" i="4"/>
  <c r="AI36" i="4"/>
  <c r="R7" i="4"/>
  <c r="R8" i="4"/>
  <c r="R9" i="4"/>
  <c r="R10" i="4"/>
  <c r="R11" i="4"/>
  <c r="R12" i="4"/>
  <c r="R13" i="4"/>
  <c r="R14" i="4"/>
  <c r="R15" i="4"/>
  <c r="R16" i="4"/>
  <c r="R17" i="4"/>
  <c r="R18" i="4"/>
  <c r="R19" i="4"/>
  <c r="R20" i="4"/>
  <c r="R21" i="4"/>
  <c r="R22" i="4"/>
  <c r="R23" i="4"/>
  <c r="R24" i="4"/>
  <c r="R25" i="4"/>
  <c r="R6" i="4"/>
  <c r="Q7" i="4"/>
  <c r="Q8" i="4"/>
  <c r="Q9" i="4"/>
  <c r="Q10" i="4"/>
  <c r="Q11" i="4"/>
  <c r="Q12" i="4"/>
  <c r="Q13" i="4"/>
  <c r="Q14" i="4"/>
  <c r="Q15" i="4"/>
  <c r="Q16" i="4"/>
  <c r="Q17" i="4"/>
  <c r="Q18" i="4"/>
  <c r="Q19" i="4"/>
  <c r="Q20" i="4"/>
  <c r="Q21" i="4"/>
  <c r="Q22" i="4"/>
  <c r="Q23" i="4"/>
  <c r="Q24" i="4"/>
  <c r="Q25" i="4"/>
  <c r="Q6" i="4"/>
  <c r="P7" i="4"/>
  <c r="P8" i="4"/>
  <c r="P9" i="4"/>
  <c r="P10" i="4"/>
  <c r="P11" i="4"/>
  <c r="P12" i="4"/>
  <c r="P13" i="4"/>
  <c r="P14" i="4"/>
  <c r="P15" i="4"/>
  <c r="P16" i="4"/>
  <c r="P17" i="4"/>
  <c r="P18" i="4"/>
  <c r="P19" i="4"/>
  <c r="P20" i="4"/>
  <c r="P21" i="4"/>
  <c r="P22" i="4"/>
  <c r="P23" i="4"/>
  <c r="P24" i="4"/>
  <c r="P25" i="4"/>
  <c r="P6" i="4"/>
  <c r="AH38" i="4"/>
  <c r="AI38" i="4" s="1"/>
  <c r="AH37" i="4"/>
  <c r="AI37" i="4" s="1"/>
  <c r="Z26" i="4" l="1"/>
  <c r="Z25" i="4"/>
  <c r="Z24" i="4"/>
  <c r="Z23" i="4"/>
  <c r="Z22" i="4"/>
  <c r="Z21" i="4"/>
  <c r="Z20" i="4"/>
  <c r="Z19" i="4"/>
  <c r="Z18" i="4"/>
  <c r="Z17" i="4"/>
  <c r="Z16" i="4"/>
  <c r="Z15" i="4"/>
  <c r="Z14" i="4"/>
  <c r="Z13" i="4"/>
  <c r="Z12" i="4"/>
  <c r="Y26" i="4"/>
  <c r="Y25" i="4"/>
  <c r="Y24" i="4"/>
  <c r="Y23" i="4"/>
  <c r="Y22" i="4"/>
  <c r="Y21" i="4"/>
  <c r="Y20" i="4"/>
  <c r="Y19" i="4"/>
  <c r="Y18" i="4"/>
  <c r="Y17" i="4"/>
  <c r="Y16" i="4"/>
  <c r="Y15" i="4"/>
  <c r="Y14" i="4"/>
  <c r="Y13" i="4"/>
  <c r="Y12" i="4"/>
  <c r="AS26" i="4" l="1"/>
  <c r="AS25" i="4"/>
  <c r="AS24" i="4"/>
  <c r="AS23" i="4"/>
  <c r="AS22" i="4"/>
  <c r="AS21" i="4"/>
  <c r="AS20" i="4"/>
  <c r="AS19" i="4"/>
  <c r="AS18" i="4"/>
  <c r="AS17" i="4"/>
  <c r="AS16" i="4"/>
  <c r="AS15" i="4"/>
  <c r="AS14" i="4"/>
  <c r="AS13" i="4"/>
  <c r="AS12" i="4"/>
  <c r="AS11" i="4"/>
  <c r="AS10" i="4"/>
  <c r="AS9" i="4"/>
  <c r="AS8" i="4"/>
  <c r="AS7" i="4"/>
  <c r="AS6" i="4"/>
  <c r="G29" i="4" l="1"/>
  <c r="AV6" i="4" l="1"/>
  <c r="AD6" i="4"/>
  <c r="AE6" i="4" s="1"/>
  <c r="X6" i="4"/>
  <c r="AB6" i="4" s="1"/>
  <c r="X7" i="4"/>
  <c r="X8" i="4"/>
  <c r="X12" i="4"/>
  <c r="X13" i="4"/>
  <c r="X14" i="4"/>
  <c r="X15" i="4"/>
  <c r="X16" i="4"/>
  <c r="X17" i="4"/>
  <c r="X18" i="4"/>
  <c r="X19" i="4"/>
  <c r="X20" i="4"/>
  <c r="X21" i="4"/>
  <c r="X22" i="4"/>
  <c r="X23" i="4"/>
  <c r="X24" i="4"/>
  <c r="X25" i="4"/>
  <c r="X26" i="4"/>
  <c r="AV26" i="4"/>
  <c r="AV25" i="4"/>
  <c r="AV24" i="4"/>
  <c r="AV23" i="4"/>
  <c r="AV22" i="4"/>
  <c r="AV21" i="4"/>
  <c r="AV20" i="4"/>
  <c r="AV19" i="4"/>
  <c r="AV18" i="4"/>
  <c r="AV17" i="4"/>
  <c r="AV16" i="4"/>
  <c r="AV15" i="4"/>
  <c r="AV14" i="4"/>
  <c r="AV13" i="4"/>
  <c r="AV12" i="4"/>
  <c r="AV11" i="4"/>
  <c r="AV10" i="4"/>
  <c r="AV9" i="4"/>
  <c r="AV8" i="4"/>
  <c r="AW6" i="4" l="1"/>
  <c r="AG25" i="4"/>
  <c r="AB25" i="4"/>
  <c r="AT25" i="4"/>
  <c r="AG21" i="4"/>
  <c r="AB21" i="4"/>
  <c r="AT17" i="4"/>
  <c r="AB17" i="4"/>
  <c r="AG17" i="4"/>
  <c r="AB13" i="4"/>
  <c r="AG13" i="4"/>
  <c r="AT13" i="4"/>
  <c r="AT9" i="4"/>
  <c r="AB9" i="4"/>
  <c r="AG9" i="4"/>
  <c r="AF9" i="4" s="1"/>
  <c r="AB24" i="4"/>
  <c r="AG24" i="4"/>
  <c r="AT24" i="4"/>
  <c r="AT20" i="4"/>
  <c r="AB20" i="4"/>
  <c r="AG20" i="4"/>
  <c r="AT16" i="4"/>
  <c r="AB16" i="4"/>
  <c r="AG16" i="4"/>
  <c r="AB12" i="4"/>
  <c r="AG12" i="4"/>
  <c r="AI12" i="4" s="1"/>
  <c r="AT12" i="4"/>
  <c r="AB8" i="4"/>
  <c r="AG8" i="4"/>
  <c r="AT23" i="4"/>
  <c r="AB23" i="4"/>
  <c r="AG23" i="4"/>
  <c r="AT19" i="4"/>
  <c r="AB19" i="4"/>
  <c r="AG19" i="4"/>
  <c r="AT15" i="4"/>
  <c r="AB15" i="4"/>
  <c r="AG15" i="4"/>
  <c r="AB11" i="4"/>
  <c r="AG11" i="4"/>
  <c r="AF11" i="4" s="1"/>
  <c r="AB7" i="4"/>
  <c r="AG7" i="4"/>
  <c r="AB26" i="4"/>
  <c r="AG26" i="4"/>
  <c r="AT26" i="4"/>
  <c r="AT22" i="4"/>
  <c r="AB22" i="4"/>
  <c r="AG22" i="4"/>
  <c r="AT18" i="4"/>
  <c r="AB18" i="4"/>
  <c r="AG18" i="4"/>
  <c r="AB14" i="4"/>
  <c r="AG14" i="4"/>
  <c r="AT14" i="4"/>
  <c r="AB10" i="4"/>
  <c r="AG10" i="4"/>
  <c r="AF10" i="4" s="1"/>
  <c r="AT6" i="4"/>
  <c r="AG6" i="4"/>
  <c r="AT11" i="4"/>
  <c r="AT10" i="4"/>
  <c r="AT8" i="4"/>
  <c r="AT7" i="4"/>
  <c r="AT21" i="4"/>
  <c r="AV7" i="4"/>
  <c r="AD9" i="4"/>
  <c r="AD12" i="4"/>
  <c r="AD13" i="4" s="1"/>
  <c r="AD21" i="4"/>
  <c r="AU21" i="4" s="1"/>
  <c r="AD24" i="4"/>
  <c r="AU24" i="4" s="1"/>
  <c r="AD7" i="4"/>
  <c r="AU7" i="4" s="1"/>
  <c r="AD15" i="4"/>
  <c r="AU15" i="4" s="1"/>
  <c r="AD18" i="4"/>
  <c r="AU18" i="4" s="1"/>
  <c r="AI6" i="4" l="1"/>
  <c r="AJ6" i="4" s="1"/>
  <c r="AK6" i="4" s="1"/>
  <c r="AX6" i="4" s="1"/>
  <c r="AF6" i="4"/>
  <c r="AF24" i="4"/>
  <c r="AI24" i="4"/>
  <c r="AJ24" i="4" s="1"/>
  <c r="AK24" i="4" s="1"/>
  <c r="AX24" i="4" s="1"/>
  <c r="AF22" i="4"/>
  <c r="AI22" i="4"/>
  <c r="AJ22" i="4" s="1"/>
  <c r="AK22" i="4" s="1"/>
  <c r="AX22" i="4" s="1"/>
  <c r="AI23" i="4"/>
  <c r="AJ23" i="4" s="1"/>
  <c r="AK23" i="4" s="1"/>
  <c r="AX23" i="4" s="1"/>
  <c r="AF23" i="4"/>
  <c r="AF16" i="4"/>
  <c r="AI16" i="4"/>
  <c r="AJ16" i="4" s="1"/>
  <c r="AK16" i="4" s="1"/>
  <c r="AX16" i="4" s="1"/>
  <c r="AF15" i="4"/>
  <c r="AI15" i="4"/>
  <c r="AJ15" i="4" s="1"/>
  <c r="AK15" i="4" s="1"/>
  <c r="AX15" i="4" s="1"/>
  <c r="AF21" i="4"/>
  <c r="AI21" i="4"/>
  <c r="AJ21" i="4" s="1"/>
  <c r="AK21" i="4" s="1"/>
  <c r="AX21" i="4" s="1"/>
  <c r="AF20" i="4"/>
  <c r="AI20" i="4"/>
  <c r="AJ20" i="4" s="1"/>
  <c r="AK20" i="4" s="1"/>
  <c r="AX20" i="4" s="1"/>
  <c r="AI7" i="4"/>
  <c r="AJ7" i="4" s="1"/>
  <c r="AK7" i="4" s="1"/>
  <c r="AX7" i="4" s="1"/>
  <c r="AF7" i="4"/>
  <c r="AF14" i="4"/>
  <c r="AI14" i="4"/>
  <c r="AJ14" i="4" s="1"/>
  <c r="AK14" i="4" s="1"/>
  <c r="AX14" i="4" s="1"/>
  <c r="AF8" i="4"/>
  <c r="AI8" i="4"/>
  <c r="AJ8" i="4" s="1"/>
  <c r="AK8" i="4" s="1"/>
  <c r="AX8" i="4" s="1"/>
  <c r="AI26" i="4"/>
  <c r="AJ26" i="4" s="1"/>
  <c r="AK26" i="4" s="1"/>
  <c r="AX26" i="4" s="1"/>
  <c r="AF26" i="4"/>
  <c r="AF18" i="4"/>
  <c r="AI18" i="4"/>
  <c r="AJ18" i="4" s="1"/>
  <c r="AK18" i="4" s="1"/>
  <c r="AX18" i="4" s="1"/>
  <c r="AI19" i="4"/>
  <c r="AJ19" i="4" s="1"/>
  <c r="AK19" i="4" s="1"/>
  <c r="AX19" i="4" s="1"/>
  <c r="AF19" i="4"/>
  <c r="AF13" i="4"/>
  <c r="AI13" i="4"/>
  <c r="AJ13" i="4" s="1"/>
  <c r="AK13" i="4" s="1"/>
  <c r="AX13" i="4" s="1"/>
  <c r="AJ12" i="4"/>
  <c r="AK12" i="4" s="1"/>
  <c r="AX12" i="4" s="1"/>
  <c r="AF12" i="4"/>
  <c r="AF25" i="4"/>
  <c r="AI25" i="4"/>
  <c r="AJ25" i="4" s="1"/>
  <c r="AK25" i="4" s="1"/>
  <c r="AX25" i="4" s="1"/>
  <c r="AF17" i="4"/>
  <c r="AI17" i="4"/>
  <c r="AJ17" i="4" s="1"/>
  <c r="AK17" i="4" s="1"/>
  <c r="AX17" i="4" s="1"/>
  <c r="AI10" i="4"/>
  <c r="AJ10" i="4" s="1"/>
  <c r="AK10" i="4" s="1"/>
  <c r="AX10" i="4" s="1"/>
  <c r="AI11" i="4"/>
  <c r="AJ11" i="4" s="1"/>
  <c r="AK11" i="4" s="1"/>
  <c r="AX11" i="4" s="1"/>
  <c r="AI9" i="4"/>
  <c r="AJ9" i="4" s="1"/>
  <c r="AK9" i="4" s="1"/>
  <c r="AX9" i="4" s="1"/>
  <c r="AE12" i="4"/>
  <c r="AM12" i="4" s="1"/>
  <c r="AU12" i="4"/>
  <c r="AD14" i="4"/>
  <c r="AU14" i="4" s="1"/>
  <c r="AU13" i="4"/>
  <c r="AE9" i="4"/>
  <c r="AW9" i="4" s="1"/>
  <c r="AU9" i="4"/>
  <c r="AD10" i="4"/>
  <c r="AE15" i="4"/>
  <c r="AD8" i="4"/>
  <c r="AU8" i="4" s="1"/>
  <c r="AE13" i="4"/>
  <c r="AD22" i="4"/>
  <c r="AU22" i="4" s="1"/>
  <c r="AE21" i="4"/>
  <c r="AD19" i="4"/>
  <c r="AU19" i="4" s="1"/>
  <c r="AE18" i="4"/>
  <c r="AE7" i="4"/>
  <c r="AD25" i="4"/>
  <c r="AU25" i="4" s="1"/>
  <c r="AE24" i="4"/>
  <c r="AD16" i="4"/>
  <c r="AU16" i="4" s="1"/>
  <c r="AW12" i="4" l="1"/>
  <c r="AN12" i="4"/>
  <c r="AM9" i="4"/>
  <c r="AN9" i="4"/>
  <c r="AN6" i="4"/>
  <c r="AE10" i="4"/>
  <c r="AW10" i="4" s="1"/>
  <c r="AU10" i="4"/>
  <c r="AE14" i="4"/>
  <c r="AM14" i="4" s="1"/>
  <c r="AW18" i="4"/>
  <c r="AN18" i="4"/>
  <c r="AW13" i="4"/>
  <c r="AN13" i="4"/>
  <c r="AW24" i="4"/>
  <c r="AN24" i="4"/>
  <c r="AW21" i="4"/>
  <c r="AN21" i="4"/>
  <c r="AW7" i="4"/>
  <c r="AN7" i="4"/>
  <c r="AW15" i="4"/>
  <c r="AN15" i="4"/>
  <c r="AD11" i="4"/>
  <c r="AM6" i="4"/>
  <c r="AM18" i="4"/>
  <c r="AM15" i="4"/>
  <c r="AM21" i="4"/>
  <c r="AM24" i="4"/>
  <c r="AM13" i="4"/>
  <c r="AM7" i="4"/>
  <c r="AE8" i="4"/>
  <c r="AD17" i="4"/>
  <c r="AU17" i="4" s="1"/>
  <c r="AD23" i="4"/>
  <c r="AU23" i="4" s="1"/>
  <c r="AE25" i="4"/>
  <c r="AD26" i="4"/>
  <c r="AU26" i="4" s="1"/>
  <c r="AE19" i="4"/>
  <c r="AD20" i="4"/>
  <c r="AU20" i="4" s="1"/>
  <c r="AE16" i="4"/>
  <c r="AE22" i="4"/>
  <c r="AN10" i="4" l="1"/>
  <c r="AM10" i="4"/>
  <c r="AN14" i="4"/>
  <c r="AE11" i="4"/>
  <c r="AN11" i="4" s="1"/>
  <c r="AU11" i="4"/>
  <c r="AW14" i="4"/>
  <c r="AW19" i="4"/>
  <c r="AN19" i="4"/>
  <c r="AW22" i="4"/>
  <c r="AN22" i="4"/>
  <c r="AW8" i="4"/>
  <c r="AN8" i="4"/>
  <c r="AW16" i="4"/>
  <c r="AN16" i="4"/>
  <c r="AW25" i="4"/>
  <c r="AN25" i="4"/>
  <c r="AM19" i="4"/>
  <c r="AM8" i="4"/>
  <c r="AM16" i="4"/>
  <c r="AM25" i="4"/>
  <c r="AM22" i="4"/>
  <c r="AE17" i="4"/>
  <c r="AE26" i="4"/>
  <c r="AE23" i="4"/>
  <c r="AE20" i="4"/>
  <c r="AW11" i="4" l="1"/>
  <c r="AM11" i="4"/>
  <c r="AW26" i="4"/>
  <c r="AN26" i="4"/>
  <c r="AW17" i="4"/>
  <c r="AN17" i="4"/>
  <c r="AW20" i="4"/>
  <c r="AN20" i="4"/>
  <c r="AW23" i="4"/>
  <c r="AN23" i="4"/>
  <c r="AM20" i="4"/>
  <c r="AM26" i="4"/>
  <c r="AM17" i="4"/>
  <c r="AM23" i="4"/>
</calcChain>
</file>

<file path=xl/sharedStrings.xml><?xml version="1.0" encoding="utf-8"?>
<sst xmlns="http://schemas.openxmlformats.org/spreadsheetml/2006/main" count="217" uniqueCount="108">
  <si>
    <t>L01</t>
  </si>
  <si>
    <t>RBL</t>
  </si>
  <si>
    <t>L02</t>
  </si>
  <si>
    <t>L03</t>
  </si>
  <si>
    <t>ABL Day L90</t>
  </si>
  <si>
    <t>ABL Evening L90</t>
  </si>
  <si>
    <t>ABL Night L90</t>
  </si>
  <si>
    <t>Leq Day</t>
  </si>
  <si>
    <t>Leq Evening</t>
  </si>
  <si>
    <t>Leq Night</t>
  </si>
  <si>
    <t>Intrusive</t>
  </si>
  <si>
    <t>Period</t>
  </si>
  <si>
    <t>Measured Noise Level (dBA)</t>
  </si>
  <si>
    <t>Daytime</t>
  </si>
  <si>
    <t>Evening</t>
  </si>
  <si>
    <t>Night-time</t>
  </si>
  <si>
    <t>Amenity</t>
  </si>
  <si>
    <t>Controlling Criteria</t>
  </si>
  <si>
    <t>Urban</t>
  </si>
  <si>
    <t>L04</t>
  </si>
  <si>
    <t>L05</t>
  </si>
  <si>
    <t>L06</t>
  </si>
  <si>
    <t>L07</t>
  </si>
  <si>
    <t>L08</t>
  </si>
  <si>
    <t>ID</t>
  </si>
  <si>
    <t>E</t>
  </si>
  <si>
    <t>L09</t>
  </si>
  <si>
    <t>L10</t>
  </si>
  <si>
    <t>L11</t>
  </si>
  <si>
    <t>L12</t>
  </si>
  <si>
    <t>L13</t>
  </si>
  <si>
    <t>L14</t>
  </si>
  <si>
    <t>L15</t>
  </si>
  <si>
    <t>F</t>
  </si>
  <si>
    <t>G</t>
  </si>
  <si>
    <r>
      <t>L</t>
    </r>
    <r>
      <rPr>
        <b/>
        <sz val="9"/>
        <color theme="1"/>
        <rFont val="Calibri"/>
        <family val="2"/>
        <scheme val="minor"/>
      </rPr>
      <t>Aeq(period)</t>
    </r>
  </si>
  <si>
    <t>Rural</t>
  </si>
  <si>
    <t>Suburban</t>
  </si>
  <si>
    <t>Check of RBLs</t>
  </si>
  <si>
    <t>Minimum RBLs</t>
  </si>
  <si>
    <t>Area Type</t>
  </si>
  <si>
    <t>LEGEND</t>
  </si>
  <si>
    <t>Recommended Amenity Noise Levels</t>
  </si>
  <si>
    <r>
      <t>L</t>
    </r>
    <r>
      <rPr>
        <b/>
        <u/>
        <sz val="9"/>
        <color theme="1"/>
        <rFont val="Calibri"/>
        <family val="2"/>
        <scheme val="minor"/>
      </rPr>
      <t>Aeq(Period)</t>
    </r>
    <r>
      <rPr>
        <b/>
        <u/>
        <sz val="11"/>
        <color theme="1"/>
        <rFont val="Calibri"/>
        <family val="2"/>
        <scheme val="minor"/>
      </rPr>
      <t xml:space="preserve"> to L</t>
    </r>
    <r>
      <rPr>
        <b/>
        <u/>
        <sz val="9"/>
        <color theme="1"/>
        <rFont val="Calibri"/>
        <family val="2"/>
        <scheme val="minor"/>
      </rPr>
      <t>Aeq(15 min)</t>
    </r>
    <r>
      <rPr>
        <b/>
        <u/>
        <sz val="11"/>
        <color theme="1"/>
        <rFont val="Calibri"/>
        <family val="2"/>
        <scheme val="minor"/>
      </rPr>
      <t xml:space="preserve"> Correction</t>
    </r>
  </si>
  <si>
    <t>Other Industry (Existing or Future)</t>
  </si>
  <si>
    <t>&lt;&lt; (Default in NPfI is +3 dB)</t>
  </si>
  <si>
    <t>&lt;&lt; Is any other industry present or likely to be introduced in the future?</t>
  </si>
  <si>
    <t>L16</t>
  </si>
  <si>
    <t>L17</t>
  </si>
  <si>
    <t>L18</t>
  </si>
  <si>
    <t>L19</t>
  </si>
  <si>
    <t>L20</t>
  </si>
  <si>
    <t>RBL Day</t>
  </si>
  <si>
    <t>RBL Evening</t>
  </si>
  <si>
    <t>RBL Night</t>
  </si>
  <si>
    <t>Representative Logger</t>
  </si>
  <si>
    <t>day</t>
  </si>
  <si>
    <t>evening</t>
  </si>
  <si>
    <t>night</t>
  </si>
  <si>
    <t>&lt;&lt; Table notes for Report</t>
  </si>
  <si>
    <t>Adjusted RBL</t>
  </si>
  <si>
    <t>&lt;&lt; User Entry or Selection Cell</t>
  </si>
  <si>
    <t>Receiver Areas</t>
  </si>
  <si>
    <t>Project Trigger Level - Intrusive</t>
  </si>
  <si>
    <t>RBL lower than minimum</t>
  </si>
  <si>
    <t>Applicable table note</t>
  </si>
  <si>
    <t>Notification</t>
  </si>
  <si>
    <t>Area / NCA</t>
  </si>
  <si>
    <t>Measured Level</t>
  </si>
  <si>
    <r>
      <t>Recommended Amenity Level L</t>
    </r>
    <r>
      <rPr>
        <b/>
        <sz val="9"/>
        <color theme="1"/>
        <rFont val="Calibri"/>
        <family val="2"/>
        <scheme val="minor"/>
      </rPr>
      <t>Aeq(period)</t>
    </r>
  </si>
  <si>
    <t>Monitoring Data (paste in from logger sheets) dBA</t>
  </si>
  <si>
    <t>Progress through the sheet from left to right</t>
  </si>
  <si>
    <t>Project Trigger Level - Amenity</t>
  </si>
  <si>
    <t>Is Area Dominated by Existing Industry or Road Traffic Noise?</t>
  </si>
  <si>
    <t>General Table Notes</t>
  </si>
  <si>
    <t>Note 1: RBL = Rating Background Level</t>
  </si>
  <si>
    <t>Note 2 changes depending on the presence of 
other industrial noise, as specified in Cell B28.</t>
  </si>
  <si>
    <t>Step 1 - Adjusted for other existing or future industry</t>
  </si>
  <si>
    <t>Step 2 - Adjustment for existing industry/traffic</t>
  </si>
  <si>
    <t>-10dB (Industry)</t>
  </si>
  <si>
    <t>^^ if cell is purple, see applicable table note for that logger</t>
  </si>
  <si>
    <t>&lt;</t>
  </si>
  <si>
    <t>-15dB (Traffic)</t>
  </si>
  <si>
    <r>
      <t>L</t>
    </r>
    <r>
      <rPr>
        <b/>
        <sz val="9"/>
        <color theme="1"/>
        <rFont val="Calibri"/>
        <family val="2"/>
        <scheme val="minor"/>
      </rPr>
      <t>Aeq</t>
    </r>
    <r>
      <rPr>
        <b/>
        <sz val="9"/>
        <color rgb="FFFF0000"/>
        <rFont val="Calibri"/>
        <family val="2"/>
        <scheme val="minor"/>
      </rPr>
      <t>(period)</t>
    </r>
    <r>
      <rPr>
        <b/>
        <sz val="11"/>
        <color theme="1"/>
        <rFont val="Calibri"/>
        <family val="2"/>
        <scheme val="minor"/>
      </rPr>
      <t xml:space="preserve"> (dBA)</t>
    </r>
  </si>
  <si>
    <r>
      <t>L</t>
    </r>
    <r>
      <rPr>
        <b/>
        <sz val="9"/>
        <color theme="1"/>
        <rFont val="Calibri"/>
        <family val="2"/>
        <scheme val="minor"/>
      </rPr>
      <t>Aeq</t>
    </r>
    <r>
      <rPr>
        <b/>
        <sz val="9"/>
        <color rgb="FFFF0000"/>
        <rFont val="Calibri"/>
        <family val="2"/>
        <scheme val="minor"/>
      </rPr>
      <t>(15minute)</t>
    </r>
    <r>
      <rPr>
        <b/>
        <sz val="11"/>
        <color theme="1"/>
        <rFont val="Calibri"/>
        <family val="2"/>
        <scheme val="minor"/>
      </rPr>
      <t xml:space="preserve"> (dBA)</t>
    </r>
  </si>
  <si>
    <t>FINAL TABLE FOR REPORT</t>
  </si>
  <si>
    <t>Note 3: The project amenity noise levels have been converted to a 15 minute level by adding 3 dB, as outlined in the NPfI.</t>
  </si>
  <si>
    <t>Representative Noise Logger</t>
  </si>
  <si>
    <r>
      <t>RBL</t>
    </r>
    <r>
      <rPr>
        <b/>
        <vertAlign val="superscript"/>
        <sz val="10"/>
        <color theme="1"/>
        <rFont val="Calibri"/>
        <family val="2"/>
        <scheme val="minor"/>
      </rPr>
      <t>1</t>
    </r>
  </si>
  <si>
    <r>
      <t>Recommended Amenity Noise Level L</t>
    </r>
    <r>
      <rPr>
        <b/>
        <sz val="8"/>
        <color theme="1"/>
        <rFont val="Calibri"/>
        <family val="2"/>
        <scheme val="minor"/>
      </rPr>
      <t>Aeq(period)</t>
    </r>
  </si>
  <si>
    <r>
      <t>L</t>
    </r>
    <r>
      <rPr>
        <b/>
        <sz val="8"/>
        <color theme="1"/>
        <rFont val="Calibri"/>
        <family val="2"/>
        <scheme val="minor"/>
      </rPr>
      <t>Aeq(period)</t>
    </r>
  </si>
  <si>
    <t>Intrusiveness</t>
  </si>
  <si>
    <r>
      <t>Amenity</t>
    </r>
    <r>
      <rPr>
        <b/>
        <vertAlign val="superscript"/>
        <sz val="10"/>
        <color theme="1"/>
        <rFont val="Calibri"/>
        <family val="2"/>
        <scheme val="minor"/>
      </rPr>
      <t>2,3</t>
    </r>
  </si>
  <si>
    <r>
      <t>Project Noise Trigger Levels L</t>
    </r>
    <r>
      <rPr>
        <b/>
        <sz val="8"/>
        <color theme="1"/>
        <rFont val="Calibri"/>
        <family val="2"/>
        <scheme val="minor"/>
      </rPr>
      <t>Aeq(15minute)</t>
    </r>
    <r>
      <rPr>
        <b/>
        <sz val="10"/>
        <color theme="1"/>
        <rFont val="Calibri"/>
        <family val="2"/>
        <scheme val="minor"/>
      </rPr>
      <t xml:space="preserve"> (dBA)</t>
    </r>
  </si>
  <si>
    <t>Remember to insert the applicable table notes below the table, and the note number in superscript next to the applicable cells in the table</t>
  </si>
  <si>
    <t>Difference between LAeq and Amenity</t>
  </si>
  <si>
    <t>Difference between LAeq and Prj Amenity</t>
  </si>
  <si>
    <t>Cluster of Industry (Section 2.4.2 of NPfI)</t>
  </si>
  <si>
    <t>N = number of proposed additional premises</t>
  </si>
  <si>
    <t>Individual project amenity noise level (including -5dB)</t>
  </si>
  <si>
    <t>Individual project amenity noise level (without -5dB)</t>
  </si>
  <si>
    <t>ANL = recommended Amenity noise level</t>
  </si>
  <si>
    <t>Note X: The measured LAeq noise level was dominated by existing industrial noise and exceeds the project amenity noise level by 10 dB or more, therefore, the amenity noise level is the existing LAeq(industrial) noise level minus 10 dB, as outlined in the NPfI.</t>
  </si>
  <si>
    <t>Note X: The measured LAeq noise level was dominated by existing road traffic noise and exceeds the recommended amenity noise level by 10 dB or more, therefore, the ‘high traffic project amenity noise level’ is the existing LAeq(traffic) noise level minus 15 dB, as outlined in the NPfI.</t>
  </si>
  <si>
    <t>Note X: RBL reduced to match the daytime/evening RBL, as outlined in the NPfI.</t>
  </si>
  <si>
    <t>RBL higher than day/eve</t>
  </si>
  <si>
    <t xml:space="preserve">Note X: The NPfI minimum RBL value has been used due to the measured RBL being lower than the minimum value.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</si>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</sst>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b/>
      <sz val="11"/>
      <color theme="1"/>
      <name val="Calibri"/>
      <family val="2"/>
      <scheme val="minor"/>
    </font>
    <font>
      <b/>
      <u/>
      <sz val="11"/>
      <color theme="1"/>
      <name val="Calibri"/>
      <family val="2"/>
      <scheme val="minor"/>
    </font>
    <font>
      <b/>
      <sz val="9"/>
      <color theme="1"/>
      <name val="Calibri"/>
      <family val="2"/>
      <scheme val="minor"/>
    </font>
    <font>
      <sz val="6"/>
      <color theme="1"/>
      <name val="Calibri"/>
      <family val="2"/>
      <scheme val="minor"/>
    </font>
    <font>
      <b/>
      <u/>
      <sz val="9"/>
      <color theme="1"/>
      <name val="Calibri"/>
      <family val="2"/>
      <scheme val="minor"/>
    </font>
    <font>
      <b/>
      <sz val="11"/>
      <color theme="0"/>
      <name val="Calibri"/>
      <family val="2"/>
      <scheme val="minor"/>
    </font>
    <font>
      <b/>
      <sz val="11"/>
      <color rgb="FFFFFF00"/>
      <name val="Calibri"/>
      <family val="2"/>
      <scheme val="minor"/>
    </font>
    <font>
      <b/>
      <sz val="11"/>
      <color rgb="FFFF0000"/>
      <name val="Calibri"/>
      <family val="2"/>
      <scheme val="minor"/>
    </font>
    <font>
      <sz val="11"/>
      <color theme="0" tint="-0.14999847407452621"/>
      <name val="Calibri"/>
      <family val="2"/>
      <scheme val="minor"/>
    </font>
    <font>
      <sz val="11"/>
      <name val="Calibri"/>
      <family val="2"/>
      <scheme val="minor"/>
    </font>
    <font>
      <b/>
      <sz val="11"/>
      <color theme="0" tint="-0.14999847407452621"/>
      <name val="Calibri"/>
      <family val="2"/>
      <scheme val="minor"/>
    </font>
    <font>
      <b/>
      <sz val="11"/>
      <name val="Calibri"/>
      <family val="2"/>
      <scheme val="minor"/>
    </font>
    <font>
      <b/>
      <sz val="9"/>
      <color rgb="FFFF0000"/>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8"/>
      <color theme="1"/>
      <name val="Calibri"/>
      <family val="2"/>
      <scheme val="minor"/>
    </font>
    <font>
      <b/>
      <sz val="18"/>
      <color rgb="FFFF0000"/>
      <name val="Calibri"/>
      <family val="2"/>
      <scheme val="minor"/>
    </font>
    <font>
      <b/>
      <sz val="11"/>
      <color rgb="FF00B050"/>
      <name val="Calibri"/>
      <family val="2"/>
      <scheme val="minor"/>
    </font>
    <font>
      <b/>
      <sz val="8"/>
      <color theme="1" tint="0.39997558519241921"/>
      <name val="Calibri"/>
      <family val="2"/>
      <scheme val="minor"/>
    </font>
    <font>
      <sz val="11"/>
      <color theme="1" tint="0.39997558519241921"/>
      <name val="Calibri"/>
      <family val="2"/>
      <scheme val="minor"/>
    </font>
    <font>
      <sz val="8"/>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1"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7030A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CCCCFF"/>
        <bgColor indexed="64"/>
      </patternFill>
    </fill>
  </fills>
  <borders count="6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theme="3" tint="0.39997558519241921"/>
      </left>
      <right style="medium">
        <color theme="3" tint="0.39997558519241921"/>
      </right>
      <top style="medium">
        <color theme="3" tint="0.39997558519241921"/>
      </top>
      <bottom style="medium">
        <color theme="3" tint="0.39997558519241921"/>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theme="3" tint="0.39997558519241921"/>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theme="3" tint="0.39997558519241921"/>
      </top>
      <bottom style="medium">
        <color theme="3" tint="0.39997558519241921"/>
      </bottom>
      <diagonal/>
    </border>
    <border>
      <left/>
      <right/>
      <top style="medium">
        <color theme="3" tint="0.39997558519241921"/>
      </top>
      <bottom/>
      <diagonal/>
    </border>
    <border>
      <left style="medium">
        <color theme="3" tint="0.39997558519241921"/>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right style="medium">
        <color theme="3" tint="0.39997558519241921"/>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s>
  <cellStyleXfs count="1">
    <xf numFmtId="0" fontId="0" fillId="0" borderId="0"/>
  </cellStyleXfs>
  <cellXfs count="199">
    <xf numFmtId="0" fontId="0" fillId="0" borderId="0" xfId="0"/>
    <xf numFmtId="0" fontId="2" fillId="0" borderId="0" xfId="0" applyFont="1"/>
    <xf numFmtId="0" fontId="0" fillId="0" borderId="0" xfId="0" applyAlignment="1">
      <alignment horizontal="left"/>
    </xf>
    <xf numFmtId="0" fontId="0" fillId="0" borderId="0" xfId="0" applyAlignment="1">
      <alignment vertical="center"/>
    </xf>
    <xf numFmtId="0" fontId="0" fillId="2" borderId="2" xfId="0" applyFill="1" applyBorder="1" applyAlignment="1">
      <alignment horizontal="center"/>
    </xf>
    <xf numFmtId="0" fontId="0" fillId="3" borderId="2" xfId="0" applyFill="1" applyBorder="1" applyAlignment="1">
      <alignment horizontal="center"/>
    </xf>
    <xf numFmtId="0" fontId="0" fillId="2" borderId="7" xfId="0" applyFill="1" applyBorder="1" applyAlignment="1">
      <alignment horizontal="center"/>
    </xf>
    <xf numFmtId="0" fontId="0" fillId="3" borderId="7"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 fillId="3" borderId="10" xfId="0" applyFont="1" applyFill="1" applyBorder="1" applyAlignment="1">
      <alignment horizontal="center" vertical="center" wrapText="1"/>
    </xf>
    <xf numFmtId="0" fontId="0" fillId="4"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0" borderId="2" xfId="0" applyBorder="1" applyAlignment="1">
      <alignment horizontal="center"/>
    </xf>
    <xf numFmtId="0" fontId="1" fillId="0" borderId="2" xfId="0" applyFont="1" applyBorder="1" applyAlignment="1">
      <alignment horizontal="center" vertical="center"/>
    </xf>
    <xf numFmtId="0" fontId="1" fillId="0" borderId="2" xfId="0" applyFont="1" applyBorder="1" applyAlignment="1">
      <alignment horizontal="center"/>
    </xf>
    <xf numFmtId="164" fontId="0" fillId="4" borderId="2" xfId="0" applyNumberFormat="1" applyFill="1" applyBorder="1" applyAlignment="1">
      <alignment horizontal="center"/>
    </xf>
    <xf numFmtId="164" fontId="0" fillId="4" borderId="7" xfId="0" applyNumberFormat="1" applyFill="1" applyBorder="1" applyAlignment="1">
      <alignment horizontal="center"/>
    </xf>
    <xf numFmtId="164" fontId="0" fillId="4" borderId="18" xfId="0" applyNumberFormat="1" applyFill="1" applyBorder="1" applyAlignment="1">
      <alignment horizontal="center"/>
    </xf>
    <xf numFmtId="164" fontId="0" fillId="4" borderId="19" xfId="0" applyNumberFormat="1" applyFill="1" applyBorder="1" applyAlignment="1">
      <alignment horizontal="center"/>
    </xf>
    <xf numFmtId="164" fontId="0" fillId="4" borderId="9" xfId="0" applyNumberFormat="1" applyFill="1" applyBorder="1" applyAlignment="1">
      <alignment horizontal="center"/>
    </xf>
    <xf numFmtId="164" fontId="0" fillId="4" borderId="10" xfId="0" applyNumberFormat="1" applyFill="1" applyBorder="1" applyAlignment="1">
      <alignment horizontal="center"/>
    </xf>
    <xf numFmtId="0" fontId="1" fillId="5" borderId="14" xfId="0" applyFont="1" applyFill="1" applyBorder="1" applyAlignment="1">
      <alignment horizontal="center" vertical="center"/>
    </xf>
    <xf numFmtId="164" fontId="0" fillId="4" borderId="29" xfId="0" applyNumberFormat="1" applyFill="1" applyBorder="1" applyAlignment="1">
      <alignment horizontal="center"/>
    </xf>
    <xf numFmtId="164" fontId="0" fillId="4" borderId="30" xfId="0" applyNumberFormat="1" applyFill="1" applyBorder="1" applyAlignment="1">
      <alignment horizontal="center"/>
    </xf>
    <xf numFmtId="164" fontId="0" fillId="4" borderId="31" xfId="0" applyNumberFormat="1" applyFill="1" applyBorder="1" applyAlignment="1">
      <alignment horizontal="center"/>
    </xf>
    <xf numFmtId="164" fontId="0" fillId="4" borderId="6" xfId="0" applyNumberFormat="1" applyFill="1" applyBorder="1" applyAlignment="1">
      <alignment horizontal="center"/>
    </xf>
    <xf numFmtId="164" fontId="0" fillId="4" borderId="17" xfId="0" applyNumberFormat="1" applyFill="1" applyBorder="1" applyAlignment="1">
      <alignment horizontal="center"/>
    </xf>
    <xf numFmtId="164" fontId="0" fillId="4" borderId="8" xfId="0" applyNumberFormat="1" applyFill="1" applyBorder="1" applyAlignment="1">
      <alignment horizont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2" borderId="4" xfId="0" applyFill="1" applyBorder="1" applyAlignment="1">
      <alignment horizontal="center"/>
    </xf>
    <xf numFmtId="0" fontId="0" fillId="2" borderId="5" xfId="0" applyFill="1" applyBorder="1"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center"/>
    </xf>
    <xf numFmtId="0" fontId="0" fillId="4" borderId="1" xfId="0" applyFill="1" applyBorder="1" applyAlignment="1">
      <alignment horizontal="center" vertical="center"/>
    </xf>
    <xf numFmtId="164" fontId="0" fillId="0" borderId="0" xfId="0" applyNumberFormat="1" applyAlignment="1">
      <alignment horizontal="center"/>
    </xf>
    <xf numFmtId="0" fontId="1" fillId="0" borderId="0" xfId="0" applyFont="1" applyAlignment="1">
      <alignment horizontal="center" vertical="center" wrapText="1"/>
    </xf>
    <xf numFmtId="0" fontId="1" fillId="3" borderId="9" xfId="0" applyFont="1" applyFill="1" applyBorder="1" applyAlignment="1">
      <alignment horizontal="center" vertical="center" wrapText="1"/>
    </xf>
    <xf numFmtId="0" fontId="9" fillId="0" borderId="0" xfId="0" applyFont="1" applyAlignment="1">
      <alignment horizontal="center"/>
    </xf>
    <xf numFmtId="164" fontId="0" fillId="4" borderId="33" xfId="0" applyNumberFormat="1" applyFill="1" applyBorder="1" applyAlignment="1">
      <alignment horizontal="center"/>
    </xf>
    <xf numFmtId="0" fontId="0" fillId="7" borderId="32" xfId="0" applyFill="1" applyBorder="1"/>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164" fontId="9" fillId="0" borderId="0" xfId="0" applyNumberFormat="1" applyFont="1" applyAlignment="1">
      <alignment horizontal="center"/>
    </xf>
    <xf numFmtId="0" fontId="9" fillId="0" borderId="0" xfId="0" applyFont="1"/>
    <xf numFmtId="0" fontId="11" fillId="0" borderId="0" xfId="0" applyFont="1" applyAlignment="1">
      <alignment horizontal="center" vertical="center"/>
    </xf>
    <xf numFmtId="164" fontId="0" fillId="4" borderId="37" xfId="0" applyNumberFormat="1" applyFill="1" applyBorder="1" applyAlignment="1">
      <alignment horizontal="center"/>
    </xf>
    <xf numFmtId="164" fontId="0" fillId="4" borderId="38" xfId="0" applyNumberFormat="1" applyFill="1" applyBorder="1" applyAlignment="1">
      <alignment horizontal="center"/>
    </xf>
    <xf numFmtId="164" fontId="0" fillId="4" borderId="39" xfId="0" applyNumberFormat="1" applyFill="1" applyBorder="1" applyAlignment="1">
      <alignment horizontal="center"/>
    </xf>
    <xf numFmtId="0" fontId="1" fillId="5" borderId="1" xfId="0" applyFont="1" applyFill="1" applyBorder="1" applyAlignment="1">
      <alignment horizontal="center" vertical="center"/>
    </xf>
    <xf numFmtId="0" fontId="0" fillId="5" borderId="23" xfId="0" applyFill="1" applyBorder="1" applyAlignment="1">
      <alignment horizontal="center"/>
    </xf>
    <xf numFmtId="0" fontId="0" fillId="5" borderId="24" xfId="0" applyFill="1" applyBorder="1" applyAlignment="1">
      <alignment horizontal="center"/>
    </xf>
    <xf numFmtId="0" fontId="0" fillId="5" borderId="25" xfId="0" applyFill="1" applyBorder="1" applyAlignment="1">
      <alignment horizontal="center"/>
    </xf>
    <xf numFmtId="0" fontId="0" fillId="2" borderId="3" xfId="0" applyFill="1" applyBorder="1" applyAlignment="1">
      <alignment horizontal="center"/>
    </xf>
    <xf numFmtId="0" fontId="0" fillId="2" borderId="6" xfId="0" applyFill="1" applyBorder="1" applyAlignment="1">
      <alignment horizontal="center"/>
    </xf>
    <xf numFmtId="0" fontId="0" fillId="3" borderId="6" xfId="0" applyFill="1" applyBorder="1" applyAlignment="1">
      <alignment horizontal="center"/>
    </xf>
    <xf numFmtId="0" fontId="0" fillId="2" borderId="8" xfId="0" applyFill="1" applyBorder="1" applyAlignment="1">
      <alignment horizontal="center"/>
    </xf>
    <xf numFmtId="0" fontId="1" fillId="3" borderId="5" xfId="0" applyFont="1" applyFill="1" applyBorder="1" applyAlignment="1">
      <alignment vertical="center" wrapText="1"/>
    </xf>
    <xf numFmtId="0" fontId="7" fillId="6" borderId="42" xfId="0" applyFont="1" applyFill="1" applyBorder="1" applyAlignment="1">
      <alignment horizontal="left" vertical="top" wrapText="1"/>
    </xf>
    <xf numFmtId="0" fontId="2" fillId="0" borderId="0" xfId="0" applyFont="1" applyAlignment="1">
      <alignment vertical="top"/>
    </xf>
    <xf numFmtId="0" fontId="8" fillId="0" borderId="0" xfId="0" applyFont="1" applyAlignment="1">
      <alignment vertical="top" wrapText="1"/>
    </xf>
    <xf numFmtId="0" fontId="0" fillId="0" borderId="0" xfId="0" applyAlignment="1">
      <alignment horizontal="left" vertical="top"/>
    </xf>
    <xf numFmtId="0" fontId="0" fillId="0" borderId="0" xfId="0" applyAlignment="1">
      <alignment vertical="top"/>
    </xf>
    <xf numFmtId="0" fontId="12" fillId="8" borderId="0" xfId="0" applyFont="1" applyFill="1"/>
    <xf numFmtId="0" fontId="10" fillId="8" borderId="0" xfId="0" applyFont="1" applyFill="1"/>
    <xf numFmtId="0" fontId="0" fillId="2" borderId="13" xfId="0" applyFill="1" applyBorder="1" applyAlignment="1">
      <alignment horizontal="center"/>
    </xf>
    <xf numFmtId="0" fontId="1" fillId="12" borderId="0" xfId="0" applyFont="1" applyFill="1" applyAlignment="1">
      <alignment horizontal="center" vertical="center"/>
    </xf>
    <xf numFmtId="0" fontId="1" fillId="3" borderId="4" xfId="0" applyFont="1" applyFill="1" applyBorder="1" applyAlignment="1">
      <alignment vertical="center" wrapText="1"/>
    </xf>
    <xf numFmtId="0" fontId="0" fillId="4" borderId="59" xfId="0" applyFill="1" applyBorder="1" applyAlignment="1">
      <alignment horizontal="center"/>
    </xf>
    <xf numFmtId="0" fontId="0" fillId="0" borderId="0" xfId="0" applyAlignment="1">
      <alignment vertical="top" wrapText="1"/>
    </xf>
    <xf numFmtId="0" fontId="8" fillId="11" borderId="29" xfId="0" quotePrefix="1" applyFont="1" applyFill="1" applyBorder="1" applyAlignment="1">
      <alignment horizontal="center" vertical="center"/>
    </xf>
    <xf numFmtId="0" fontId="8" fillId="10" borderId="29" xfId="0" quotePrefix="1" applyFont="1" applyFill="1" applyBorder="1" applyAlignment="1">
      <alignment horizontal="center" vertical="center"/>
    </xf>
    <xf numFmtId="0" fontId="16" fillId="2" borderId="2" xfId="0" applyFont="1" applyFill="1" applyBorder="1" applyAlignment="1">
      <alignment horizontal="center"/>
    </xf>
    <xf numFmtId="0" fontId="16" fillId="2" borderId="6" xfId="0" applyFont="1" applyFill="1" applyBorder="1" applyAlignment="1">
      <alignment horizontal="center"/>
    </xf>
    <xf numFmtId="0" fontId="16" fillId="2" borderId="7" xfId="0" applyFont="1" applyFill="1" applyBorder="1" applyAlignment="1">
      <alignment horizontal="center"/>
    </xf>
    <xf numFmtId="0" fontId="16" fillId="3" borderId="2" xfId="0" applyFont="1" applyFill="1" applyBorder="1" applyAlignment="1">
      <alignment horizontal="center"/>
    </xf>
    <xf numFmtId="0" fontId="16" fillId="3" borderId="6" xfId="0" applyFont="1" applyFill="1" applyBorder="1" applyAlignment="1">
      <alignment horizontal="center"/>
    </xf>
    <xf numFmtId="0" fontId="16" fillId="3" borderId="7" xfId="0" applyFont="1" applyFill="1" applyBorder="1" applyAlignment="1">
      <alignment horizontal="center"/>
    </xf>
    <xf numFmtId="0" fontId="16" fillId="2" borderId="9" xfId="0" applyFont="1" applyFill="1" applyBorder="1" applyAlignment="1">
      <alignment horizontal="center"/>
    </xf>
    <xf numFmtId="0" fontId="16" fillId="2" borderId="8" xfId="0" applyFont="1" applyFill="1" applyBorder="1" applyAlignment="1">
      <alignment horizontal="center"/>
    </xf>
    <xf numFmtId="0" fontId="16" fillId="2" borderId="10" xfId="0" applyFont="1" applyFill="1" applyBorder="1" applyAlignment="1">
      <alignment horizontal="center"/>
    </xf>
    <xf numFmtId="0" fontId="16" fillId="2" borderId="12" xfId="0" applyFont="1" applyFill="1" applyBorder="1" applyAlignment="1">
      <alignment horizontal="center"/>
    </xf>
    <xf numFmtId="0" fontId="16" fillId="2" borderId="11" xfId="0" applyFont="1" applyFill="1" applyBorder="1" applyAlignment="1">
      <alignment horizontal="center"/>
    </xf>
    <xf numFmtId="0" fontId="16" fillId="2" borderId="13" xfId="0" applyFont="1" applyFill="1" applyBorder="1" applyAlignment="1">
      <alignment horizontal="center"/>
    </xf>
    <xf numFmtId="0" fontId="14" fillId="3" borderId="8"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2" borderId="58" xfId="0" applyFont="1" applyFill="1" applyBorder="1" applyAlignment="1">
      <alignment horizontal="center"/>
    </xf>
    <xf numFmtId="0" fontId="16" fillId="2" borderId="56" xfId="0" applyFont="1" applyFill="1" applyBorder="1" applyAlignment="1">
      <alignment horizontal="center"/>
    </xf>
    <xf numFmtId="0" fontId="16" fillId="3" borderId="56" xfId="0" applyFont="1" applyFill="1" applyBorder="1" applyAlignment="1">
      <alignment horizontal="center"/>
    </xf>
    <xf numFmtId="0" fontId="16" fillId="2" borderId="57" xfId="0" applyFont="1" applyFill="1" applyBorder="1" applyAlignment="1">
      <alignment horizontal="center"/>
    </xf>
    <xf numFmtId="0" fontId="0" fillId="8" borderId="0" xfId="0" applyFill="1"/>
    <xf numFmtId="0" fontId="0" fillId="8" borderId="0" xfId="0" applyFill="1" applyAlignment="1">
      <alignment vertical="center"/>
    </xf>
    <xf numFmtId="0" fontId="2" fillId="8" borderId="0" xfId="0" applyFont="1" applyFill="1"/>
    <xf numFmtId="0" fontId="0" fillId="2" borderId="23" xfId="0" applyFill="1" applyBorder="1" applyAlignment="1">
      <alignment horizontal="center"/>
    </xf>
    <xf numFmtId="0" fontId="0" fillId="2" borderId="24" xfId="0" applyFill="1" applyBorder="1" applyAlignment="1">
      <alignment horizontal="center"/>
    </xf>
    <xf numFmtId="0" fontId="0" fillId="3" borderId="24" xfId="0" applyFill="1" applyBorder="1" applyAlignment="1">
      <alignment horizontal="center"/>
    </xf>
    <xf numFmtId="0" fontId="0" fillId="2" borderId="25" xfId="0" applyFill="1" applyBorder="1" applyAlignment="1">
      <alignment horizontal="center"/>
    </xf>
    <xf numFmtId="0" fontId="19" fillId="5" borderId="35"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9" fillId="5" borderId="27"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19" fillId="5" borderId="16" xfId="0" applyFont="1" applyFill="1" applyBorder="1" applyAlignment="1">
      <alignment horizontal="center" vertical="center" wrapText="1"/>
    </xf>
    <xf numFmtId="1" fontId="0" fillId="0" borderId="0" xfId="0" applyNumberFormat="1" applyAlignment="1">
      <alignment horizontal="center"/>
    </xf>
    <xf numFmtId="0" fontId="0" fillId="5" borderId="55" xfId="0" applyFill="1" applyBorder="1" applyAlignment="1">
      <alignment horizontal="center"/>
    </xf>
    <xf numFmtId="0" fontId="0" fillId="5" borderId="56" xfId="0" applyFill="1" applyBorder="1" applyAlignment="1">
      <alignment horizontal="center"/>
    </xf>
    <xf numFmtId="0" fontId="0" fillId="5" borderId="57" xfId="0" applyFill="1" applyBorder="1" applyAlignment="1">
      <alignment horizontal="center"/>
    </xf>
    <xf numFmtId="0" fontId="1" fillId="5" borderId="20"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60" xfId="0" applyFont="1" applyFill="1" applyBorder="1" applyAlignment="1">
      <alignment horizontal="center" vertical="center"/>
    </xf>
    <xf numFmtId="0" fontId="21" fillId="0" borderId="0" xfId="0" applyFont="1" applyAlignment="1">
      <alignment horizontal="center"/>
    </xf>
    <xf numFmtId="0" fontId="21" fillId="0" borderId="0" xfId="0" applyFont="1" applyAlignment="1">
      <alignment horizontal="center" vertical="center"/>
    </xf>
    <xf numFmtId="0" fontId="0" fillId="0" borderId="0" xfId="0" applyAlignment="1">
      <alignment horizontal="right"/>
    </xf>
    <xf numFmtId="0" fontId="0" fillId="8" borderId="2" xfId="0" applyFill="1" applyBorder="1" applyAlignment="1">
      <alignment horizontal="center"/>
    </xf>
    <xf numFmtId="1" fontId="0" fillId="0" borderId="2" xfId="0" applyNumberFormat="1" applyBorder="1" applyAlignment="1">
      <alignment horizontal="center"/>
    </xf>
    <xf numFmtId="1" fontId="0" fillId="4" borderId="36" xfId="0" applyNumberFormat="1" applyFill="1" applyBorder="1" applyAlignment="1">
      <alignment horizontal="center"/>
    </xf>
    <xf numFmtId="1" fontId="0" fillId="4" borderId="4" xfId="0" applyNumberFormat="1" applyFill="1" applyBorder="1" applyAlignment="1">
      <alignment horizontal="center"/>
    </xf>
    <xf numFmtId="1" fontId="0" fillId="4" borderId="28" xfId="0" applyNumberFormat="1" applyFill="1" applyBorder="1" applyAlignment="1">
      <alignment horizontal="center"/>
    </xf>
    <xf numFmtId="1" fontId="0" fillId="4" borderId="3" xfId="0" applyNumberFormat="1" applyFill="1" applyBorder="1" applyAlignment="1">
      <alignment horizontal="center"/>
    </xf>
    <xf numFmtId="1" fontId="0" fillId="4" borderId="5" xfId="0" applyNumberFormat="1" applyFill="1" applyBorder="1" applyAlignment="1">
      <alignment horizontal="center"/>
    </xf>
    <xf numFmtId="1" fontId="0" fillId="4" borderId="37" xfId="0" applyNumberFormat="1" applyFill="1" applyBorder="1" applyAlignment="1">
      <alignment horizontal="center"/>
    </xf>
    <xf numFmtId="1" fontId="0" fillId="4" borderId="2" xfId="0" applyNumberFormat="1" applyFill="1" applyBorder="1" applyAlignment="1">
      <alignment horizontal="center"/>
    </xf>
    <xf numFmtId="1" fontId="0" fillId="4" borderId="29" xfId="0" applyNumberFormat="1" applyFill="1" applyBorder="1" applyAlignment="1">
      <alignment horizontal="center"/>
    </xf>
    <xf numFmtId="1" fontId="0" fillId="4" borderId="6" xfId="0" applyNumberFormat="1" applyFill="1" applyBorder="1" applyAlignment="1">
      <alignment horizontal="center"/>
    </xf>
    <xf numFmtId="1" fontId="0" fillId="4" borderId="7" xfId="0" applyNumberFormat="1" applyFill="1" applyBorder="1" applyAlignment="1">
      <alignment horizontal="center"/>
    </xf>
    <xf numFmtId="0" fontId="2" fillId="0" borderId="0" xfId="0" applyFont="1" applyAlignment="1">
      <alignment horizontal="center"/>
    </xf>
    <xf numFmtId="0" fontId="20" fillId="0" borderId="0" xfId="0" applyFont="1" applyAlignment="1">
      <alignment horizontal="center" vertical="center" textRotation="90"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0" fillId="7" borderId="40" xfId="0" applyFill="1" applyBorder="1" applyAlignment="1">
      <alignment horizontal="left" vertical="top" wrapText="1"/>
    </xf>
    <xf numFmtId="0" fontId="0" fillId="7" borderId="41" xfId="0" applyFill="1" applyBorder="1" applyAlignment="1">
      <alignment horizontal="left" vertical="top" wrapText="1"/>
    </xf>
    <xf numFmtId="0" fontId="1" fillId="3" borderId="3"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34" xfId="0" applyFont="1" applyFill="1" applyBorder="1" applyAlignment="1">
      <alignment horizontal="center" vertical="center" wrapText="1"/>
    </xf>
    <xf numFmtId="0" fontId="0" fillId="2" borderId="17"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0" xfId="0" applyFill="1" applyBorder="1" applyAlignment="1">
      <alignment horizontal="center" vertical="center"/>
    </xf>
    <xf numFmtId="0" fontId="0" fillId="2" borderId="11" xfId="0" applyFill="1" applyBorder="1" applyAlignment="1">
      <alignment horizontal="center" vertical="center"/>
    </xf>
    <xf numFmtId="0" fontId="0" fillId="3" borderId="17" xfId="0" applyFill="1" applyBorder="1" applyAlignment="1">
      <alignment horizontal="center" vertical="center"/>
    </xf>
    <xf numFmtId="0" fontId="0" fillId="3" borderId="21" xfId="0" applyFill="1" applyBorder="1" applyAlignment="1">
      <alignment horizontal="center" vertical="center"/>
    </xf>
    <xf numFmtId="0" fontId="0" fillId="3" borderId="11" xfId="0" applyFill="1" applyBorder="1" applyAlignment="1">
      <alignment horizontal="center" vertical="center"/>
    </xf>
    <xf numFmtId="0" fontId="19" fillId="3" borderId="23"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9" xfId="0" applyFont="1" applyFill="1" applyBorder="1" applyAlignment="1">
      <alignment horizontal="center" vertical="center" wrapText="1"/>
    </xf>
    <xf numFmtId="0" fontId="1" fillId="3" borderId="55" xfId="0" applyFont="1" applyFill="1" applyBorder="1" applyAlignment="1">
      <alignment horizontal="center" vertical="center" wrapText="1"/>
    </xf>
    <xf numFmtId="0" fontId="1" fillId="3" borderId="57"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0" fillId="7" borderId="47" xfId="0" applyFill="1" applyBorder="1" applyAlignment="1">
      <alignment horizontal="left" vertical="top" wrapText="1"/>
    </xf>
    <xf numFmtId="0" fontId="0" fillId="7" borderId="49" xfId="0" applyFill="1" applyBorder="1" applyAlignment="1">
      <alignment horizontal="left" vertical="top" wrapText="1"/>
    </xf>
    <xf numFmtId="0" fontId="0" fillId="7" borderId="48" xfId="0" applyFill="1" applyBorder="1" applyAlignment="1">
      <alignment horizontal="left" vertical="top" wrapText="1"/>
    </xf>
    <xf numFmtId="0" fontId="0" fillId="7" borderId="50" xfId="0" applyFill="1" applyBorder="1" applyAlignment="1">
      <alignment horizontal="left" vertical="top" wrapText="1"/>
    </xf>
    <xf numFmtId="0" fontId="0" fillId="7" borderId="51" xfId="0" applyFill="1" applyBorder="1" applyAlignment="1">
      <alignment horizontal="left" vertical="top" wrapText="1"/>
    </xf>
    <xf numFmtId="0" fontId="0" fillId="7" borderId="52" xfId="0" applyFill="1" applyBorder="1" applyAlignment="1">
      <alignment horizontal="left" vertical="top" wrapText="1"/>
    </xf>
    <xf numFmtId="0" fontId="0" fillId="7" borderId="53" xfId="0" applyFill="1" applyBorder="1" applyAlignment="1">
      <alignment horizontal="left" vertical="top" wrapText="1"/>
    </xf>
    <xf numFmtId="0" fontId="0" fillId="8" borderId="0" xfId="0" applyFill="1" applyAlignment="1">
      <alignment horizontal="right" wrapText="1"/>
    </xf>
    <xf numFmtId="0" fontId="0" fillId="8" borderId="54" xfId="0" applyFill="1" applyBorder="1" applyAlignment="1">
      <alignment horizontal="right" wrapText="1"/>
    </xf>
    <xf numFmtId="0" fontId="19" fillId="0" borderId="0" xfId="0" applyFont="1" applyAlignment="1">
      <alignment horizontal="left" vertical="top" wrapText="1"/>
    </xf>
    <xf numFmtId="0" fontId="0" fillId="0" borderId="0" xfId="0" applyAlignment="1">
      <alignment horizontal="left" vertical="top" wrapText="1"/>
    </xf>
    <xf numFmtId="0" fontId="6" fillId="9" borderId="43" xfId="0" applyFont="1" applyFill="1" applyBorder="1" applyAlignment="1">
      <alignment horizontal="left" vertical="top" wrapText="1"/>
    </xf>
    <xf numFmtId="0" fontId="6" fillId="9" borderId="44" xfId="0" applyFont="1" applyFill="1" applyBorder="1" applyAlignment="1">
      <alignment horizontal="left" vertical="top" wrapText="1"/>
    </xf>
    <xf numFmtId="0" fontId="6" fillId="9" borderId="45" xfId="0" applyFont="1" applyFill="1" applyBorder="1" applyAlignment="1">
      <alignment horizontal="left" vertical="top" wrapText="1"/>
    </xf>
    <xf numFmtId="0" fontId="6" fillId="9" borderId="46" xfId="0" applyFont="1" applyFill="1" applyBorder="1" applyAlignment="1">
      <alignment horizontal="left" vertical="top" wrapText="1"/>
    </xf>
    <xf numFmtId="0" fontId="16" fillId="2" borderId="17" xfId="0" applyFont="1" applyFill="1" applyBorder="1" applyAlignment="1">
      <alignment horizontal="center" vertical="center"/>
    </xf>
    <xf numFmtId="0" fontId="16" fillId="2" borderId="21" xfId="0" applyFont="1" applyFill="1" applyBorder="1" applyAlignment="1">
      <alignment horizontal="center" vertical="center"/>
    </xf>
    <xf numFmtId="0" fontId="16" fillId="2" borderId="22" xfId="0" applyFont="1" applyFill="1" applyBorder="1" applyAlignment="1">
      <alignment horizontal="center" vertical="center"/>
    </xf>
    <xf numFmtId="0" fontId="14" fillId="3" borderId="55" xfId="0" applyFont="1" applyFill="1" applyBorder="1" applyAlignment="1">
      <alignment horizontal="center" vertical="center" wrapText="1"/>
    </xf>
    <xf numFmtId="0" fontId="14" fillId="3" borderId="57"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8" fillId="0" borderId="0" xfId="0" applyFont="1" applyAlignment="1">
      <alignment horizontal="center" vertical="center" wrapText="1"/>
    </xf>
    <xf numFmtId="0" fontId="16" fillId="3" borderId="17" xfId="0" applyFont="1" applyFill="1" applyBorder="1" applyAlignment="1">
      <alignment horizontal="center" vertical="center"/>
    </xf>
    <xf numFmtId="0" fontId="16" fillId="3" borderId="21" xfId="0" applyFont="1" applyFill="1" applyBorder="1" applyAlignment="1">
      <alignment horizontal="center" vertical="center"/>
    </xf>
    <xf numFmtId="0" fontId="16" fillId="3" borderId="11" xfId="0" applyFont="1" applyFill="1" applyBorder="1" applyAlignment="1">
      <alignment horizontal="center" vertical="center"/>
    </xf>
    <xf numFmtId="0" fontId="16" fillId="2" borderId="11" xfId="0" applyFont="1" applyFill="1" applyBorder="1" applyAlignment="1">
      <alignment horizontal="center" vertical="center"/>
    </xf>
    <xf numFmtId="0" fontId="1" fillId="3" borderId="43" xfId="0" applyFont="1" applyFill="1" applyBorder="1" applyAlignment="1">
      <alignment horizontal="center" vertical="center" wrapText="1"/>
    </xf>
    <xf numFmtId="0" fontId="1" fillId="3" borderId="44"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6"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25" xfId="0" applyFont="1" applyFill="1" applyBorder="1" applyAlignment="1">
      <alignment horizontal="center" vertical="center" wrapText="1"/>
    </xf>
  </cellXfs>
  <cellStyles count="1">
    <cellStyle name="Normal" xfId="0" builtinId="0"/>
  </cellStyles>
  <dxfs count="14">
    <dxf>
      <font>
        <b/>
        <i val="0"/>
        <strike val="0"/>
        <color rgb="FFFF0000"/>
      </font>
      <fill>
        <patternFill>
          <bgColor theme="5" tint="0.59996337778862885"/>
        </patternFill>
      </fill>
    </dxf>
    <dxf>
      <font>
        <b/>
        <i val="0"/>
        <strike val="0"/>
        <color rgb="FFFF0000"/>
      </font>
      <fill>
        <patternFill>
          <bgColor rgb="FFFFCCFF"/>
        </patternFill>
      </fill>
    </dxf>
    <dxf>
      <font>
        <b/>
        <i val="0"/>
      </font>
    </dxf>
    <dxf>
      <font>
        <b/>
        <i val="0"/>
        <strike val="0"/>
      </font>
    </dxf>
    <dxf>
      <font>
        <b/>
        <i val="0"/>
        <strike val="0"/>
      </font>
    </dxf>
    <dxf>
      <font>
        <b/>
        <i val="0"/>
        <color rgb="FFFFFF00"/>
      </font>
      <fill>
        <patternFill>
          <bgColor rgb="FFFF0000"/>
        </patternFill>
      </fill>
    </dxf>
    <dxf>
      <font>
        <b/>
        <i val="0"/>
        <strike val="0"/>
        <color rgb="FFFF0000"/>
      </font>
      <fill>
        <patternFill>
          <bgColor theme="5" tint="0.59996337778862885"/>
        </patternFill>
      </fill>
    </dxf>
    <dxf>
      <font>
        <b/>
        <i val="0"/>
        <strike val="0"/>
        <color rgb="FFFF0000"/>
      </font>
      <fill>
        <patternFill>
          <bgColor rgb="FFFFCCFF"/>
        </patternFill>
      </fill>
    </dxf>
    <dxf>
      <font>
        <b/>
        <i val="0"/>
        <strike val="0"/>
        <color rgb="FFFF0000"/>
      </font>
      <fill>
        <patternFill>
          <bgColor theme="5" tint="0.59996337778862885"/>
        </patternFill>
      </fill>
    </dxf>
    <dxf>
      <font>
        <b/>
        <i val="0"/>
        <strike val="0"/>
        <color rgb="FFFF0000"/>
      </font>
      <fill>
        <patternFill>
          <bgColor rgb="FFFFCCFF"/>
        </patternFill>
      </fill>
    </dxf>
    <dxf>
      <font>
        <b/>
        <i val="0"/>
        <color theme="0"/>
      </font>
      <fill>
        <patternFill>
          <bgColor rgb="FF7030A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s>
  <tableStyles count="1" defaultTableStyle="TableStyleMedium2" defaultPivotStyle="PivotStyleLight16">
    <tableStyle name="Invisible" pivot="0" table="0" count="0" xr9:uid="{AD1852A9-3B6F-438B-BD4F-1C55F37C0A2C}"/>
  </tableStyles>
  <colors>
    <mruColors>
      <color rgb="FFCCCC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31</xdr:col>
      <xdr:colOff>95250</xdr:colOff>
      <xdr:row>47</xdr:row>
      <xdr:rowOff>0</xdr:rowOff>
    </xdr:from>
    <xdr:to>
      <xdr:col>38</xdr:col>
      <xdr:colOff>238870</xdr:colOff>
      <xdr:row>70</xdr:row>
      <xdr:rowOff>2629</xdr:rowOff>
    </xdr:to>
    <xdr:pic>
      <xdr:nvPicPr>
        <xdr:cNvPr id="2" name="Picture 1">
          <a:extLst>
            <a:ext uri="{FF2B5EF4-FFF2-40B4-BE49-F238E27FC236}">
              <a16:creationId xmlns:a16="http://schemas.microsoft.com/office/drawing/2014/main" id="{5E31B4AC-AA81-4FBD-8F9A-890ADC87DF32}"/>
            </a:ext>
          </a:extLst>
        </xdr:cNvPr>
        <xdr:cNvPicPr>
          <a:picLocks noChangeAspect="1"/>
        </xdr:cNvPicPr>
      </xdr:nvPicPr>
      <xdr:blipFill>
        <a:blip xmlns:r="http://schemas.openxmlformats.org/officeDocument/2006/relationships" r:embed="rId1"/>
        <a:stretch>
          <a:fillRect/>
        </a:stretch>
      </xdr:blipFill>
      <xdr:spPr>
        <a:xfrm>
          <a:off x="20538281" y="10370344"/>
          <a:ext cx="6733333" cy="4371429"/>
        </a:xfrm>
        <a:prstGeom prst="rect">
          <a:avLst/>
        </a:prstGeom>
      </xdr:spPr>
    </xdr:pic>
    <xdr:clientData/>
  </xdr:twoCellAnchor>
  <xdr:twoCellAnchor editAs="oneCell">
    <xdr:from>
      <xdr:col>31</xdr:col>
      <xdr:colOff>119063</xdr:colOff>
      <xdr:row>39</xdr:row>
      <xdr:rowOff>130969</xdr:rowOff>
    </xdr:from>
    <xdr:to>
      <xdr:col>38</xdr:col>
      <xdr:colOff>37286</xdr:colOff>
      <xdr:row>46</xdr:row>
      <xdr:rowOff>122069</xdr:rowOff>
    </xdr:to>
    <xdr:pic>
      <xdr:nvPicPr>
        <xdr:cNvPr id="3" name="Picture 2">
          <a:extLst>
            <a:ext uri="{FF2B5EF4-FFF2-40B4-BE49-F238E27FC236}">
              <a16:creationId xmlns:a16="http://schemas.microsoft.com/office/drawing/2014/main" id="{E37AE77F-450E-488E-8F7A-38DD71F466CD}"/>
            </a:ext>
          </a:extLst>
        </xdr:cNvPr>
        <xdr:cNvPicPr>
          <a:picLocks noChangeAspect="1"/>
        </xdr:cNvPicPr>
      </xdr:nvPicPr>
      <xdr:blipFill>
        <a:blip xmlns:r="http://schemas.openxmlformats.org/officeDocument/2006/relationships" r:embed="rId2"/>
        <a:stretch>
          <a:fillRect/>
        </a:stretch>
      </xdr:blipFill>
      <xdr:spPr>
        <a:xfrm>
          <a:off x="20562094" y="8965407"/>
          <a:ext cx="6514286" cy="1342857"/>
        </a:xfrm>
        <a:prstGeom prst="rect">
          <a:avLst/>
        </a:prstGeom>
      </xdr:spPr>
    </xdr:pic>
    <xdr:clientData/>
  </xdr:twoCellAnchor>
</xdr:wsDr>
</file>

<file path=xl/theme/theme1.xml><?xml version="1.0" encoding="utf-8"?>
<a:theme xmlns:a="http://schemas.openxmlformats.org/drawingml/2006/main" name="Office Theme">
  <a:themeElements>
    <a:clrScheme name="SLR Colour Palette">
      <a:dk1>
        <a:srgbClr val="595959"/>
      </a:dk1>
      <a:lt1>
        <a:sysClr val="window" lastClr="FFFFFF"/>
      </a:lt1>
      <a:dk2>
        <a:srgbClr val="004B8D"/>
      </a:dk2>
      <a:lt2>
        <a:srgbClr val="FFFFFF"/>
      </a:lt2>
      <a:accent1>
        <a:srgbClr val="BFC936"/>
      </a:accent1>
      <a:accent2>
        <a:srgbClr val="7F9B3C"/>
      </a:accent2>
      <a:accent3>
        <a:srgbClr val="424242"/>
      </a:accent3>
      <a:accent4>
        <a:srgbClr val="059AC4"/>
      </a:accent4>
      <a:accent5>
        <a:srgbClr val="4BACC6"/>
      </a:accent5>
      <a:accent6>
        <a:srgbClr val="B0DFE8"/>
      </a:accent6>
      <a:hlink>
        <a:srgbClr val="0F939D"/>
      </a:hlink>
      <a:folHlink>
        <a:srgbClr val="1E6C8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1:AY41"/>
  <sheetViews>
    <sheetView tabSelected="1" topLeftCell="AG1" zoomScaleNormal="100" workbookViewId="0">
      <selection activeCell="AU19" sqref="AU19"/>
    </sheetView>
  </sheetViews>
  <sheetFormatPr defaultRowHeight="14.5" x14ac:dyDescent="0.35"/>
  <cols>
    <col min="1" max="1" width="3.7265625" customWidth="1"/>
    <col min="2" max="2" width="15" customWidth="1"/>
    <col min="3" max="5" width="9.81640625" customWidth="1"/>
    <col min="6" max="6" width="9.1796875" customWidth="1"/>
    <col min="7" max="7" width="7" customWidth="1"/>
    <col min="8" max="8" width="7.81640625" bestFit="1" customWidth="1"/>
    <col min="9" max="9" width="11.26953125" customWidth="1"/>
    <col min="10" max="10" width="9.453125" bestFit="1" customWidth="1"/>
    <col min="11" max="11" width="7.81640625" bestFit="1" customWidth="1"/>
    <col min="12" max="12" width="11.26953125" customWidth="1"/>
    <col min="13" max="13" width="9.453125" bestFit="1" customWidth="1"/>
    <col min="14" max="14" width="4.26953125" customWidth="1"/>
    <col min="15" max="15" width="7.1796875" customWidth="1"/>
    <col min="16" max="17" width="16.54296875" customWidth="1"/>
    <col min="18" max="18" width="18.453125" customWidth="1"/>
    <col min="19" max="19" width="5.7265625" customWidth="1"/>
    <col min="20" max="20" width="7.81640625" customWidth="1"/>
    <col min="21" max="21" width="10.7265625" bestFit="1" customWidth="1"/>
    <col min="22" max="22" width="10.81640625" customWidth="1"/>
    <col min="23" max="23" width="11.1796875" customWidth="1"/>
    <col min="24" max="24" width="15" customWidth="1"/>
    <col min="25" max="25" width="8" customWidth="1"/>
    <col min="26" max="26" width="9.81640625" customWidth="1"/>
    <col min="27" max="29" width="4.26953125" customWidth="1"/>
    <col min="30" max="30" width="12.1796875" customWidth="1"/>
    <col min="31" max="31" width="18" customWidth="1"/>
    <col min="32" max="32" width="5.54296875" customWidth="1"/>
    <col min="33" max="33" width="17" customWidth="1"/>
    <col min="34" max="34" width="21.26953125" customWidth="1"/>
    <col min="35" max="35" width="20.1796875" customWidth="1"/>
    <col min="36" max="37" width="16.453125" customWidth="1"/>
    <col min="38" max="38" width="2.1796875" customWidth="1"/>
    <col min="39" max="39" width="11.1796875" customWidth="1"/>
    <col min="40" max="40" width="9.54296875" customWidth="1"/>
    <col min="41" max="41" width="2.81640625" customWidth="1"/>
    <col min="42" max="42" width="4.26953125" customWidth="1"/>
    <col min="43" max="43" width="7.26953125" customWidth="1"/>
    <col min="44" max="44" width="10.7265625" bestFit="1" customWidth="1"/>
    <col min="45" max="45" width="14.1796875" customWidth="1"/>
    <col min="46" max="46" width="16.54296875" customWidth="1"/>
    <col min="47" max="47" width="12.1796875" customWidth="1"/>
    <col min="48" max="48" width="12.453125" customWidth="1"/>
    <col min="49" max="49" width="12.7265625" customWidth="1"/>
    <col min="50" max="50" width="12.54296875" customWidth="1"/>
    <col min="51" max="51" width="4.26953125" customWidth="1"/>
  </cols>
  <sheetData>
    <row r="1" spans="2:51" x14ac:dyDescent="0.35">
      <c r="N1" s="55"/>
      <c r="O1" s="55"/>
      <c r="AB1" s="136" t="s">
        <v>95</v>
      </c>
      <c r="AF1" s="136" t="s">
        <v>96</v>
      </c>
      <c r="AP1" s="101"/>
      <c r="AQ1" s="101"/>
      <c r="AR1" s="101"/>
      <c r="AS1" s="101"/>
      <c r="AT1" s="101"/>
      <c r="AU1" s="101"/>
      <c r="AV1" s="101"/>
      <c r="AW1" s="101"/>
      <c r="AX1" s="101"/>
      <c r="AY1" s="101"/>
    </row>
    <row r="2" spans="2:51" x14ac:dyDescent="0.35">
      <c r="B2" s="74" t="s">
        <v>71</v>
      </c>
      <c r="C2" s="75"/>
      <c r="D2" s="75"/>
      <c r="E2" s="75"/>
      <c r="N2" s="55"/>
      <c r="O2" s="55"/>
      <c r="T2" s="1" t="s">
        <v>62</v>
      </c>
      <c r="V2" s="1"/>
      <c r="AB2" s="136"/>
      <c r="AD2" s="1" t="s">
        <v>63</v>
      </c>
      <c r="AF2" s="136"/>
      <c r="AG2" s="1" t="s">
        <v>72</v>
      </c>
      <c r="AM2" s="1" t="s">
        <v>17</v>
      </c>
      <c r="AP2" s="101"/>
      <c r="AQ2" s="103" t="s">
        <v>85</v>
      </c>
      <c r="AR2" s="101"/>
      <c r="AS2" s="101"/>
      <c r="AT2" s="101"/>
      <c r="AU2" s="101"/>
      <c r="AV2" s="101"/>
      <c r="AW2" s="101"/>
      <c r="AX2" s="101"/>
      <c r="AY2" s="101"/>
    </row>
    <row r="3" spans="2:51" ht="15" thickBot="1" x14ac:dyDescent="0.4">
      <c r="E3" s="2"/>
      <c r="G3" s="1" t="s">
        <v>70</v>
      </c>
      <c r="N3" s="55"/>
      <c r="O3" s="55"/>
      <c r="P3" s="1" t="s">
        <v>38</v>
      </c>
      <c r="Q3" s="2"/>
      <c r="AB3" s="136"/>
      <c r="AF3" s="136"/>
      <c r="AP3" s="101"/>
      <c r="AQ3" s="101"/>
      <c r="AR3" s="101"/>
      <c r="AS3" s="101"/>
      <c r="AT3" s="101"/>
      <c r="AU3" s="101"/>
      <c r="AV3" s="101"/>
      <c r="AW3" s="101"/>
      <c r="AX3" s="101"/>
      <c r="AY3" s="101"/>
    </row>
    <row r="4" spans="2:51" ht="27.75" customHeight="1" thickBot="1" x14ac:dyDescent="0.4">
      <c r="B4" s="38" t="s">
        <v>41</v>
      </c>
      <c r="D4" s="2"/>
      <c r="H4" s="45" t="s">
        <v>56</v>
      </c>
      <c r="I4" s="45" t="s">
        <v>57</v>
      </c>
      <c r="J4" s="45" t="s">
        <v>58</v>
      </c>
      <c r="K4" s="45" t="s">
        <v>56</v>
      </c>
      <c r="L4" s="45" t="s">
        <v>57</v>
      </c>
      <c r="M4" s="45" t="s">
        <v>58</v>
      </c>
      <c r="N4" s="45"/>
      <c r="O4" s="55"/>
      <c r="T4" s="139" t="s">
        <v>67</v>
      </c>
      <c r="U4" s="162" t="s">
        <v>11</v>
      </c>
      <c r="V4" s="155" t="s">
        <v>55</v>
      </c>
      <c r="W4" s="155" t="s">
        <v>40</v>
      </c>
      <c r="X4" s="143" t="s">
        <v>69</v>
      </c>
      <c r="Y4" s="137" t="s">
        <v>68</v>
      </c>
      <c r="Z4" s="138"/>
      <c r="AA4" s="43"/>
      <c r="AB4" s="136"/>
      <c r="AC4" s="43"/>
      <c r="AD4" s="139" t="s">
        <v>60</v>
      </c>
      <c r="AE4" s="68" t="s">
        <v>84</v>
      </c>
      <c r="AF4" s="136"/>
      <c r="AG4" s="159" t="s">
        <v>77</v>
      </c>
      <c r="AH4" s="155" t="s">
        <v>73</v>
      </c>
      <c r="AI4" s="157" t="s">
        <v>78</v>
      </c>
      <c r="AJ4" s="78" t="s">
        <v>83</v>
      </c>
      <c r="AK4" s="68" t="s">
        <v>84</v>
      </c>
      <c r="AM4" s="191" t="s">
        <v>17</v>
      </c>
      <c r="AN4" s="192"/>
      <c r="AP4" s="101"/>
      <c r="AQ4" s="195" t="s">
        <v>67</v>
      </c>
      <c r="AR4" s="145" t="s">
        <v>11</v>
      </c>
      <c r="AS4" s="197" t="s">
        <v>87</v>
      </c>
      <c r="AT4" s="182" t="s">
        <v>89</v>
      </c>
      <c r="AU4" s="184" t="s">
        <v>12</v>
      </c>
      <c r="AV4" s="185"/>
      <c r="AW4" s="184" t="s">
        <v>93</v>
      </c>
      <c r="AX4" s="185"/>
      <c r="AY4" s="101"/>
    </row>
    <row r="5" spans="2:51" ht="35.25" customHeight="1" thickBot="1" x14ac:dyDescent="0.4">
      <c r="B5" s="46"/>
      <c r="C5" s="72" t="s">
        <v>61</v>
      </c>
      <c r="G5" s="60" t="s">
        <v>24</v>
      </c>
      <c r="H5" s="108" t="s">
        <v>52</v>
      </c>
      <c r="I5" s="109" t="s">
        <v>53</v>
      </c>
      <c r="J5" s="110" t="s">
        <v>54</v>
      </c>
      <c r="K5" s="111" t="s">
        <v>7</v>
      </c>
      <c r="L5" s="109" t="s">
        <v>8</v>
      </c>
      <c r="M5" s="112" t="s">
        <v>9</v>
      </c>
      <c r="N5" s="56"/>
      <c r="O5" s="23" t="s">
        <v>24</v>
      </c>
      <c r="P5" s="117" t="s">
        <v>4</v>
      </c>
      <c r="Q5" s="118" t="s">
        <v>5</v>
      </c>
      <c r="R5" s="119" t="s">
        <v>6</v>
      </c>
      <c r="T5" s="161"/>
      <c r="U5" s="163"/>
      <c r="V5" s="156"/>
      <c r="W5" s="156"/>
      <c r="X5" s="144"/>
      <c r="Y5" s="52" t="s">
        <v>1</v>
      </c>
      <c r="Z5" s="53" t="s">
        <v>35</v>
      </c>
      <c r="AA5" s="43"/>
      <c r="AB5" s="136"/>
      <c r="AC5" s="43"/>
      <c r="AD5" s="140"/>
      <c r="AE5" s="53" t="s">
        <v>10</v>
      </c>
      <c r="AF5" s="136"/>
      <c r="AG5" s="160"/>
      <c r="AH5" s="156"/>
      <c r="AI5" s="158"/>
      <c r="AJ5" s="44" t="s">
        <v>16</v>
      </c>
      <c r="AK5" s="10" t="s">
        <v>16</v>
      </c>
      <c r="AM5" s="193" t="s">
        <v>84</v>
      </c>
      <c r="AN5" s="194"/>
      <c r="AP5" s="101"/>
      <c r="AQ5" s="196"/>
      <c r="AR5" s="146"/>
      <c r="AS5" s="198"/>
      <c r="AT5" s="183"/>
      <c r="AU5" s="95" t="s">
        <v>88</v>
      </c>
      <c r="AV5" s="96" t="s">
        <v>90</v>
      </c>
      <c r="AW5" s="95" t="s">
        <v>91</v>
      </c>
      <c r="AX5" s="96" t="s">
        <v>92</v>
      </c>
      <c r="AY5" s="101"/>
    </row>
    <row r="6" spans="2:51" s="3" customFormat="1" ht="15" thickBot="1" x14ac:dyDescent="0.4">
      <c r="B6" s="47"/>
      <c r="C6" s="73" t="s">
        <v>59</v>
      </c>
      <c r="D6"/>
      <c r="E6"/>
      <c r="G6" s="61" t="s">
        <v>0</v>
      </c>
      <c r="H6" s="125">
        <v>57</v>
      </c>
      <c r="I6" s="126">
        <v>54</v>
      </c>
      <c r="J6" s="127">
        <v>43</v>
      </c>
      <c r="K6" s="128">
        <v>69</v>
      </c>
      <c r="L6" s="126">
        <v>68</v>
      </c>
      <c r="M6" s="129">
        <v>64</v>
      </c>
      <c r="N6" s="54"/>
      <c r="O6" s="114" t="s">
        <v>0</v>
      </c>
      <c r="P6" s="48" t="str">
        <f>IF(AND(ISNUMBER(H6),ROUND(H6,0)&lt;$C$11),"RBL lower than minimum","-")</f>
        <v>-</v>
      </c>
      <c r="Q6" s="49" t="str">
        <f>IF(AND(ISNUMBER(I6),ROUND(I6,0)&lt;$C$12),"RBL lower than minimum",IF(ROUND(I6,0)&gt;ROUND(H6,0),"RBL higher than day","-"))</f>
        <v>-</v>
      </c>
      <c r="R6" s="50" t="str">
        <f>IF(AND(ISNUMBER(J6),ROUND(J6,0)&lt;$C$13),"RBL lower than minimum",IF(ROUND(J6,0)&gt;ROUND(I6,0),"RBL higher than eve",IF(ROUND(J6,0)&gt;ROUND(H6,0),"RBL higher than day","-")))</f>
        <v>-</v>
      </c>
      <c r="T6" s="150">
        <v>1</v>
      </c>
      <c r="U6" s="36" t="s">
        <v>13</v>
      </c>
      <c r="V6" s="11" t="s">
        <v>0</v>
      </c>
      <c r="W6" s="11" t="s">
        <v>18</v>
      </c>
      <c r="X6" s="64">
        <f>IFERROR(INDEX($C$18:$E$20,MATCH($U6,$B$18:$B$20,1),MATCH($W6,$C$17:$E$17,1)),"-")</f>
        <v>60</v>
      </c>
      <c r="Y6" s="64">
        <v>57</v>
      </c>
      <c r="Z6" s="128">
        <v>69</v>
      </c>
      <c r="AB6" s="120">
        <f t="shared" ref="AB6:AB26" si="0">IFERROR(Z6-X6,"-")</f>
        <v>9</v>
      </c>
      <c r="AC6" s="40"/>
      <c r="AD6" s="64">
        <f>IF($Y6&lt;$C$11,$C$11,$Y6)</f>
        <v>57</v>
      </c>
      <c r="AE6" s="37">
        <f>IFERROR($AD6+5,"-")</f>
        <v>62</v>
      </c>
      <c r="AF6" s="121">
        <f>IFERROR(Z6-AG6,"-")</f>
        <v>9</v>
      </c>
      <c r="AG6" s="104">
        <f t="shared" ref="AG6:AG26" si="1">IFERROR(IF($B$28="Yes",X6-5,X6),"-")</f>
        <v>60</v>
      </c>
      <c r="AH6" s="11" t="s">
        <v>107</v>
      </c>
      <c r="AI6" s="64" t="str">
        <f>IFERROR(IF(AH6="No","N/A",IF(AND(AH6="Industrial Noise",Z6&gt;=AG6+10),"-10dB (Industry)",IF(AND(AH6="Road Traffic Noise",Z6&gt;=X6+10),"-15dB (Traffic)","Below Threshold"))),"-")</f>
        <v>N/A</v>
      </c>
      <c r="AJ6" s="36">
        <f t="shared" ref="AJ6:AJ26" si="2">IFERROR(IF(AI6="-10dB (Industry)",Z6-10,IF(AI6="-15dB (Traffic)",Z6-15,AG6)),"-")</f>
        <v>60</v>
      </c>
      <c r="AK6" s="37">
        <f t="shared" ref="AK6:AK26" si="3">IFERROR(AJ6+3,"-")</f>
        <v>63</v>
      </c>
      <c r="AM6" s="64" t="str">
        <f>IFERROR(IF(AE6="-","-",IF(AE6&lt;AK6,"Intrusive","Amenity")),"-")</f>
        <v>Intrusive</v>
      </c>
      <c r="AN6" s="76">
        <f>IFERROR(IF(AE6="-","-",MIN(AE6,AK6)),"-")</f>
        <v>62</v>
      </c>
      <c r="AP6" s="102"/>
      <c r="AQ6" s="180">
        <v>1</v>
      </c>
      <c r="AR6" s="92" t="s">
        <v>13</v>
      </c>
      <c r="AS6" s="92" t="str">
        <f t="shared" ref="AS6:AS26" si="4">IF(V6&lt;&gt;0,V6,"-")</f>
        <v>L01</v>
      </c>
      <c r="AT6" s="97">
        <f t="shared" ref="AT6:AT26" si="5">X6</f>
        <v>60</v>
      </c>
      <c r="AU6" s="97">
        <f>IF(Y6=",","-",IF(AD6&lt;&gt;Y6,AD6&amp;" ("&amp;Y6&amp;" actual)",AD6))</f>
        <v>57</v>
      </c>
      <c r="AV6" s="94">
        <f t="shared" ref="AV6:AV26" si="6">Z6</f>
        <v>69</v>
      </c>
      <c r="AW6" s="93">
        <f>AE6</f>
        <v>62</v>
      </c>
      <c r="AX6" s="85">
        <f t="shared" ref="AX6:AX26" si="7">AK6</f>
        <v>63</v>
      </c>
      <c r="AY6" s="102"/>
    </row>
    <row r="7" spans="2:51" ht="15" thickBot="1" x14ac:dyDescent="0.4">
      <c r="G7" s="62" t="s">
        <v>2</v>
      </c>
      <c r="H7" s="130">
        <v>63</v>
      </c>
      <c r="I7" s="131">
        <v>64</v>
      </c>
      <c r="J7" s="132">
        <v>61</v>
      </c>
      <c r="K7" s="133">
        <v>67</v>
      </c>
      <c r="L7" s="131">
        <v>67</v>
      </c>
      <c r="M7" s="134">
        <v>66</v>
      </c>
      <c r="N7" s="54"/>
      <c r="O7" s="115" t="s">
        <v>2</v>
      </c>
      <c r="P7" s="30" t="str">
        <f t="shared" ref="P7:P25" si="8">IF(AND(ISNUMBER(H7),ROUND(H7,0)&lt;$C$11),"RBL lower than minimum","-")</f>
        <v>-</v>
      </c>
      <c r="Q7" s="31" t="str">
        <f t="shared" ref="Q7:Q25" si="9">IF(AND(ISNUMBER(I7),ROUND(I7,0)&lt;$C$12),"RBL lower than minimum",IF(ROUND(I7,0)&gt;ROUND(H7,0),"RBL higher than day","-"))</f>
        <v>RBL higher than day</v>
      </c>
      <c r="R7" s="32" t="str">
        <f t="shared" ref="R7:R25" si="10">IF(AND(ISNUMBER(J7),ROUND(J7,0)&lt;$C$13),"RBL lower than minimum",IF(ROUND(J7,0)&gt;ROUND(I7,0),"RBL higher than eve",IF(ROUND(J7,0)&gt;ROUND(H7,0),"RBL higher than day","-")))</f>
        <v>-</v>
      </c>
      <c r="T7" s="148"/>
      <c r="U7" s="4" t="s">
        <v>14</v>
      </c>
      <c r="V7" s="12" t="s">
        <v>0</v>
      </c>
      <c r="W7" s="11" t="s">
        <v>18</v>
      </c>
      <c r="X7" s="65">
        <f>IFERROR(INDEX($C$18:$E$20,MATCH($U7,$B$18:$B$20,1),MATCH($W7,$C$17:$E$17,1)),"-")</f>
        <v>50</v>
      </c>
      <c r="Y7" s="65">
        <v>54</v>
      </c>
      <c r="Z7" s="126">
        <v>68</v>
      </c>
      <c r="AB7" s="120">
        <f t="shared" si="0"/>
        <v>18</v>
      </c>
      <c r="AC7" s="40"/>
      <c r="AD7" s="65">
        <f>IF($Y7&lt;$C$12,$C$12,IF($Y7&gt;$AD6,$AD6,$Y7))</f>
        <v>54</v>
      </c>
      <c r="AE7" s="6">
        <f t="shared" ref="AE7:AE26" si="11">IFERROR($AD7+5,"-")</f>
        <v>59</v>
      </c>
      <c r="AF7" s="121">
        <f t="shared" ref="AF7:AF26" si="12">IFERROR(Z7-AG7,"-")</f>
        <v>18</v>
      </c>
      <c r="AG7" s="105">
        <f t="shared" si="1"/>
        <v>50</v>
      </c>
      <c r="AH7" s="11" t="s">
        <v>107</v>
      </c>
      <c r="AI7" s="65" t="str">
        <f>IFERROR(IF(AH7="No","N/A",IF(AND(AH7="Industrial Noise",Z7&gt;=AG7+10),"-10dB (Industry)",IF(AND(AH7="Road Traffic Noise",Z7&gt;=X7+10),"-15dB (Traffic)","Below Threshold"))),"-")</f>
        <v>N/A</v>
      </c>
      <c r="AJ7" s="4">
        <f t="shared" si="2"/>
        <v>50</v>
      </c>
      <c r="AK7" s="6">
        <f t="shared" si="3"/>
        <v>53</v>
      </c>
      <c r="AM7" s="65" t="str">
        <f t="shared" ref="AM7:AM26" si="13">IFERROR(IF(AE7="-","-",IF(AE7&lt;AK7,"Intrusive","Amenity")),"-")</f>
        <v>Amenity</v>
      </c>
      <c r="AN7" s="6">
        <f t="shared" ref="AN7:AN26" si="14">IFERROR(IF(AE7="-","-",MIN(AE7,AK7)),"-")</f>
        <v>53</v>
      </c>
      <c r="AP7" s="101"/>
      <c r="AQ7" s="180"/>
      <c r="AR7" s="83" t="s">
        <v>14</v>
      </c>
      <c r="AS7" s="83" t="str">
        <f t="shared" si="4"/>
        <v>L01</v>
      </c>
      <c r="AT7" s="98">
        <f t="shared" si="5"/>
        <v>50</v>
      </c>
      <c r="AU7" s="98">
        <f t="shared" ref="AU7:AU26" si="15">IF(Y7=",","-",IF(AD7&lt;&gt;Y7,AD7&amp;" ("&amp;Y7&amp;" actual)",AD7))</f>
        <v>54</v>
      </c>
      <c r="AV7" s="85">
        <f t="shared" si="6"/>
        <v>68</v>
      </c>
      <c r="AW7" s="84">
        <f t="shared" ref="AW7:AW26" si="16">AE7</f>
        <v>59</v>
      </c>
      <c r="AX7" s="85">
        <f t="shared" si="7"/>
        <v>53</v>
      </c>
      <c r="AY7" s="101"/>
    </row>
    <row r="8" spans="2:51" ht="15" thickBot="1" x14ac:dyDescent="0.4">
      <c r="B8" s="1" t="s">
        <v>39</v>
      </c>
      <c r="E8" s="39"/>
      <c r="G8" s="62" t="s">
        <v>3</v>
      </c>
      <c r="H8" s="130"/>
      <c r="I8" s="131"/>
      <c r="J8" s="132"/>
      <c r="K8" s="133"/>
      <c r="L8" s="131"/>
      <c r="M8" s="134"/>
      <c r="N8" s="54"/>
      <c r="O8" s="115" t="s">
        <v>3</v>
      </c>
      <c r="P8" s="30" t="str">
        <f t="shared" si="8"/>
        <v>-</v>
      </c>
      <c r="Q8" s="31" t="str">
        <f t="shared" si="9"/>
        <v>-</v>
      </c>
      <c r="R8" s="32" t="str">
        <f t="shared" si="10"/>
        <v>-</v>
      </c>
      <c r="T8" s="151"/>
      <c r="U8" s="4" t="s">
        <v>15</v>
      </c>
      <c r="V8" s="13" t="s">
        <v>0</v>
      </c>
      <c r="W8" s="11" t="s">
        <v>18</v>
      </c>
      <c r="X8" s="65">
        <f t="shared" ref="X8:X26" si="17">IFERROR(INDEX($C$18:$E$20,MATCH($U8,$B$18:$B$20,1),MATCH($W8,$C$17:$E$17,1)),"-")</f>
        <v>45</v>
      </c>
      <c r="Y8" s="65">
        <v>43</v>
      </c>
      <c r="Z8" s="129">
        <v>64</v>
      </c>
      <c r="AB8" s="120">
        <f t="shared" si="0"/>
        <v>19</v>
      </c>
      <c r="AC8" s="40"/>
      <c r="AD8" s="65">
        <f>IF($Y8&lt;$C$13,$C$13,IF($Y8&gt;$AD7,$AD7,$Y8))</f>
        <v>43</v>
      </c>
      <c r="AE8" s="6">
        <f t="shared" si="11"/>
        <v>48</v>
      </c>
      <c r="AF8" s="121">
        <f t="shared" si="12"/>
        <v>19</v>
      </c>
      <c r="AG8" s="105">
        <f t="shared" si="1"/>
        <v>45</v>
      </c>
      <c r="AH8" s="11" t="s">
        <v>107</v>
      </c>
      <c r="AI8" s="65" t="str">
        <f>IFERROR(IF(AH8="No","N/A",IF(AND(AH8="Industrial Noise",Z8&gt;=AG8+10),"-10dB (Industry)",IF(AND(AH8="Road Traffic Noise",Z8&gt;=X8+10),"-15dB (Traffic)","Below Threshold"))),"-")</f>
        <v>N/A</v>
      </c>
      <c r="AJ8" s="4">
        <f t="shared" si="2"/>
        <v>45</v>
      </c>
      <c r="AK8" s="6">
        <f t="shared" si="3"/>
        <v>48</v>
      </c>
      <c r="AM8" s="65" t="str">
        <f t="shared" si="13"/>
        <v>Amenity</v>
      </c>
      <c r="AN8" s="6">
        <f t="shared" si="14"/>
        <v>48</v>
      </c>
      <c r="AP8" s="101"/>
      <c r="AQ8" s="190"/>
      <c r="AR8" s="83" t="s">
        <v>15</v>
      </c>
      <c r="AS8" s="83" t="str">
        <f t="shared" si="4"/>
        <v>L01</v>
      </c>
      <c r="AT8" s="98">
        <f t="shared" si="5"/>
        <v>45</v>
      </c>
      <c r="AU8" s="98">
        <f t="shared" si="15"/>
        <v>43</v>
      </c>
      <c r="AV8" s="85">
        <f t="shared" si="6"/>
        <v>64</v>
      </c>
      <c r="AW8" s="84">
        <f t="shared" si="16"/>
        <v>48</v>
      </c>
      <c r="AX8" s="85">
        <f t="shared" si="7"/>
        <v>48</v>
      </c>
      <c r="AY8" s="101"/>
    </row>
    <row r="9" spans="2:51" ht="15" thickBot="1" x14ac:dyDescent="0.4">
      <c r="D9" s="39"/>
      <c r="E9" s="40"/>
      <c r="G9" s="62" t="s">
        <v>19</v>
      </c>
      <c r="H9" s="130"/>
      <c r="I9" s="131"/>
      <c r="J9" s="132"/>
      <c r="K9" s="133"/>
      <c r="L9" s="131"/>
      <c r="M9" s="134"/>
      <c r="N9" s="54"/>
      <c r="O9" s="115" t="s">
        <v>19</v>
      </c>
      <c r="P9" s="30" t="str">
        <f t="shared" si="8"/>
        <v>-</v>
      </c>
      <c r="Q9" s="31" t="str">
        <f t="shared" si="9"/>
        <v>-</v>
      </c>
      <c r="R9" s="32" t="str">
        <f t="shared" si="10"/>
        <v>-</v>
      </c>
      <c r="T9" s="152">
        <v>2</v>
      </c>
      <c r="U9" s="5" t="s">
        <v>13</v>
      </c>
      <c r="V9" s="11" t="s">
        <v>2</v>
      </c>
      <c r="W9" s="11" t="s">
        <v>18</v>
      </c>
      <c r="X9" s="64">
        <f>IFERROR(INDEX($C$18:$E$20,MATCH($U9,$B$18:$B$20,1),MATCH($W9,$C$17:$E$17,1)),"-")</f>
        <v>60</v>
      </c>
      <c r="Y9" s="66">
        <v>63</v>
      </c>
      <c r="Z9" s="133">
        <v>67</v>
      </c>
      <c r="AB9" s="120">
        <f t="shared" si="0"/>
        <v>7</v>
      </c>
      <c r="AC9" s="40"/>
      <c r="AD9" s="66">
        <f>IF($Y9&lt;$C$11,$C$11,$Y9)</f>
        <v>63</v>
      </c>
      <c r="AE9" s="7">
        <f t="shared" si="11"/>
        <v>68</v>
      </c>
      <c r="AF9" s="121">
        <f t="shared" si="12"/>
        <v>7</v>
      </c>
      <c r="AG9" s="106">
        <f t="shared" si="1"/>
        <v>60</v>
      </c>
      <c r="AH9" s="11" t="s">
        <v>107</v>
      </c>
      <c r="AI9" s="66" t="str">
        <f t="shared" ref="AI9:AI26" si="18">IFERROR(IF(AH9="No","N/A",IF(AND(AH9="Industrial Noise",Z9&gt;=AG9+10),"-10dB (Industry)",IF(AND(AH9="Road Traffic Noise",Z9&gt;=X9+10),"-15dB (Traffic)","Below Threshold"))),"-")</f>
        <v>N/A</v>
      </c>
      <c r="AJ9" s="5">
        <f t="shared" si="2"/>
        <v>60</v>
      </c>
      <c r="AK9" s="7">
        <f t="shared" si="3"/>
        <v>63</v>
      </c>
      <c r="AM9" s="66" t="str">
        <f t="shared" si="13"/>
        <v>Amenity</v>
      </c>
      <c r="AN9" s="7">
        <f t="shared" si="14"/>
        <v>63</v>
      </c>
      <c r="AP9" s="101"/>
      <c r="AQ9" s="187">
        <v>2</v>
      </c>
      <c r="AR9" s="86" t="s">
        <v>13</v>
      </c>
      <c r="AS9" s="86" t="str">
        <f t="shared" si="4"/>
        <v>L02</v>
      </c>
      <c r="AT9" s="99">
        <f t="shared" si="5"/>
        <v>60</v>
      </c>
      <c r="AU9" s="99">
        <f t="shared" si="15"/>
        <v>63</v>
      </c>
      <c r="AV9" s="88">
        <f t="shared" si="6"/>
        <v>67</v>
      </c>
      <c r="AW9" s="87">
        <f t="shared" si="16"/>
        <v>68</v>
      </c>
      <c r="AX9" s="88">
        <f t="shared" si="7"/>
        <v>63</v>
      </c>
      <c r="AY9" s="101"/>
    </row>
    <row r="10" spans="2:51" ht="15" thickBot="1" x14ac:dyDescent="0.4">
      <c r="B10" s="15" t="s">
        <v>11</v>
      </c>
      <c r="C10" s="15" t="s">
        <v>1</v>
      </c>
      <c r="D10" s="40"/>
      <c r="E10" s="40"/>
      <c r="G10" s="62" t="s">
        <v>20</v>
      </c>
      <c r="H10" s="57"/>
      <c r="I10" s="17"/>
      <c r="J10" s="24"/>
      <c r="K10" s="27"/>
      <c r="L10" s="17"/>
      <c r="M10" s="18"/>
      <c r="N10" s="54"/>
      <c r="O10" s="115" t="s">
        <v>20</v>
      </c>
      <c r="P10" s="30" t="str">
        <f t="shared" si="8"/>
        <v>-</v>
      </c>
      <c r="Q10" s="31" t="str">
        <f t="shared" si="9"/>
        <v>-</v>
      </c>
      <c r="R10" s="32" t="str">
        <f t="shared" si="10"/>
        <v>-</v>
      </c>
      <c r="T10" s="153"/>
      <c r="U10" s="5" t="s">
        <v>14</v>
      </c>
      <c r="V10" s="11" t="s">
        <v>2</v>
      </c>
      <c r="W10" s="11" t="s">
        <v>18</v>
      </c>
      <c r="X10" s="65">
        <f>IFERROR(INDEX($C$18:$E$20,MATCH($U10,$B$18:$B$20,1),MATCH($W10,$C$17:$E$17,1)),"-")</f>
        <v>50</v>
      </c>
      <c r="Y10" s="66">
        <v>64</v>
      </c>
      <c r="Z10" s="131">
        <v>67</v>
      </c>
      <c r="AB10" s="120">
        <f t="shared" si="0"/>
        <v>17</v>
      </c>
      <c r="AC10" s="40"/>
      <c r="AD10" s="66">
        <f>IF($Y10&lt;$C$12,$C$12,IF($Y10&gt;$AD9,$AD9,$Y10))</f>
        <v>63</v>
      </c>
      <c r="AE10" s="7">
        <f t="shared" si="11"/>
        <v>68</v>
      </c>
      <c r="AF10" s="121">
        <f t="shared" si="12"/>
        <v>17</v>
      </c>
      <c r="AG10" s="106">
        <f t="shared" si="1"/>
        <v>50</v>
      </c>
      <c r="AH10" s="11" t="s">
        <v>107</v>
      </c>
      <c r="AI10" s="66" t="str">
        <f t="shared" si="18"/>
        <v>N/A</v>
      </c>
      <c r="AJ10" s="5">
        <f t="shared" si="2"/>
        <v>50</v>
      </c>
      <c r="AK10" s="7">
        <f t="shared" si="3"/>
        <v>53</v>
      </c>
      <c r="AM10" s="66" t="str">
        <f t="shared" si="13"/>
        <v>Amenity</v>
      </c>
      <c r="AN10" s="7">
        <f t="shared" si="14"/>
        <v>53</v>
      </c>
      <c r="AP10" s="101"/>
      <c r="AQ10" s="188"/>
      <c r="AR10" s="86" t="s">
        <v>14</v>
      </c>
      <c r="AS10" s="86" t="str">
        <f t="shared" si="4"/>
        <v>L02</v>
      </c>
      <c r="AT10" s="99">
        <f t="shared" si="5"/>
        <v>50</v>
      </c>
      <c r="AU10" s="99" t="str">
        <f t="shared" si="15"/>
        <v>63 (64 actual)</v>
      </c>
      <c r="AV10" s="88">
        <f t="shared" si="6"/>
        <v>67</v>
      </c>
      <c r="AW10" s="87">
        <f t="shared" si="16"/>
        <v>68</v>
      </c>
      <c r="AX10" s="88">
        <f t="shared" si="7"/>
        <v>53</v>
      </c>
      <c r="AY10" s="101"/>
    </row>
    <row r="11" spans="2:51" ht="15" thickBot="1" x14ac:dyDescent="0.4">
      <c r="B11" s="14" t="s">
        <v>13</v>
      </c>
      <c r="C11" s="14">
        <v>35</v>
      </c>
      <c r="D11" s="40"/>
      <c r="E11" s="40"/>
      <c r="G11" s="62" t="s">
        <v>21</v>
      </c>
      <c r="H11" s="57"/>
      <c r="I11" s="17"/>
      <c r="J11" s="24"/>
      <c r="K11" s="27"/>
      <c r="L11" s="17"/>
      <c r="M11" s="18"/>
      <c r="N11" s="54"/>
      <c r="O11" s="115" t="s">
        <v>21</v>
      </c>
      <c r="P11" s="30" t="str">
        <f t="shared" si="8"/>
        <v>-</v>
      </c>
      <c r="Q11" s="31" t="str">
        <f t="shared" si="9"/>
        <v>-</v>
      </c>
      <c r="R11" s="32" t="str">
        <f t="shared" si="10"/>
        <v>-</v>
      </c>
      <c r="T11" s="154"/>
      <c r="U11" s="5" t="s">
        <v>15</v>
      </c>
      <c r="V11" s="11" t="s">
        <v>2</v>
      </c>
      <c r="W11" s="11" t="s">
        <v>18</v>
      </c>
      <c r="X11" s="65">
        <f t="shared" si="17"/>
        <v>45</v>
      </c>
      <c r="Y11" s="66">
        <v>61</v>
      </c>
      <c r="Z11" s="134">
        <v>66</v>
      </c>
      <c r="AB11" s="120">
        <f t="shared" si="0"/>
        <v>21</v>
      </c>
      <c r="AC11" s="40"/>
      <c r="AD11" s="66">
        <f>IF($Y11&lt;$C$13,$C$13,IF($Y11&gt;$AD10,$AD10,$Y11))</f>
        <v>61</v>
      </c>
      <c r="AE11" s="7">
        <f t="shared" si="11"/>
        <v>66</v>
      </c>
      <c r="AF11" s="121">
        <f t="shared" si="12"/>
        <v>21</v>
      </c>
      <c r="AG11" s="106">
        <f t="shared" si="1"/>
        <v>45</v>
      </c>
      <c r="AH11" s="11" t="s">
        <v>107</v>
      </c>
      <c r="AI11" s="66" t="str">
        <f t="shared" si="18"/>
        <v>N/A</v>
      </c>
      <c r="AJ11" s="5">
        <f t="shared" si="2"/>
        <v>45</v>
      </c>
      <c r="AK11" s="7">
        <f t="shared" si="3"/>
        <v>48</v>
      </c>
      <c r="AM11" s="66" t="str">
        <f t="shared" si="13"/>
        <v>Amenity</v>
      </c>
      <c r="AN11" s="7">
        <f t="shared" si="14"/>
        <v>48</v>
      </c>
      <c r="AP11" s="101"/>
      <c r="AQ11" s="189"/>
      <c r="AR11" s="86" t="s">
        <v>15</v>
      </c>
      <c r="AS11" s="86" t="str">
        <f t="shared" si="4"/>
        <v>L02</v>
      </c>
      <c r="AT11" s="99">
        <f t="shared" si="5"/>
        <v>45</v>
      </c>
      <c r="AU11" s="99">
        <f t="shared" si="15"/>
        <v>61</v>
      </c>
      <c r="AV11" s="88">
        <f t="shared" si="6"/>
        <v>66</v>
      </c>
      <c r="AW11" s="87">
        <f t="shared" si="16"/>
        <v>66</v>
      </c>
      <c r="AX11" s="88">
        <f t="shared" si="7"/>
        <v>48</v>
      </c>
      <c r="AY11" s="101"/>
    </row>
    <row r="12" spans="2:51" ht="15" thickBot="1" x14ac:dyDescent="0.4">
      <c r="B12" s="14" t="s">
        <v>14</v>
      </c>
      <c r="C12" s="14">
        <v>30</v>
      </c>
      <c r="D12" s="40"/>
      <c r="G12" s="62" t="s">
        <v>22</v>
      </c>
      <c r="H12" s="57"/>
      <c r="I12" s="17"/>
      <c r="J12" s="24"/>
      <c r="K12" s="27"/>
      <c r="L12" s="17"/>
      <c r="M12" s="18"/>
      <c r="N12" s="54"/>
      <c r="O12" s="115" t="s">
        <v>22</v>
      </c>
      <c r="P12" s="30" t="str">
        <f t="shared" si="8"/>
        <v>-</v>
      </c>
      <c r="Q12" s="31" t="str">
        <f t="shared" si="9"/>
        <v>-</v>
      </c>
      <c r="R12" s="32" t="str">
        <f t="shared" si="10"/>
        <v>-</v>
      </c>
      <c r="T12" s="147">
        <v>4</v>
      </c>
      <c r="U12" s="4" t="s">
        <v>13</v>
      </c>
      <c r="V12" s="11"/>
      <c r="W12" s="11"/>
      <c r="X12" s="65" t="str">
        <f t="shared" si="17"/>
        <v>-</v>
      </c>
      <c r="Y12" s="65" t="str">
        <f t="shared" ref="Y12:Y26" si="19">IFERROR(ROUND(INDEX($H$6:$J$25,MATCH($V12,$G$6:$G$25,1),MATCH($U12,$H$4:$J$4,1)),0),"-")</f>
        <v>-</v>
      </c>
      <c r="Z12" s="105" t="str">
        <f t="shared" ref="Z12:Z26" si="20">IFERROR(ROUND(INDEX($K$6:$M$25,MATCH($V12,$G$6:$G$25,1),MATCH($U12,$K$4:$M$4,1)),0),"-")</f>
        <v>-</v>
      </c>
      <c r="AB12" s="120" t="str">
        <f t="shared" si="0"/>
        <v>-</v>
      </c>
      <c r="AC12" s="40"/>
      <c r="AD12" s="65" t="str">
        <f>IF($Y12&lt;$C$11,$C$11,$Y12)</f>
        <v>-</v>
      </c>
      <c r="AE12" s="6" t="str">
        <f t="shared" si="11"/>
        <v>-</v>
      </c>
      <c r="AF12" s="121" t="str">
        <f t="shared" si="12"/>
        <v>-</v>
      </c>
      <c r="AG12" s="105" t="str">
        <f t="shared" si="1"/>
        <v>-</v>
      </c>
      <c r="AH12" s="11"/>
      <c r="AI12" s="65" t="str">
        <f t="shared" si="18"/>
        <v>-</v>
      </c>
      <c r="AJ12" s="4" t="str">
        <f t="shared" si="2"/>
        <v>-</v>
      </c>
      <c r="AK12" s="6" t="str">
        <f t="shared" si="3"/>
        <v>-</v>
      </c>
      <c r="AM12" s="65" t="str">
        <f t="shared" si="13"/>
        <v>-</v>
      </c>
      <c r="AN12" s="6" t="str">
        <f t="shared" si="14"/>
        <v>-</v>
      </c>
      <c r="AP12" s="101"/>
      <c r="AQ12" s="179">
        <v>4</v>
      </c>
      <c r="AR12" s="83" t="s">
        <v>13</v>
      </c>
      <c r="AS12" s="83" t="str">
        <f t="shared" si="4"/>
        <v>-</v>
      </c>
      <c r="AT12" s="98" t="str">
        <f t="shared" si="5"/>
        <v>-</v>
      </c>
      <c r="AU12" s="98" t="str">
        <f t="shared" si="15"/>
        <v>-</v>
      </c>
      <c r="AV12" s="85" t="str">
        <f t="shared" si="6"/>
        <v>-</v>
      </c>
      <c r="AW12" s="84" t="str">
        <f t="shared" si="16"/>
        <v>-</v>
      </c>
      <c r="AX12" s="85" t="str">
        <f t="shared" si="7"/>
        <v>-</v>
      </c>
      <c r="AY12" s="101"/>
    </row>
    <row r="13" spans="2:51" ht="15" thickBot="1" x14ac:dyDescent="0.4">
      <c r="B13" s="14" t="s">
        <v>15</v>
      </c>
      <c r="C13" s="14">
        <v>30</v>
      </c>
      <c r="G13" s="62" t="s">
        <v>23</v>
      </c>
      <c r="H13" s="58"/>
      <c r="I13" s="19"/>
      <c r="J13" s="25"/>
      <c r="K13" s="28"/>
      <c r="L13" s="19"/>
      <c r="M13" s="20"/>
      <c r="N13" s="54"/>
      <c r="O13" s="115" t="s">
        <v>23</v>
      </c>
      <c r="P13" s="30" t="str">
        <f t="shared" si="8"/>
        <v>-</v>
      </c>
      <c r="Q13" s="31" t="str">
        <f t="shared" si="9"/>
        <v>-</v>
      </c>
      <c r="R13" s="32" t="str">
        <f t="shared" si="10"/>
        <v>-</v>
      </c>
      <c r="T13" s="148"/>
      <c r="U13" s="4" t="s">
        <v>14</v>
      </c>
      <c r="V13" s="12"/>
      <c r="W13" s="12"/>
      <c r="X13" s="65" t="str">
        <f t="shared" si="17"/>
        <v>-</v>
      </c>
      <c r="Y13" s="65" t="str">
        <f t="shared" si="19"/>
        <v>-</v>
      </c>
      <c r="Z13" s="105" t="str">
        <f t="shared" si="20"/>
        <v>-</v>
      </c>
      <c r="AB13" s="120" t="str">
        <f t="shared" si="0"/>
        <v>-</v>
      </c>
      <c r="AC13" s="40"/>
      <c r="AD13" s="65" t="str">
        <f>IF($Y13&lt;$C$12,$C$12,IF($Y13&gt;$AD12,$AD12,$Y13))</f>
        <v>-</v>
      </c>
      <c r="AE13" s="6" t="str">
        <f t="shared" si="11"/>
        <v>-</v>
      </c>
      <c r="AF13" s="121" t="str">
        <f t="shared" si="12"/>
        <v>-</v>
      </c>
      <c r="AG13" s="105" t="str">
        <f t="shared" si="1"/>
        <v>-</v>
      </c>
      <c r="AH13" s="11"/>
      <c r="AI13" s="65" t="str">
        <f t="shared" si="18"/>
        <v>-</v>
      </c>
      <c r="AJ13" s="4" t="str">
        <f t="shared" si="2"/>
        <v>-</v>
      </c>
      <c r="AK13" s="6" t="str">
        <f t="shared" si="3"/>
        <v>-</v>
      </c>
      <c r="AM13" s="65" t="str">
        <f t="shared" si="13"/>
        <v>-</v>
      </c>
      <c r="AN13" s="6" t="str">
        <f t="shared" si="14"/>
        <v>-</v>
      </c>
      <c r="AP13" s="101"/>
      <c r="AQ13" s="180"/>
      <c r="AR13" s="83" t="s">
        <v>14</v>
      </c>
      <c r="AS13" s="83" t="str">
        <f t="shared" si="4"/>
        <v>-</v>
      </c>
      <c r="AT13" s="98" t="str">
        <f t="shared" si="5"/>
        <v>-</v>
      </c>
      <c r="AU13" s="98" t="str">
        <f t="shared" si="15"/>
        <v>-</v>
      </c>
      <c r="AV13" s="85" t="str">
        <f t="shared" si="6"/>
        <v>-</v>
      </c>
      <c r="AW13" s="84" t="str">
        <f t="shared" si="16"/>
        <v>-</v>
      </c>
      <c r="AX13" s="85" t="str">
        <f t="shared" si="7"/>
        <v>-</v>
      </c>
      <c r="AY13" s="101"/>
    </row>
    <row r="14" spans="2:51" ht="15" thickBot="1" x14ac:dyDescent="0.4">
      <c r="G14" s="62" t="s">
        <v>26</v>
      </c>
      <c r="H14" s="58"/>
      <c r="I14" s="19"/>
      <c r="J14" s="25"/>
      <c r="K14" s="28"/>
      <c r="L14" s="19"/>
      <c r="M14" s="20"/>
      <c r="N14" s="54"/>
      <c r="O14" s="115" t="s">
        <v>26</v>
      </c>
      <c r="P14" s="30" t="str">
        <f t="shared" si="8"/>
        <v>-</v>
      </c>
      <c r="Q14" s="31" t="str">
        <f t="shared" si="9"/>
        <v>-</v>
      </c>
      <c r="R14" s="32" t="str">
        <f t="shared" si="10"/>
        <v>-</v>
      </c>
      <c r="T14" s="151"/>
      <c r="U14" s="4" t="s">
        <v>15</v>
      </c>
      <c r="V14" s="13"/>
      <c r="W14" s="13"/>
      <c r="X14" s="65" t="str">
        <f t="shared" si="17"/>
        <v>-</v>
      </c>
      <c r="Y14" s="65" t="str">
        <f t="shared" si="19"/>
        <v>-</v>
      </c>
      <c r="Z14" s="105" t="str">
        <f t="shared" si="20"/>
        <v>-</v>
      </c>
      <c r="AB14" s="120" t="str">
        <f t="shared" si="0"/>
        <v>-</v>
      </c>
      <c r="AC14" s="40"/>
      <c r="AD14" s="65" t="str">
        <f>IF($Y14&lt;$C$13,$C$13,IF($Y14&gt;$AD13,$AD13,$Y14))</f>
        <v>-</v>
      </c>
      <c r="AE14" s="6" t="str">
        <f t="shared" si="11"/>
        <v>-</v>
      </c>
      <c r="AF14" s="121" t="str">
        <f t="shared" si="12"/>
        <v>-</v>
      </c>
      <c r="AG14" s="105" t="str">
        <f t="shared" si="1"/>
        <v>-</v>
      </c>
      <c r="AH14" s="11"/>
      <c r="AI14" s="65" t="str">
        <f t="shared" si="18"/>
        <v>-</v>
      </c>
      <c r="AJ14" s="4" t="str">
        <f t="shared" si="2"/>
        <v>-</v>
      </c>
      <c r="AK14" s="6" t="str">
        <f t="shared" si="3"/>
        <v>-</v>
      </c>
      <c r="AM14" s="65" t="str">
        <f t="shared" si="13"/>
        <v>-</v>
      </c>
      <c r="AN14" s="6" t="str">
        <f t="shared" si="14"/>
        <v>-</v>
      </c>
      <c r="AP14" s="101"/>
      <c r="AQ14" s="190"/>
      <c r="AR14" s="83" t="s">
        <v>15</v>
      </c>
      <c r="AS14" s="83" t="str">
        <f t="shared" si="4"/>
        <v>-</v>
      </c>
      <c r="AT14" s="98" t="str">
        <f t="shared" si="5"/>
        <v>-</v>
      </c>
      <c r="AU14" s="98" t="str">
        <f t="shared" si="15"/>
        <v>-</v>
      </c>
      <c r="AV14" s="85" t="str">
        <f t="shared" si="6"/>
        <v>-</v>
      </c>
      <c r="AW14" s="84" t="str">
        <f t="shared" si="16"/>
        <v>-</v>
      </c>
      <c r="AX14" s="85" t="str">
        <f t="shared" si="7"/>
        <v>-</v>
      </c>
      <c r="AY14" s="101"/>
    </row>
    <row r="15" spans="2:51" ht="15" thickBot="1" x14ac:dyDescent="0.4">
      <c r="B15" s="1" t="s">
        <v>42</v>
      </c>
      <c r="G15" s="62" t="s">
        <v>27</v>
      </c>
      <c r="H15" s="58"/>
      <c r="I15" s="19"/>
      <c r="J15" s="25"/>
      <c r="K15" s="28"/>
      <c r="L15" s="19"/>
      <c r="M15" s="20"/>
      <c r="N15" s="54"/>
      <c r="O15" s="115" t="s">
        <v>27</v>
      </c>
      <c r="P15" s="30" t="str">
        <f t="shared" si="8"/>
        <v>-</v>
      </c>
      <c r="Q15" s="31" t="str">
        <f t="shared" si="9"/>
        <v>-</v>
      </c>
      <c r="R15" s="32" t="str">
        <f t="shared" si="10"/>
        <v>-</v>
      </c>
      <c r="T15" s="152">
        <v>3</v>
      </c>
      <c r="U15" s="5" t="s">
        <v>13</v>
      </c>
      <c r="V15" s="11"/>
      <c r="W15" s="11"/>
      <c r="X15" s="66" t="str">
        <f t="shared" si="17"/>
        <v>-</v>
      </c>
      <c r="Y15" s="66" t="str">
        <f t="shared" si="19"/>
        <v>-</v>
      </c>
      <c r="Z15" s="106" t="str">
        <f t="shared" si="20"/>
        <v>-</v>
      </c>
      <c r="AB15" s="120" t="str">
        <f t="shared" si="0"/>
        <v>-</v>
      </c>
      <c r="AC15" s="40"/>
      <c r="AD15" s="66" t="str">
        <f>IF($Y15&lt;$C$11,$C$11,$Y15)</f>
        <v>-</v>
      </c>
      <c r="AE15" s="7" t="str">
        <f t="shared" si="11"/>
        <v>-</v>
      </c>
      <c r="AF15" s="121" t="str">
        <f t="shared" si="12"/>
        <v>-</v>
      </c>
      <c r="AG15" s="106" t="str">
        <f t="shared" si="1"/>
        <v>-</v>
      </c>
      <c r="AH15" s="11"/>
      <c r="AI15" s="66" t="str">
        <f t="shared" si="18"/>
        <v>-</v>
      </c>
      <c r="AJ15" s="5" t="str">
        <f t="shared" si="2"/>
        <v>-</v>
      </c>
      <c r="AK15" s="7" t="str">
        <f t="shared" si="3"/>
        <v>-</v>
      </c>
      <c r="AM15" s="66" t="str">
        <f t="shared" si="13"/>
        <v>-</v>
      </c>
      <c r="AN15" s="7" t="str">
        <f t="shared" si="14"/>
        <v>-</v>
      </c>
      <c r="AP15" s="101"/>
      <c r="AQ15" s="187">
        <v>3</v>
      </c>
      <c r="AR15" s="86" t="s">
        <v>13</v>
      </c>
      <c r="AS15" s="86" t="str">
        <f t="shared" si="4"/>
        <v>-</v>
      </c>
      <c r="AT15" s="99" t="str">
        <f t="shared" si="5"/>
        <v>-</v>
      </c>
      <c r="AU15" s="99" t="str">
        <f t="shared" si="15"/>
        <v>-</v>
      </c>
      <c r="AV15" s="88" t="str">
        <f t="shared" si="6"/>
        <v>-</v>
      </c>
      <c r="AW15" s="87" t="str">
        <f t="shared" si="16"/>
        <v>-</v>
      </c>
      <c r="AX15" s="88" t="str">
        <f t="shared" si="7"/>
        <v>-</v>
      </c>
      <c r="AY15" s="101"/>
    </row>
    <row r="16" spans="2:51" ht="15" thickBot="1" x14ac:dyDescent="0.4">
      <c r="G16" s="62" t="s">
        <v>28</v>
      </c>
      <c r="H16" s="58"/>
      <c r="I16" s="19"/>
      <c r="J16" s="25"/>
      <c r="K16" s="28"/>
      <c r="L16" s="19"/>
      <c r="M16" s="20"/>
      <c r="N16" s="54"/>
      <c r="O16" s="115" t="s">
        <v>28</v>
      </c>
      <c r="P16" s="30" t="str">
        <f t="shared" si="8"/>
        <v>-</v>
      </c>
      <c r="Q16" s="31" t="str">
        <f t="shared" si="9"/>
        <v>-</v>
      </c>
      <c r="R16" s="32" t="str">
        <f t="shared" si="10"/>
        <v>-</v>
      </c>
      <c r="T16" s="153"/>
      <c r="U16" s="5" t="s">
        <v>14</v>
      </c>
      <c r="V16" s="12"/>
      <c r="W16" s="12"/>
      <c r="X16" s="66" t="str">
        <f t="shared" si="17"/>
        <v>-</v>
      </c>
      <c r="Y16" s="66" t="str">
        <f t="shared" si="19"/>
        <v>-</v>
      </c>
      <c r="Z16" s="106" t="str">
        <f t="shared" si="20"/>
        <v>-</v>
      </c>
      <c r="AB16" s="120" t="str">
        <f t="shared" si="0"/>
        <v>-</v>
      </c>
      <c r="AC16" s="40"/>
      <c r="AD16" s="66" t="str">
        <f>IF($Y16&lt;$C$12,$C$12,IF($Y16&gt;$AD15,$AD15,$Y16))</f>
        <v>-</v>
      </c>
      <c r="AE16" s="7" t="str">
        <f t="shared" si="11"/>
        <v>-</v>
      </c>
      <c r="AF16" s="121" t="str">
        <f t="shared" si="12"/>
        <v>-</v>
      </c>
      <c r="AG16" s="106" t="str">
        <f t="shared" si="1"/>
        <v>-</v>
      </c>
      <c r="AH16" s="11"/>
      <c r="AI16" s="66" t="str">
        <f t="shared" si="18"/>
        <v>-</v>
      </c>
      <c r="AJ16" s="5" t="str">
        <f t="shared" si="2"/>
        <v>-</v>
      </c>
      <c r="AK16" s="7" t="str">
        <f t="shared" si="3"/>
        <v>-</v>
      </c>
      <c r="AM16" s="66" t="str">
        <f t="shared" si="13"/>
        <v>-</v>
      </c>
      <c r="AN16" s="7" t="str">
        <f t="shared" si="14"/>
        <v>-</v>
      </c>
      <c r="AP16" s="101"/>
      <c r="AQ16" s="188"/>
      <c r="AR16" s="86" t="s">
        <v>14</v>
      </c>
      <c r="AS16" s="86" t="str">
        <f t="shared" si="4"/>
        <v>-</v>
      </c>
      <c r="AT16" s="99" t="str">
        <f t="shared" si="5"/>
        <v>-</v>
      </c>
      <c r="AU16" s="99" t="str">
        <f t="shared" si="15"/>
        <v>-</v>
      </c>
      <c r="AV16" s="88" t="str">
        <f t="shared" si="6"/>
        <v>-</v>
      </c>
      <c r="AW16" s="87" t="str">
        <f t="shared" si="16"/>
        <v>-</v>
      </c>
      <c r="AX16" s="88" t="str">
        <f t="shared" si="7"/>
        <v>-</v>
      </c>
      <c r="AY16" s="101"/>
    </row>
    <row r="17" spans="2:51" ht="15" thickBot="1" x14ac:dyDescent="0.4">
      <c r="B17" s="15" t="s">
        <v>11</v>
      </c>
      <c r="C17" s="15" t="s">
        <v>36</v>
      </c>
      <c r="D17" s="16" t="s">
        <v>37</v>
      </c>
      <c r="E17" s="16" t="s">
        <v>18</v>
      </c>
      <c r="G17" s="62" t="s">
        <v>29</v>
      </c>
      <c r="H17" s="58"/>
      <c r="I17" s="19"/>
      <c r="J17" s="25"/>
      <c r="K17" s="28"/>
      <c r="L17" s="19"/>
      <c r="M17" s="20"/>
      <c r="N17" s="54"/>
      <c r="O17" s="115" t="s">
        <v>29</v>
      </c>
      <c r="P17" s="30" t="str">
        <f t="shared" si="8"/>
        <v>-</v>
      </c>
      <c r="Q17" s="31" t="str">
        <f t="shared" si="9"/>
        <v>-</v>
      </c>
      <c r="R17" s="32" t="str">
        <f t="shared" si="10"/>
        <v>-</v>
      </c>
      <c r="T17" s="154"/>
      <c r="U17" s="5" t="s">
        <v>15</v>
      </c>
      <c r="V17" s="13"/>
      <c r="W17" s="13"/>
      <c r="X17" s="66" t="str">
        <f t="shared" si="17"/>
        <v>-</v>
      </c>
      <c r="Y17" s="66" t="str">
        <f t="shared" si="19"/>
        <v>-</v>
      </c>
      <c r="Z17" s="106" t="str">
        <f t="shared" si="20"/>
        <v>-</v>
      </c>
      <c r="AB17" s="120" t="str">
        <f t="shared" si="0"/>
        <v>-</v>
      </c>
      <c r="AC17" s="40"/>
      <c r="AD17" s="66" t="str">
        <f>IF($Y17&lt;$C$13,$C$13,IF($Y17&gt;$AD16,$AD16,$Y17))</f>
        <v>-</v>
      </c>
      <c r="AE17" s="7" t="str">
        <f t="shared" si="11"/>
        <v>-</v>
      </c>
      <c r="AF17" s="121" t="str">
        <f t="shared" si="12"/>
        <v>-</v>
      </c>
      <c r="AG17" s="106" t="str">
        <f t="shared" si="1"/>
        <v>-</v>
      </c>
      <c r="AH17" s="11"/>
      <c r="AI17" s="66" t="str">
        <f t="shared" si="18"/>
        <v>-</v>
      </c>
      <c r="AJ17" s="5" t="str">
        <f t="shared" si="2"/>
        <v>-</v>
      </c>
      <c r="AK17" s="7" t="str">
        <f t="shared" si="3"/>
        <v>-</v>
      </c>
      <c r="AM17" s="66" t="str">
        <f t="shared" si="13"/>
        <v>-</v>
      </c>
      <c r="AN17" s="7" t="str">
        <f t="shared" si="14"/>
        <v>-</v>
      </c>
      <c r="AP17" s="101"/>
      <c r="AQ17" s="189"/>
      <c r="AR17" s="86" t="s">
        <v>15</v>
      </c>
      <c r="AS17" s="86" t="str">
        <f t="shared" si="4"/>
        <v>-</v>
      </c>
      <c r="AT17" s="99" t="str">
        <f t="shared" si="5"/>
        <v>-</v>
      </c>
      <c r="AU17" s="99" t="str">
        <f t="shared" si="15"/>
        <v>-</v>
      </c>
      <c r="AV17" s="88" t="str">
        <f t="shared" si="6"/>
        <v>-</v>
      </c>
      <c r="AW17" s="87" t="str">
        <f t="shared" si="16"/>
        <v>-</v>
      </c>
      <c r="AX17" s="88" t="str">
        <f t="shared" si="7"/>
        <v>-</v>
      </c>
      <c r="AY17" s="101"/>
    </row>
    <row r="18" spans="2:51" x14ac:dyDescent="0.35">
      <c r="B18" s="14" t="s">
        <v>13</v>
      </c>
      <c r="C18" s="14">
        <v>50</v>
      </c>
      <c r="D18" s="14">
        <v>55</v>
      </c>
      <c r="E18" s="14">
        <v>60</v>
      </c>
      <c r="G18" s="62" t="s">
        <v>30</v>
      </c>
      <c r="H18" s="58"/>
      <c r="I18" s="19"/>
      <c r="J18" s="25"/>
      <c r="K18" s="28"/>
      <c r="L18" s="19"/>
      <c r="M18" s="20"/>
      <c r="N18" s="54"/>
      <c r="O18" s="115" t="s">
        <v>30</v>
      </c>
      <c r="P18" s="30" t="str">
        <f t="shared" si="8"/>
        <v>-</v>
      </c>
      <c r="Q18" s="31" t="str">
        <f t="shared" si="9"/>
        <v>-</v>
      </c>
      <c r="R18" s="32" t="str">
        <f t="shared" si="10"/>
        <v>-</v>
      </c>
      <c r="T18" s="147" t="s">
        <v>25</v>
      </c>
      <c r="U18" s="4" t="s">
        <v>13</v>
      </c>
      <c r="V18" s="11"/>
      <c r="W18" s="11"/>
      <c r="X18" s="65" t="str">
        <f t="shared" si="17"/>
        <v>-</v>
      </c>
      <c r="Y18" s="65" t="str">
        <f t="shared" si="19"/>
        <v>-</v>
      </c>
      <c r="Z18" s="105" t="str">
        <f t="shared" si="20"/>
        <v>-</v>
      </c>
      <c r="AB18" s="120" t="str">
        <f t="shared" si="0"/>
        <v>-</v>
      </c>
      <c r="AC18" s="40"/>
      <c r="AD18" s="65" t="str">
        <f>IF($Y18&lt;$C$11,$C$11,$Y18)</f>
        <v>-</v>
      </c>
      <c r="AE18" s="6" t="str">
        <f t="shared" si="11"/>
        <v>-</v>
      </c>
      <c r="AF18" s="121" t="str">
        <f t="shared" si="12"/>
        <v>-</v>
      </c>
      <c r="AG18" s="105" t="str">
        <f t="shared" si="1"/>
        <v>-</v>
      </c>
      <c r="AH18" s="11"/>
      <c r="AI18" s="65" t="str">
        <f t="shared" si="18"/>
        <v>-</v>
      </c>
      <c r="AJ18" s="4" t="str">
        <f t="shared" si="2"/>
        <v>-</v>
      </c>
      <c r="AK18" s="6" t="str">
        <f t="shared" si="3"/>
        <v>-</v>
      </c>
      <c r="AM18" s="65" t="str">
        <f t="shared" si="13"/>
        <v>-</v>
      </c>
      <c r="AN18" s="6" t="str">
        <f t="shared" si="14"/>
        <v>-</v>
      </c>
      <c r="AP18" s="101"/>
      <c r="AQ18" s="179" t="s">
        <v>25</v>
      </c>
      <c r="AR18" s="83" t="s">
        <v>13</v>
      </c>
      <c r="AS18" s="83" t="str">
        <f t="shared" si="4"/>
        <v>-</v>
      </c>
      <c r="AT18" s="98" t="str">
        <f t="shared" si="5"/>
        <v>-</v>
      </c>
      <c r="AU18" s="98" t="str">
        <f t="shared" si="15"/>
        <v>-</v>
      </c>
      <c r="AV18" s="85" t="str">
        <f t="shared" si="6"/>
        <v>-</v>
      </c>
      <c r="AW18" s="84" t="str">
        <f t="shared" si="16"/>
        <v>-</v>
      </c>
      <c r="AX18" s="85" t="str">
        <f t="shared" si="7"/>
        <v>-</v>
      </c>
      <c r="AY18" s="101"/>
    </row>
    <row r="19" spans="2:51" x14ac:dyDescent="0.35">
      <c r="B19" s="14" t="s">
        <v>14</v>
      </c>
      <c r="C19" s="14">
        <v>45</v>
      </c>
      <c r="D19" s="14">
        <v>45</v>
      </c>
      <c r="E19" s="14">
        <v>50</v>
      </c>
      <c r="G19" s="62" t="s">
        <v>31</v>
      </c>
      <c r="H19" s="58"/>
      <c r="I19" s="19"/>
      <c r="J19" s="25"/>
      <c r="K19" s="28"/>
      <c r="L19" s="19"/>
      <c r="M19" s="20"/>
      <c r="N19" s="54"/>
      <c r="O19" s="115" t="s">
        <v>31</v>
      </c>
      <c r="P19" s="30" t="str">
        <f t="shared" si="8"/>
        <v>-</v>
      </c>
      <c r="Q19" s="31" t="str">
        <f t="shared" si="9"/>
        <v>-</v>
      </c>
      <c r="R19" s="32" t="str">
        <f t="shared" si="10"/>
        <v>-</v>
      </c>
      <c r="T19" s="148"/>
      <c r="U19" s="4" t="s">
        <v>14</v>
      </c>
      <c r="V19" s="12"/>
      <c r="W19" s="12"/>
      <c r="X19" s="65" t="str">
        <f t="shared" si="17"/>
        <v>-</v>
      </c>
      <c r="Y19" s="65" t="str">
        <f t="shared" si="19"/>
        <v>-</v>
      </c>
      <c r="Z19" s="105" t="str">
        <f t="shared" si="20"/>
        <v>-</v>
      </c>
      <c r="AB19" s="120" t="str">
        <f t="shared" si="0"/>
        <v>-</v>
      </c>
      <c r="AC19" s="40"/>
      <c r="AD19" s="65" t="str">
        <f>IF($Y19&lt;$C$12,$C$12,IF($Y19&gt;$AD18,$AD18,$Y19))</f>
        <v>-</v>
      </c>
      <c r="AE19" s="6" t="str">
        <f t="shared" si="11"/>
        <v>-</v>
      </c>
      <c r="AF19" s="121" t="str">
        <f t="shared" si="12"/>
        <v>-</v>
      </c>
      <c r="AG19" s="105" t="str">
        <f t="shared" si="1"/>
        <v>-</v>
      </c>
      <c r="AH19" s="12"/>
      <c r="AI19" s="65" t="str">
        <f t="shared" si="18"/>
        <v>-</v>
      </c>
      <c r="AJ19" s="4" t="str">
        <f t="shared" si="2"/>
        <v>-</v>
      </c>
      <c r="AK19" s="6" t="str">
        <f t="shared" si="3"/>
        <v>-</v>
      </c>
      <c r="AM19" s="65" t="str">
        <f t="shared" si="13"/>
        <v>-</v>
      </c>
      <c r="AN19" s="6" t="str">
        <f t="shared" si="14"/>
        <v>-</v>
      </c>
      <c r="AP19" s="101"/>
      <c r="AQ19" s="180"/>
      <c r="AR19" s="83" t="s">
        <v>14</v>
      </c>
      <c r="AS19" s="83" t="str">
        <f t="shared" si="4"/>
        <v>-</v>
      </c>
      <c r="AT19" s="98" t="str">
        <f t="shared" si="5"/>
        <v>-</v>
      </c>
      <c r="AU19" s="98" t="str">
        <f t="shared" si="15"/>
        <v>-</v>
      </c>
      <c r="AV19" s="85" t="str">
        <f t="shared" si="6"/>
        <v>-</v>
      </c>
      <c r="AW19" s="84" t="str">
        <f t="shared" si="16"/>
        <v>-</v>
      </c>
      <c r="AX19" s="85" t="str">
        <f t="shared" si="7"/>
        <v>-</v>
      </c>
      <c r="AY19" s="101"/>
    </row>
    <row r="20" spans="2:51" ht="15" thickBot="1" x14ac:dyDescent="0.4">
      <c r="B20" s="14" t="s">
        <v>15</v>
      </c>
      <c r="C20" s="14">
        <v>40</v>
      </c>
      <c r="D20" s="14">
        <v>40</v>
      </c>
      <c r="E20" s="14">
        <v>45</v>
      </c>
      <c r="G20" s="62" t="s">
        <v>32</v>
      </c>
      <c r="H20" s="58"/>
      <c r="I20" s="19"/>
      <c r="J20" s="25"/>
      <c r="K20" s="28"/>
      <c r="L20" s="19"/>
      <c r="M20" s="20"/>
      <c r="N20" s="54"/>
      <c r="O20" s="115" t="s">
        <v>32</v>
      </c>
      <c r="P20" s="30" t="str">
        <f t="shared" si="8"/>
        <v>-</v>
      </c>
      <c r="Q20" s="31" t="str">
        <f t="shared" si="9"/>
        <v>-</v>
      </c>
      <c r="R20" s="32" t="str">
        <f t="shared" si="10"/>
        <v>-</v>
      </c>
      <c r="S20" s="2"/>
      <c r="T20" s="151"/>
      <c r="U20" s="4" t="s">
        <v>15</v>
      </c>
      <c r="V20" s="13"/>
      <c r="W20" s="13"/>
      <c r="X20" s="65" t="str">
        <f t="shared" si="17"/>
        <v>-</v>
      </c>
      <c r="Y20" s="65" t="str">
        <f t="shared" si="19"/>
        <v>-</v>
      </c>
      <c r="Z20" s="105" t="str">
        <f t="shared" si="20"/>
        <v>-</v>
      </c>
      <c r="AB20" s="120" t="str">
        <f t="shared" si="0"/>
        <v>-</v>
      </c>
      <c r="AC20" s="40"/>
      <c r="AD20" s="65" t="str">
        <f>IF($Y20&lt;$C$13,$C$13,IF($Y20&gt;$AD19,$AD19,$Y20))</f>
        <v>-</v>
      </c>
      <c r="AE20" s="6" t="str">
        <f t="shared" si="11"/>
        <v>-</v>
      </c>
      <c r="AF20" s="121" t="str">
        <f t="shared" si="12"/>
        <v>-</v>
      </c>
      <c r="AG20" s="105" t="str">
        <f t="shared" si="1"/>
        <v>-</v>
      </c>
      <c r="AH20" s="13"/>
      <c r="AI20" s="65" t="str">
        <f t="shared" si="18"/>
        <v>-</v>
      </c>
      <c r="AJ20" s="4" t="str">
        <f t="shared" si="2"/>
        <v>-</v>
      </c>
      <c r="AK20" s="6" t="str">
        <f t="shared" si="3"/>
        <v>-</v>
      </c>
      <c r="AM20" s="65" t="str">
        <f t="shared" si="13"/>
        <v>-</v>
      </c>
      <c r="AN20" s="6" t="str">
        <f t="shared" si="14"/>
        <v>-</v>
      </c>
      <c r="AP20" s="101"/>
      <c r="AQ20" s="190"/>
      <c r="AR20" s="83" t="s">
        <v>15</v>
      </c>
      <c r="AS20" s="83" t="str">
        <f t="shared" si="4"/>
        <v>-</v>
      </c>
      <c r="AT20" s="98" t="str">
        <f t="shared" si="5"/>
        <v>-</v>
      </c>
      <c r="AU20" s="98" t="str">
        <f t="shared" si="15"/>
        <v>-</v>
      </c>
      <c r="AV20" s="85" t="str">
        <f t="shared" si="6"/>
        <v>-</v>
      </c>
      <c r="AW20" s="84" t="str">
        <f t="shared" si="16"/>
        <v>-</v>
      </c>
      <c r="AX20" s="85" t="str">
        <f t="shared" si="7"/>
        <v>-</v>
      </c>
      <c r="AY20" s="101"/>
    </row>
    <row r="21" spans="2:51" x14ac:dyDescent="0.35">
      <c r="G21" s="62" t="s">
        <v>47</v>
      </c>
      <c r="H21" s="58"/>
      <c r="I21" s="19"/>
      <c r="J21" s="25"/>
      <c r="K21" s="28"/>
      <c r="L21" s="19"/>
      <c r="M21" s="20"/>
      <c r="N21" s="54"/>
      <c r="O21" s="115" t="s">
        <v>47</v>
      </c>
      <c r="P21" s="30" t="str">
        <f t="shared" si="8"/>
        <v>-</v>
      </c>
      <c r="Q21" s="31" t="str">
        <f t="shared" si="9"/>
        <v>-</v>
      </c>
      <c r="R21" s="32" t="str">
        <f t="shared" si="10"/>
        <v>-</v>
      </c>
      <c r="T21" s="152" t="s">
        <v>33</v>
      </c>
      <c r="U21" s="5" t="s">
        <v>13</v>
      </c>
      <c r="V21" s="11"/>
      <c r="W21" s="11"/>
      <c r="X21" s="66" t="str">
        <f t="shared" si="17"/>
        <v>-</v>
      </c>
      <c r="Y21" s="66" t="str">
        <f t="shared" si="19"/>
        <v>-</v>
      </c>
      <c r="Z21" s="106" t="str">
        <f t="shared" si="20"/>
        <v>-</v>
      </c>
      <c r="AB21" s="120" t="str">
        <f t="shared" si="0"/>
        <v>-</v>
      </c>
      <c r="AC21" s="40"/>
      <c r="AD21" s="66" t="str">
        <f>IF($Y21&lt;$C$11,$C$11,$Y21)</f>
        <v>-</v>
      </c>
      <c r="AE21" s="7" t="str">
        <f t="shared" si="11"/>
        <v>-</v>
      </c>
      <c r="AF21" s="121" t="str">
        <f t="shared" si="12"/>
        <v>-</v>
      </c>
      <c r="AG21" s="106" t="str">
        <f t="shared" si="1"/>
        <v>-</v>
      </c>
      <c r="AH21" s="11"/>
      <c r="AI21" s="66" t="str">
        <f t="shared" si="18"/>
        <v>-</v>
      </c>
      <c r="AJ21" s="5" t="str">
        <f t="shared" si="2"/>
        <v>-</v>
      </c>
      <c r="AK21" s="7" t="str">
        <f t="shared" si="3"/>
        <v>-</v>
      </c>
      <c r="AM21" s="66" t="str">
        <f t="shared" si="13"/>
        <v>-</v>
      </c>
      <c r="AN21" s="7" t="str">
        <f t="shared" si="14"/>
        <v>-</v>
      </c>
      <c r="AP21" s="101"/>
      <c r="AQ21" s="187" t="s">
        <v>33</v>
      </c>
      <c r="AR21" s="86" t="s">
        <v>13</v>
      </c>
      <c r="AS21" s="86" t="str">
        <f t="shared" si="4"/>
        <v>-</v>
      </c>
      <c r="AT21" s="99" t="str">
        <f t="shared" si="5"/>
        <v>-</v>
      </c>
      <c r="AU21" s="99" t="str">
        <f t="shared" si="15"/>
        <v>-</v>
      </c>
      <c r="AV21" s="88" t="str">
        <f t="shared" si="6"/>
        <v>-</v>
      </c>
      <c r="AW21" s="87" t="str">
        <f t="shared" si="16"/>
        <v>-</v>
      </c>
      <c r="AX21" s="88" t="str">
        <f t="shared" si="7"/>
        <v>-</v>
      </c>
      <c r="AY21" s="101"/>
    </row>
    <row r="22" spans="2:51" x14ac:dyDescent="0.35">
      <c r="B22" s="1" t="s">
        <v>43</v>
      </c>
      <c r="G22" s="62" t="s">
        <v>48</v>
      </c>
      <c r="H22" s="58"/>
      <c r="I22" s="19"/>
      <c r="J22" s="25"/>
      <c r="K22" s="28"/>
      <c r="L22" s="19"/>
      <c r="M22" s="20"/>
      <c r="N22" s="54"/>
      <c r="O22" s="115" t="s">
        <v>48</v>
      </c>
      <c r="P22" s="30" t="str">
        <f t="shared" si="8"/>
        <v>-</v>
      </c>
      <c r="Q22" s="31" t="str">
        <f t="shared" si="9"/>
        <v>-</v>
      </c>
      <c r="R22" s="32" t="str">
        <f t="shared" si="10"/>
        <v>-</v>
      </c>
      <c r="T22" s="153"/>
      <c r="U22" s="5" t="s">
        <v>14</v>
      </c>
      <c r="V22" s="12"/>
      <c r="W22" s="12"/>
      <c r="X22" s="66" t="str">
        <f t="shared" si="17"/>
        <v>-</v>
      </c>
      <c r="Y22" s="66" t="str">
        <f t="shared" si="19"/>
        <v>-</v>
      </c>
      <c r="Z22" s="106" t="str">
        <f t="shared" si="20"/>
        <v>-</v>
      </c>
      <c r="AB22" s="120" t="str">
        <f t="shared" si="0"/>
        <v>-</v>
      </c>
      <c r="AC22" s="40"/>
      <c r="AD22" s="66" t="str">
        <f>IF($Y22&lt;$C$12,$C$12,IF($Y22&gt;$AD21,$AD21,$Y22))</f>
        <v>-</v>
      </c>
      <c r="AE22" s="7" t="str">
        <f t="shared" si="11"/>
        <v>-</v>
      </c>
      <c r="AF22" s="121" t="str">
        <f t="shared" si="12"/>
        <v>-</v>
      </c>
      <c r="AG22" s="106" t="str">
        <f t="shared" si="1"/>
        <v>-</v>
      </c>
      <c r="AH22" s="12"/>
      <c r="AI22" s="66" t="str">
        <f t="shared" si="18"/>
        <v>-</v>
      </c>
      <c r="AJ22" s="5" t="str">
        <f t="shared" si="2"/>
        <v>-</v>
      </c>
      <c r="AK22" s="7" t="str">
        <f t="shared" si="3"/>
        <v>-</v>
      </c>
      <c r="AM22" s="66" t="str">
        <f t="shared" si="13"/>
        <v>-</v>
      </c>
      <c r="AN22" s="7" t="str">
        <f t="shared" si="14"/>
        <v>-</v>
      </c>
      <c r="AP22" s="101"/>
      <c r="AQ22" s="188"/>
      <c r="AR22" s="86" t="s">
        <v>14</v>
      </c>
      <c r="AS22" s="86" t="str">
        <f t="shared" si="4"/>
        <v>-</v>
      </c>
      <c r="AT22" s="99" t="str">
        <f t="shared" si="5"/>
        <v>-</v>
      </c>
      <c r="AU22" s="99" t="str">
        <f t="shared" si="15"/>
        <v>-</v>
      </c>
      <c r="AV22" s="88" t="str">
        <f t="shared" si="6"/>
        <v>-</v>
      </c>
      <c r="AW22" s="87" t="str">
        <f t="shared" si="16"/>
        <v>-</v>
      </c>
      <c r="AX22" s="88" t="str">
        <f t="shared" si="7"/>
        <v>-</v>
      </c>
      <c r="AY22" s="101"/>
    </row>
    <row r="23" spans="2:51" ht="15" thickBot="1" x14ac:dyDescent="0.4">
      <c r="G23" s="62" t="s">
        <v>49</v>
      </c>
      <c r="H23" s="58"/>
      <c r="I23" s="19"/>
      <c r="J23" s="25"/>
      <c r="K23" s="28"/>
      <c r="L23" s="19"/>
      <c r="M23" s="20"/>
      <c r="N23" s="54"/>
      <c r="O23" s="115" t="s">
        <v>49</v>
      </c>
      <c r="P23" s="30" t="str">
        <f t="shared" si="8"/>
        <v>-</v>
      </c>
      <c r="Q23" s="31" t="str">
        <f t="shared" si="9"/>
        <v>-</v>
      </c>
      <c r="R23" s="32" t="str">
        <f t="shared" si="10"/>
        <v>-</v>
      </c>
      <c r="T23" s="154"/>
      <c r="U23" s="5" t="s">
        <v>15</v>
      </c>
      <c r="V23" s="13"/>
      <c r="W23" s="13"/>
      <c r="X23" s="66" t="str">
        <f t="shared" si="17"/>
        <v>-</v>
      </c>
      <c r="Y23" s="66" t="str">
        <f t="shared" si="19"/>
        <v>-</v>
      </c>
      <c r="Z23" s="106" t="str">
        <f t="shared" si="20"/>
        <v>-</v>
      </c>
      <c r="AB23" s="120" t="str">
        <f t="shared" si="0"/>
        <v>-</v>
      </c>
      <c r="AC23" s="40"/>
      <c r="AD23" s="66" t="str">
        <f>IF($Y23&lt;$C$13,$C$13,IF($Y23&gt;$AD22,$AD22,$Y23))</f>
        <v>-</v>
      </c>
      <c r="AE23" s="7" t="str">
        <f t="shared" si="11"/>
        <v>-</v>
      </c>
      <c r="AF23" s="121" t="str">
        <f t="shared" si="12"/>
        <v>-</v>
      </c>
      <c r="AG23" s="106" t="str">
        <f t="shared" si="1"/>
        <v>-</v>
      </c>
      <c r="AH23" s="13"/>
      <c r="AI23" s="66" t="str">
        <f t="shared" si="18"/>
        <v>-</v>
      </c>
      <c r="AJ23" s="5" t="str">
        <f t="shared" si="2"/>
        <v>-</v>
      </c>
      <c r="AK23" s="7" t="str">
        <f t="shared" si="3"/>
        <v>-</v>
      </c>
      <c r="AM23" s="66" t="str">
        <f t="shared" si="13"/>
        <v>-</v>
      </c>
      <c r="AN23" s="7" t="str">
        <f t="shared" si="14"/>
        <v>-</v>
      </c>
      <c r="AP23" s="101"/>
      <c r="AQ23" s="189"/>
      <c r="AR23" s="86" t="s">
        <v>15</v>
      </c>
      <c r="AS23" s="86" t="str">
        <f t="shared" si="4"/>
        <v>-</v>
      </c>
      <c r="AT23" s="99" t="str">
        <f t="shared" si="5"/>
        <v>-</v>
      </c>
      <c r="AU23" s="99" t="str">
        <f t="shared" si="15"/>
        <v>-</v>
      </c>
      <c r="AV23" s="88" t="str">
        <f t="shared" si="6"/>
        <v>-</v>
      </c>
      <c r="AW23" s="87" t="str">
        <f t="shared" si="16"/>
        <v>-</v>
      </c>
      <c r="AX23" s="88" t="str">
        <f t="shared" si="7"/>
        <v>-</v>
      </c>
      <c r="AY23" s="101"/>
    </row>
    <row r="24" spans="2:51" x14ac:dyDescent="0.35">
      <c r="B24" s="51">
        <v>3</v>
      </c>
      <c r="C24" t="s">
        <v>45</v>
      </c>
      <c r="G24" s="62" t="s">
        <v>50</v>
      </c>
      <c r="H24" s="58"/>
      <c r="I24" s="19"/>
      <c r="J24" s="25"/>
      <c r="K24" s="28"/>
      <c r="L24" s="19"/>
      <c r="M24" s="20"/>
      <c r="N24" s="54"/>
      <c r="O24" s="115" t="s">
        <v>50</v>
      </c>
      <c r="P24" s="30" t="str">
        <f t="shared" si="8"/>
        <v>-</v>
      </c>
      <c r="Q24" s="31" t="str">
        <f t="shared" si="9"/>
        <v>-</v>
      </c>
      <c r="R24" s="32" t="str">
        <f t="shared" si="10"/>
        <v>-</v>
      </c>
      <c r="T24" s="147" t="s">
        <v>34</v>
      </c>
      <c r="U24" s="4" t="s">
        <v>13</v>
      </c>
      <c r="V24" s="11"/>
      <c r="W24" s="11"/>
      <c r="X24" s="65" t="str">
        <f t="shared" si="17"/>
        <v>-</v>
      </c>
      <c r="Y24" s="65" t="str">
        <f t="shared" si="19"/>
        <v>-</v>
      </c>
      <c r="Z24" s="105" t="str">
        <f t="shared" si="20"/>
        <v>-</v>
      </c>
      <c r="AB24" s="120" t="str">
        <f t="shared" si="0"/>
        <v>-</v>
      </c>
      <c r="AC24" s="40"/>
      <c r="AD24" s="65" t="str">
        <f>IF($Y24&lt;$C$11,$C$11,$Y24)</f>
        <v>-</v>
      </c>
      <c r="AE24" s="6" t="str">
        <f t="shared" si="11"/>
        <v>-</v>
      </c>
      <c r="AF24" s="121" t="str">
        <f t="shared" si="12"/>
        <v>-</v>
      </c>
      <c r="AG24" s="105" t="str">
        <f t="shared" si="1"/>
        <v>-</v>
      </c>
      <c r="AH24" s="79"/>
      <c r="AI24" s="65" t="str">
        <f t="shared" si="18"/>
        <v>-</v>
      </c>
      <c r="AJ24" s="4" t="str">
        <f t="shared" si="2"/>
        <v>-</v>
      </c>
      <c r="AK24" s="6" t="str">
        <f t="shared" si="3"/>
        <v>-</v>
      </c>
      <c r="AM24" s="65" t="str">
        <f t="shared" si="13"/>
        <v>-</v>
      </c>
      <c r="AN24" s="6" t="str">
        <f t="shared" si="14"/>
        <v>-</v>
      </c>
      <c r="AP24" s="101"/>
      <c r="AQ24" s="179" t="s">
        <v>34</v>
      </c>
      <c r="AR24" s="83" t="s">
        <v>13</v>
      </c>
      <c r="AS24" s="83" t="str">
        <f t="shared" si="4"/>
        <v>-</v>
      </c>
      <c r="AT24" s="98" t="str">
        <f t="shared" si="5"/>
        <v>-</v>
      </c>
      <c r="AU24" s="98" t="str">
        <f t="shared" si="15"/>
        <v>-</v>
      </c>
      <c r="AV24" s="85" t="str">
        <f t="shared" si="6"/>
        <v>-</v>
      </c>
      <c r="AW24" s="84" t="str">
        <f t="shared" si="16"/>
        <v>-</v>
      </c>
      <c r="AX24" s="85" t="str">
        <f t="shared" si="7"/>
        <v>-</v>
      </c>
      <c r="AY24" s="101"/>
    </row>
    <row r="25" spans="2:51" ht="15" thickBot="1" x14ac:dyDescent="0.4">
      <c r="G25" s="63" t="s">
        <v>51</v>
      </c>
      <c r="H25" s="59"/>
      <c r="I25" s="21"/>
      <c r="J25" s="26"/>
      <c r="K25" s="29"/>
      <c r="L25" s="21"/>
      <c r="M25" s="22"/>
      <c r="N25" s="54"/>
      <c r="O25" s="116" t="s">
        <v>51</v>
      </c>
      <c r="P25" s="33" t="str">
        <f t="shared" si="8"/>
        <v>-</v>
      </c>
      <c r="Q25" s="34" t="str">
        <f t="shared" si="9"/>
        <v>-</v>
      </c>
      <c r="R25" s="35" t="str">
        <f t="shared" si="10"/>
        <v>-</v>
      </c>
      <c r="T25" s="148"/>
      <c r="U25" s="4" t="s">
        <v>14</v>
      </c>
      <c r="V25" s="12"/>
      <c r="W25" s="12"/>
      <c r="X25" s="65" t="str">
        <f t="shared" si="17"/>
        <v>-</v>
      </c>
      <c r="Y25" s="65" t="str">
        <f t="shared" si="19"/>
        <v>-</v>
      </c>
      <c r="Z25" s="105" t="str">
        <f t="shared" si="20"/>
        <v>-</v>
      </c>
      <c r="AB25" s="120" t="str">
        <f t="shared" si="0"/>
        <v>-</v>
      </c>
      <c r="AC25" s="40"/>
      <c r="AD25" s="65" t="str">
        <f>IF($Y25&lt;$C$12,$C$12,IF($Y25&gt;$AD24,$AD24,$Y25))</f>
        <v>-</v>
      </c>
      <c r="AE25" s="6" t="str">
        <f t="shared" si="11"/>
        <v>-</v>
      </c>
      <c r="AF25" s="121" t="str">
        <f t="shared" si="12"/>
        <v>-</v>
      </c>
      <c r="AG25" s="105" t="str">
        <f t="shared" si="1"/>
        <v>-</v>
      </c>
      <c r="AH25" s="12"/>
      <c r="AI25" s="65" t="str">
        <f t="shared" si="18"/>
        <v>-</v>
      </c>
      <c r="AJ25" s="4" t="str">
        <f t="shared" si="2"/>
        <v>-</v>
      </c>
      <c r="AK25" s="6" t="str">
        <f t="shared" si="3"/>
        <v>-</v>
      </c>
      <c r="AM25" s="65" t="str">
        <f t="shared" si="13"/>
        <v>-</v>
      </c>
      <c r="AN25" s="6" t="str">
        <f t="shared" si="14"/>
        <v>-</v>
      </c>
      <c r="AP25" s="101"/>
      <c r="AQ25" s="180"/>
      <c r="AR25" s="83" t="s">
        <v>14</v>
      </c>
      <c r="AS25" s="83" t="str">
        <f t="shared" si="4"/>
        <v>-</v>
      </c>
      <c r="AT25" s="98" t="str">
        <f t="shared" si="5"/>
        <v>-</v>
      </c>
      <c r="AU25" s="98" t="str">
        <f t="shared" si="15"/>
        <v>-</v>
      </c>
      <c r="AV25" s="85" t="str">
        <f t="shared" si="6"/>
        <v>-</v>
      </c>
      <c r="AW25" s="84" t="str">
        <f t="shared" si="16"/>
        <v>-</v>
      </c>
      <c r="AX25" s="85" t="str">
        <f t="shared" si="7"/>
        <v>-</v>
      </c>
      <c r="AY25" s="101"/>
    </row>
    <row r="26" spans="2:51" ht="15.75" customHeight="1" thickBot="1" x14ac:dyDescent="0.4">
      <c r="B26" s="40"/>
      <c r="G26" s="40"/>
      <c r="H26" s="42"/>
      <c r="I26" s="42"/>
      <c r="J26" s="42"/>
      <c r="K26" s="42"/>
      <c r="L26" s="42"/>
      <c r="M26" s="42"/>
      <c r="N26" s="54"/>
      <c r="O26" s="55"/>
      <c r="Q26" s="40"/>
      <c r="R26" s="2"/>
      <c r="T26" s="149"/>
      <c r="U26" s="8" t="s">
        <v>15</v>
      </c>
      <c r="V26" s="13"/>
      <c r="W26" s="13"/>
      <c r="X26" s="67" t="str">
        <f t="shared" si="17"/>
        <v>-</v>
      </c>
      <c r="Y26" s="67" t="str">
        <f t="shared" si="19"/>
        <v>-</v>
      </c>
      <c r="Z26" s="107" t="str">
        <f t="shared" si="20"/>
        <v>-</v>
      </c>
      <c r="AB26" s="120" t="str">
        <f t="shared" si="0"/>
        <v>-</v>
      </c>
      <c r="AC26" s="40"/>
      <c r="AD26" s="67" t="str">
        <f>IF($Y26&lt;$C$13,$C$13,IF($Y26&gt;$AD25,$AD25,$Y26))</f>
        <v>-</v>
      </c>
      <c r="AE26" s="9" t="str">
        <f t="shared" si="11"/>
        <v>-</v>
      </c>
      <c r="AF26" s="121" t="str">
        <f t="shared" si="12"/>
        <v>-</v>
      </c>
      <c r="AG26" s="107" t="str">
        <f t="shared" si="1"/>
        <v>-</v>
      </c>
      <c r="AH26" s="13"/>
      <c r="AI26" s="67" t="str">
        <f t="shared" si="18"/>
        <v>-</v>
      </c>
      <c r="AJ26" s="8" t="str">
        <f t="shared" si="2"/>
        <v>-</v>
      </c>
      <c r="AK26" s="9" t="str">
        <f t="shared" si="3"/>
        <v>-</v>
      </c>
      <c r="AM26" s="67" t="str">
        <f t="shared" si="13"/>
        <v>-</v>
      </c>
      <c r="AN26" s="9" t="str">
        <f t="shared" si="14"/>
        <v>-</v>
      </c>
      <c r="AP26" s="101"/>
      <c r="AQ26" s="181"/>
      <c r="AR26" s="89" t="s">
        <v>15</v>
      </c>
      <c r="AS26" s="89" t="str">
        <f t="shared" si="4"/>
        <v>-</v>
      </c>
      <c r="AT26" s="100" t="str">
        <f t="shared" si="5"/>
        <v>-</v>
      </c>
      <c r="AU26" s="100" t="str">
        <f t="shared" si="15"/>
        <v>-</v>
      </c>
      <c r="AV26" s="91" t="str">
        <f t="shared" si="6"/>
        <v>-</v>
      </c>
      <c r="AW26" s="90" t="str">
        <f t="shared" si="16"/>
        <v>-</v>
      </c>
      <c r="AX26" s="91" t="str">
        <f t="shared" si="7"/>
        <v>-</v>
      </c>
      <c r="AY26" s="101"/>
    </row>
    <row r="27" spans="2:51" ht="15" thickBot="1" x14ac:dyDescent="0.4">
      <c r="B27" s="70" t="s">
        <v>44</v>
      </c>
      <c r="G27" s="1" t="s">
        <v>74</v>
      </c>
      <c r="N27" s="55"/>
      <c r="O27" s="55"/>
      <c r="P27" s="1" t="s">
        <v>66</v>
      </c>
      <c r="Q27" s="1" t="s">
        <v>65</v>
      </c>
      <c r="AP27" s="101"/>
      <c r="AQ27" s="101"/>
      <c r="AR27" s="101"/>
      <c r="AS27" s="101"/>
      <c r="AT27" s="101"/>
      <c r="AU27" s="101"/>
      <c r="AV27" s="101"/>
      <c r="AW27" s="101"/>
      <c r="AX27" s="101"/>
      <c r="AY27" s="101"/>
    </row>
    <row r="28" spans="2:51" ht="30.75" customHeight="1" thickBot="1" x14ac:dyDescent="0.4">
      <c r="B28" s="41" t="s">
        <v>107</v>
      </c>
      <c r="C28" s="173" t="s">
        <v>46</v>
      </c>
      <c r="D28" s="173"/>
      <c r="E28" s="173"/>
      <c r="G28" s="141" t="s">
        <v>75</v>
      </c>
      <c r="H28" s="164"/>
      <c r="I28" s="164"/>
      <c r="J28" s="164"/>
      <c r="K28" s="164"/>
      <c r="L28" s="164"/>
      <c r="M28" s="142"/>
      <c r="N28" s="55"/>
      <c r="O28" s="55"/>
      <c r="P28" s="69" t="s">
        <v>64</v>
      </c>
      <c r="Q28" s="141" t="s">
        <v>106</v>
      </c>
      <c r="R28" s="142"/>
      <c r="S28" s="77" t="s">
        <v>81</v>
      </c>
      <c r="T28" s="77" t="s">
        <v>81</v>
      </c>
      <c r="U28" s="77" t="s">
        <v>81</v>
      </c>
      <c r="V28" s="77" t="s">
        <v>81</v>
      </c>
      <c r="W28" s="77" t="s">
        <v>81</v>
      </c>
      <c r="X28" s="77" t="s">
        <v>81</v>
      </c>
      <c r="Y28" s="77" t="s">
        <v>81</v>
      </c>
      <c r="Z28" s="77" t="s">
        <v>81</v>
      </c>
      <c r="AA28" s="77" t="s">
        <v>81</v>
      </c>
      <c r="AB28" s="77"/>
      <c r="AC28" s="77"/>
      <c r="AD28" s="175" t="s">
        <v>80</v>
      </c>
      <c r="AE28" s="176"/>
      <c r="AH28" s="1" t="s">
        <v>66</v>
      </c>
      <c r="AI28" s="1" t="s">
        <v>65</v>
      </c>
      <c r="AJ28" s="1"/>
      <c r="AQ28" s="186" t="s">
        <v>94</v>
      </c>
      <c r="AR28" s="186"/>
      <c r="AS28" s="186"/>
      <c r="AT28" s="186"/>
      <c r="AU28" s="186"/>
      <c r="AV28" s="186"/>
      <c r="AW28" s="186"/>
      <c r="AX28" s="186"/>
    </row>
    <row r="29" spans="2:51" ht="30.75" customHeight="1" thickBot="1" x14ac:dyDescent="0.4">
      <c r="C29" s="173"/>
      <c r="D29" s="173"/>
      <c r="E29" s="173"/>
      <c r="G29" s="165" t="str">
        <f>IF(B28="Yes","Note 2: The recommended amenity noise levels have been reduced by 5 dB to give the project amenity noise levels due to other sources of industrial noise being present in the area, as outlined in the NPfI.","Note 2: No other sources of industrial noise are present in the area and are not likely to be in the future.  As such, the recommended amenity noise levels have been taken as the project amenity noise levels, as outlined in the NPfI.")</f>
        <v>Note 2: No other sources of industrial noise are present in the area and are not likely to be in the future.  As such, the recommended amenity noise levels have been taken as the project amenity noise levels, as outlined in the NPfI.</v>
      </c>
      <c r="H29" s="166"/>
      <c r="I29" s="166"/>
      <c r="J29" s="166"/>
      <c r="K29" s="166"/>
      <c r="L29" s="166"/>
      <c r="M29" s="167"/>
      <c r="N29" s="55"/>
      <c r="O29" s="55"/>
      <c r="P29" s="69" t="s">
        <v>105</v>
      </c>
      <c r="Q29" s="141" t="s">
        <v>104</v>
      </c>
      <c r="R29" s="142"/>
      <c r="AD29" s="177"/>
      <c r="AE29" s="178"/>
      <c r="AH29" s="81" t="s">
        <v>79</v>
      </c>
      <c r="AI29" s="141" t="s">
        <v>102</v>
      </c>
      <c r="AJ29" s="164"/>
      <c r="AK29" s="142"/>
      <c r="AL29" s="80"/>
      <c r="AM29" s="80"/>
      <c r="AN29" s="80"/>
      <c r="AO29" s="80"/>
      <c r="AP29" s="80"/>
      <c r="AQ29" s="186"/>
      <c r="AR29" s="186"/>
      <c r="AS29" s="186"/>
      <c r="AT29" s="186"/>
      <c r="AU29" s="186"/>
      <c r="AV29" s="186"/>
      <c r="AW29" s="186"/>
      <c r="AX29" s="186"/>
    </row>
    <row r="30" spans="2:51" ht="30.75" customHeight="1" thickBot="1" x14ac:dyDescent="0.4">
      <c r="B30" s="171" t="s">
        <v>76</v>
      </c>
      <c r="C30" s="171"/>
      <c r="D30" s="171"/>
      <c r="E30" s="171"/>
      <c r="F30" s="172"/>
      <c r="G30" s="168"/>
      <c r="H30" s="169"/>
      <c r="I30" s="169"/>
      <c r="J30" s="169"/>
      <c r="K30" s="169"/>
      <c r="L30" s="169"/>
      <c r="M30" s="170"/>
      <c r="N30" s="55"/>
      <c r="O30" s="55"/>
      <c r="Q30" s="174"/>
      <c r="R30" s="174"/>
      <c r="AD30" s="71"/>
      <c r="AE30" s="71"/>
      <c r="AH30" s="82" t="s">
        <v>82</v>
      </c>
      <c r="AI30" s="168" t="s">
        <v>103</v>
      </c>
      <c r="AJ30" s="169"/>
      <c r="AK30" s="170"/>
      <c r="AL30" s="80"/>
      <c r="AM30" s="80"/>
      <c r="AN30" s="80"/>
      <c r="AO30" s="80"/>
      <c r="AP30" s="80"/>
      <c r="AQ30" s="186"/>
      <c r="AR30" s="186"/>
      <c r="AS30" s="186"/>
      <c r="AT30" s="186"/>
      <c r="AU30" s="186"/>
      <c r="AV30" s="186"/>
      <c r="AW30" s="186"/>
      <c r="AX30" s="186"/>
    </row>
    <row r="31" spans="2:51" ht="30.75" customHeight="1" thickBot="1" x14ac:dyDescent="0.4">
      <c r="G31" s="141" t="s">
        <v>86</v>
      </c>
      <c r="H31" s="164"/>
      <c r="I31" s="164"/>
      <c r="J31" s="164"/>
      <c r="K31" s="164"/>
      <c r="L31" s="164"/>
      <c r="M31" s="142"/>
    </row>
    <row r="32" spans="2:51" ht="15.75" customHeight="1" x14ac:dyDescent="0.35">
      <c r="G32" s="80"/>
      <c r="H32" s="80"/>
      <c r="I32" s="80"/>
      <c r="J32" s="80"/>
      <c r="K32" s="80"/>
      <c r="L32" s="80"/>
      <c r="M32" s="80"/>
      <c r="AG32" s="1" t="s">
        <v>97</v>
      </c>
    </row>
    <row r="33" spans="33:37" x14ac:dyDescent="0.35">
      <c r="AK33" s="40"/>
    </row>
    <row r="34" spans="33:37" x14ac:dyDescent="0.35">
      <c r="AG34" s="122" t="s">
        <v>101</v>
      </c>
      <c r="AH34" s="123">
        <v>55</v>
      </c>
      <c r="AK34" s="113"/>
    </row>
    <row r="35" spans="33:37" ht="15.75" customHeight="1" x14ac:dyDescent="0.35">
      <c r="AG35" s="122" t="s">
        <v>98</v>
      </c>
      <c r="AH35" s="123">
        <v>1</v>
      </c>
      <c r="AK35" s="113"/>
    </row>
    <row r="36" spans="33:37" x14ac:dyDescent="0.35">
      <c r="AI36" s="135" t="str">
        <f>"+3 (for 15min)"</f>
        <v>+3 (for 15min)</v>
      </c>
    </row>
    <row r="37" spans="33:37" x14ac:dyDescent="0.35">
      <c r="AG37" s="122" t="s">
        <v>99</v>
      </c>
      <c r="AH37" s="124">
        <f>10*LOG(10^((AH34-5)/10)/AH35)</f>
        <v>50</v>
      </c>
      <c r="AI37" s="113">
        <f>AH37+3</f>
        <v>53</v>
      </c>
    </row>
    <row r="38" spans="33:37" ht="15.75" customHeight="1" x14ac:dyDescent="0.35">
      <c r="AG38" s="122" t="s">
        <v>100</v>
      </c>
      <c r="AH38" s="124">
        <f>10*LOG(10^((AH34)/10)/AH35)</f>
        <v>55</v>
      </c>
      <c r="AI38" s="113">
        <f>AH38+3</f>
        <v>58</v>
      </c>
    </row>
    <row r="41" spans="33:37" ht="15.75" customHeight="1" x14ac:dyDescent="0.35"/>
  </sheetData>
  <mergeCells count="46">
    <mergeCell ref="AQ24:AQ26"/>
    <mergeCell ref="AT4:AT5"/>
    <mergeCell ref="AU4:AV4"/>
    <mergeCell ref="AW4:AX4"/>
    <mergeCell ref="G31:M31"/>
    <mergeCell ref="AQ28:AX30"/>
    <mergeCell ref="AQ9:AQ11"/>
    <mergeCell ref="AQ12:AQ14"/>
    <mergeCell ref="AQ15:AQ17"/>
    <mergeCell ref="AQ18:AQ20"/>
    <mergeCell ref="AQ21:AQ23"/>
    <mergeCell ref="AM4:AN4"/>
    <mergeCell ref="AM5:AN5"/>
    <mergeCell ref="AQ4:AQ5"/>
    <mergeCell ref="AS4:AS5"/>
    <mergeCell ref="AQ6:AQ8"/>
    <mergeCell ref="G28:M28"/>
    <mergeCell ref="G29:M30"/>
    <mergeCell ref="B30:F30"/>
    <mergeCell ref="AI29:AK29"/>
    <mergeCell ref="AI30:AK30"/>
    <mergeCell ref="C28:E29"/>
    <mergeCell ref="Q30:R30"/>
    <mergeCell ref="AD28:AE29"/>
    <mergeCell ref="Q29:R29"/>
    <mergeCell ref="AR4:AR5"/>
    <mergeCell ref="T24:T26"/>
    <mergeCell ref="T6:T8"/>
    <mergeCell ref="T9:T11"/>
    <mergeCell ref="T12:T14"/>
    <mergeCell ref="T15:T17"/>
    <mergeCell ref="T18:T20"/>
    <mergeCell ref="T21:T23"/>
    <mergeCell ref="AH4:AH5"/>
    <mergeCell ref="AI4:AI5"/>
    <mergeCell ref="AG4:AG5"/>
    <mergeCell ref="V4:V5"/>
    <mergeCell ref="W4:W5"/>
    <mergeCell ref="T4:T5"/>
    <mergeCell ref="U4:U5"/>
    <mergeCell ref="AF1:AF5"/>
    <mergeCell ref="AB1:AB5"/>
    <mergeCell ref="Y4:Z4"/>
    <mergeCell ref="AD4:AD5"/>
    <mergeCell ref="Q28:R28"/>
    <mergeCell ref="X4:X5"/>
  </mergeCells>
  <phoneticPr fontId="22" type="noConversion"/>
  <conditionalFormatting sqref="B28">
    <cfRule type="cellIs" dxfId="13" priority="85" operator="equal">
      <formula>"No"</formula>
    </cfRule>
  </conditionalFormatting>
  <conditionalFormatting sqref="P6:R25">
    <cfRule type="cellIs" dxfId="12" priority="84" operator="notEqual">
      <formula>"-"</formula>
    </cfRule>
  </conditionalFormatting>
  <conditionalFormatting sqref="B24">
    <cfRule type="cellIs" dxfId="11" priority="79" operator="notEqual">
      <formula>3</formula>
    </cfRule>
  </conditionalFormatting>
  <conditionalFormatting sqref="AD6:AD26">
    <cfRule type="expression" dxfId="10" priority="71">
      <formula>$AD6&lt;&gt;$Y6</formula>
    </cfRule>
  </conditionalFormatting>
  <conditionalFormatting sqref="AH18:AH26">
    <cfRule type="cellIs" dxfId="9" priority="44" operator="equal">
      <formula>"Road Traffic Noise"</formula>
    </cfRule>
    <cfRule type="cellIs" dxfId="8" priority="45" operator="equal">
      <formula>"Industrial Noise"</formula>
    </cfRule>
  </conditionalFormatting>
  <conditionalFormatting sqref="AI6:AI26">
    <cfRule type="cellIs" dxfId="7" priority="34" operator="equal">
      <formula>"-15dB (Traffic)"</formula>
    </cfRule>
    <cfRule type="cellIs" dxfId="6" priority="35" operator="equal">
      <formula>"-10dB (Industry)"</formula>
    </cfRule>
  </conditionalFormatting>
  <conditionalFormatting sqref="AV6:AV26">
    <cfRule type="cellIs" dxfId="5" priority="11" operator="equal">
      <formula>0</formula>
    </cfRule>
  </conditionalFormatting>
  <conditionalFormatting sqref="AW6:AW26">
    <cfRule type="expression" dxfId="4" priority="6">
      <formula>$AW6&lt;=$AX6</formula>
    </cfRule>
  </conditionalFormatting>
  <conditionalFormatting sqref="AX6:AX26">
    <cfRule type="expression" dxfId="3" priority="4">
      <formula>$AW6&gt;$AX6</formula>
    </cfRule>
  </conditionalFormatting>
  <conditionalFormatting sqref="AB6:AB26">
    <cfRule type="cellIs" dxfId="2" priority="3" operator="greaterThan">
      <formula>10</formula>
    </cfRule>
  </conditionalFormatting>
  <conditionalFormatting sqref="AH6:AH17">
    <cfRule type="cellIs" dxfId="1" priority="1" operator="equal">
      <formula>"Road Traffic Noise"</formula>
    </cfRule>
    <cfRule type="cellIs" dxfId="0" priority="2" operator="equal">
      <formula>"Industrial Noise"</formula>
    </cfRule>
  </conditionalFormatting>
  <dataValidations count="4">
    <dataValidation type="list" allowBlank="1" showInputMessage="1" showErrorMessage="1" sqref="B28" xr:uid="{00000000-0002-0000-0000-000000000000}">
      <formula1>"Yes,No"</formula1>
    </dataValidation>
    <dataValidation type="list" allowBlank="1" showInputMessage="1" showErrorMessage="1" sqref="V6:V26" xr:uid="{00000000-0002-0000-0000-000001000000}">
      <formula1>$G$6:$G$25</formula1>
    </dataValidation>
    <dataValidation type="list" allowBlank="1" showInputMessage="1" showErrorMessage="1" sqref="W6:W26" xr:uid="{00000000-0002-0000-0000-000002000000}">
      <formula1>$C$17:$E$17</formula1>
    </dataValidation>
    <dataValidation type="list" allowBlank="1" showInputMessage="1" showErrorMessage="1" sqref="AH6:AH26" xr:uid="{00000000-0002-0000-0000-000003000000}">
      <formula1>"Industrial Noise,Road Traffic Noise,No"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NPfI Calculator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Williams</dc:creator>
  <cp:lastModifiedBy>Sean O’Shea</cp:lastModifiedBy>
  <dcterms:created xsi:type="dcterms:W3CDTF">2018-08-30T04:39:05Z</dcterms:created>
  <dcterms:modified xsi:type="dcterms:W3CDTF">2023-02-01T00:41:44Z</dcterms:modified>
</cp:coreProperties>
</file>