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620" tabRatio="865" firstSheet="4" activeTab="4"/>
  </bookViews>
  <sheets>
    <sheet name="Enero" sheetId="4" state="hidden" r:id="rId1"/>
    <sheet name="Febrero" sheetId="5" state="hidden" r:id="rId2"/>
    <sheet name="Marzo" sheetId="17" state="hidden" r:id="rId3"/>
    <sheet name="Abril" sheetId="18" state="hidden" r:id="rId4"/>
    <sheet name="Mayo" sheetId="19" r:id="rId5"/>
    <sheet name="Junio" sheetId="20" r:id="rId6"/>
    <sheet name="Julio" sheetId="21" r:id="rId7"/>
    <sheet name="Agosto" sheetId="22" r:id="rId8"/>
    <sheet name="Septiembre" sheetId="23" r:id="rId9"/>
    <sheet name="Octubre" sheetId="24" r:id="rId10"/>
    <sheet name="Noviembre" sheetId="25" r:id="rId11"/>
    <sheet name="Diciembre" sheetId="15" r:id="rId12"/>
    <sheet name="Nombres de los empleados" sheetId="16" r:id="rId13"/>
  </sheets>
  <definedNames>
    <definedName name="CalendarYear">Enero!$AH$4</definedName>
    <definedName name="ColumnTitle13">NombreDelEmpleado[[#Headers],[Nombres de los empleados]]</definedName>
    <definedName name="Employee_Absence_Title">Enero!$B$1</definedName>
    <definedName name="Key_name">Enero!$B$2</definedName>
    <definedName name="KeyCustom1">Enero!$P$2</definedName>
    <definedName name="KeyCustom1Label">Enero!$Q$2</definedName>
    <definedName name="KeyCustom2">Enero!$U$2</definedName>
    <definedName name="KeyCustom2Label">Enero!$V$2</definedName>
    <definedName name="KeyPersonal">Enero!$G$2</definedName>
    <definedName name="KeyPersonalLabel">Enero!$H$2</definedName>
    <definedName name="KeySick">Enero!$K$2</definedName>
    <definedName name="KeySickLabel">Enero!$L$2</definedName>
    <definedName name="KeyVacation">Enero!$C$2</definedName>
    <definedName name="KeyVacationLabel">Enero!$D$2</definedName>
    <definedName name="MonthName" localSheetId="3">Abril!$B$4</definedName>
    <definedName name="MonthName" localSheetId="7">Agosto!$B$4</definedName>
    <definedName name="MonthName" localSheetId="11">Diciembre!$B$4</definedName>
    <definedName name="MonthName" localSheetId="0">Enero!$B$4</definedName>
    <definedName name="MonthName" localSheetId="1">Febrero!$B$4</definedName>
    <definedName name="MonthName" localSheetId="6">Julio!$B$4</definedName>
    <definedName name="MonthName" localSheetId="5">Junio!$B$4</definedName>
    <definedName name="MonthName" localSheetId="2">Marzo!$B$4</definedName>
    <definedName name="MonthName" localSheetId="4">Mayo!$B$4</definedName>
    <definedName name="MonthName" localSheetId="10">Noviembre!$B$4</definedName>
    <definedName name="MonthName" localSheetId="9">Octubre!$B$4</definedName>
    <definedName name="MonthName" localSheetId="8">Septiembre!$B$4</definedName>
    <definedName name="Title1">Enero[[#Headers],[Nombre del empleado]]</definedName>
    <definedName name="Title10">Octubre[[#Headers],[Nombre del empleado]]</definedName>
    <definedName name="Title11">Noviembre[[#Headers],[Nombre del empleado]]</definedName>
    <definedName name="Title12">Diciembre[[#Headers],[Nombre del empleado]]</definedName>
    <definedName name="Title2">Febrero[[#Headers],[Nombre del empleado]]</definedName>
    <definedName name="Title3">Marzo[[#Headers],[Nombre del empleado]]</definedName>
    <definedName name="Title4">Abril[[#Headers],[Nombre del empleado]]</definedName>
    <definedName name="Title5">Mayo[[#Headers],[Nombre del empleado]]</definedName>
    <definedName name="Title6">Junio[[#Headers],[Nombre del empleado]]</definedName>
    <definedName name="Title7">Julio[[#Headers],[Nombre del empleado]]</definedName>
    <definedName name="Title8">Agosto[[#Headers],[Nombre del empleado]]</definedName>
    <definedName name="Title9">Septiembre[[#Headers],[Nombre del empleado]]</definedName>
    <definedName name="_xlnm.Print_Titles" localSheetId="3">Abril!$4:$6</definedName>
    <definedName name="_xlnm.Print_Titles" localSheetId="7">Agosto!$4:$6</definedName>
    <definedName name="_xlnm.Print_Titles" localSheetId="11">Diciembre!$4:$6</definedName>
    <definedName name="_xlnm.Print_Titles" localSheetId="0">Enero!$4:$6</definedName>
    <definedName name="_xlnm.Print_Titles" localSheetId="1">Febrero!$4:$6</definedName>
    <definedName name="_xlnm.Print_Titles" localSheetId="6">Julio!$4:$6</definedName>
    <definedName name="_xlnm.Print_Titles" localSheetId="5">Junio!$4:$6</definedName>
    <definedName name="_xlnm.Print_Titles" localSheetId="2">Marzo!$4:$6</definedName>
    <definedName name="_xlnm.Print_Titles" localSheetId="4">Mayo!$4:$6</definedName>
    <definedName name="_xlnm.Print_Titles" localSheetId="10">Noviembre!$4:$6</definedName>
    <definedName name="_xlnm.Print_Titles" localSheetId="9">Octubre!$4:$6</definedName>
    <definedName name="_xlnm.Print_Titles" localSheetId="8">Septiembre!$4:$6</definedName>
  </definedNames>
  <calcPr calcId="145621"/>
</workbook>
</file>

<file path=xl/calcChain.xml><?xml version="1.0" encoding="utf-8"?>
<calcChain xmlns="http://schemas.openxmlformats.org/spreadsheetml/2006/main">
  <c r="AG23" i="19" l="1"/>
  <c r="AF23" i="19"/>
  <c r="AE23" i="19"/>
  <c r="AD23" i="19"/>
  <c r="AC23" i="19"/>
  <c r="AB23" i="19"/>
  <c r="AA23" i="19"/>
  <c r="Z23" i="19"/>
  <c r="Y23" i="19"/>
  <c r="X23" i="19"/>
  <c r="W23" i="19"/>
  <c r="V23" i="19"/>
  <c r="U23" i="19"/>
  <c r="T23" i="19"/>
  <c r="S23" i="19"/>
  <c r="R23" i="19"/>
  <c r="Q23" i="19"/>
  <c r="P23" i="19"/>
  <c r="O23" i="19"/>
  <c r="N23" i="19"/>
  <c r="M23" i="19"/>
  <c r="L23" i="19"/>
  <c r="K23" i="19"/>
  <c r="J23" i="19"/>
  <c r="I23" i="19"/>
  <c r="H23" i="19"/>
  <c r="G23" i="19"/>
  <c r="F23" i="19"/>
  <c r="E23" i="19"/>
  <c r="D23" i="19"/>
  <c r="C23" i="19"/>
  <c r="AG14" i="19"/>
  <c r="AF14" i="19"/>
  <c r="AE14" i="19"/>
  <c r="AD14" i="19"/>
  <c r="AC14" i="19"/>
  <c r="AB14" i="19"/>
  <c r="AA14" i="19"/>
  <c r="Z14" i="19"/>
  <c r="Y14" i="19"/>
  <c r="X14" i="19"/>
  <c r="W14" i="19"/>
  <c r="V14" i="19"/>
  <c r="U14" i="19"/>
  <c r="T14" i="19"/>
  <c r="S14" i="19"/>
  <c r="R14" i="19"/>
  <c r="Q14" i="19"/>
  <c r="P14" i="19"/>
  <c r="O14" i="19"/>
  <c r="N14" i="19"/>
  <c r="M14" i="19"/>
  <c r="L14" i="19"/>
  <c r="K14" i="19"/>
  <c r="J14" i="19"/>
  <c r="I14" i="19"/>
  <c r="H14" i="19"/>
  <c r="G14" i="19"/>
  <c r="F14" i="19"/>
  <c r="E14" i="19"/>
  <c r="D14" i="19"/>
  <c r="C14" i="19"/>
  <c r="C5" i="19" l="1"/>
  <c r="C5" i="15" l="1"/>
  <c r="C5" i="25"/>
  <c r="C5" i="24"/>
  <c r="C5" i="23"/>
  <c r="C5" i="22"/>
  <c r="C5" i="21"/>
  <c r="C5" i="20"/>
  <c r="C5" i="18"/>
  <c r="AE5" i="5" l="1"/>
  <c r="AD5" i="5"/>
  <c r="AC5" i="5"/>
  <c r="AB5" i="5"/>
  <c r="AA5" i="5"/>
  <c r="Z5" i="5"/>
  <c r="Y5" i="5"/>
  <c r="X5" i="5"/>
  <c r="W5" i="5"/>
  <c r="V5" i="5"/>
  <c r="U5" i="5"/>
  <c r="T5" i="5"/>
  <c r="S5" i="5"/>
  <c r="R5" i="5"/>
  <c r="Q5" i="5"/>
  <c r="P5" i="5"/>
  <c r="O5" i="5"/>
  <c r="N5" i="5"/>
  <c r="M5" i="5"/>
  <c r="L5" i="5"/>
  <c r="K5" i="5"/>
  <c r="J5" i="5"/>
  <c r="I5" i="5"/>
  <c r="H5" i="5"/>
  <c r="G5" i="5"/>
  <c r="F5" i="5"/>
  <c r="E5" i="5"/>
  <c r="D5" i="5"/>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AF5" i="20"/>
  <c r="AE5" i="20"/>
  <c r="AD5" i="20"/>
  <c r="AC5" i="20"/>
  <c r="AB5" i="20"/>
  <c r="AA5" i="20"/>
  <c r="Z5" i="20"/>
  <c r="Y5" i="20"/>
  <c r="X5" i="20"/>
  <c r="W5" i="20"/>
  <c r="V5" i="20"/>
  <c r="U5" i="20"/>
  <c r="T5" i="20"/>
  <c r="S5" i="20"/>
  <c r="R5" i="20"/>
  <c r="Q5" i="20"/>
  <c r="P5" i="20"/>
  <c r="O5" i="20"/>
  <c r="N5" i="20"/>
  <c r="M5" i="20"/>
  <c r="L5" i="20"/>
  <c r="K5" i="20"/>
  <c r="J5" i="20"/>
  <c r="I5" i="20"/>
  <c r="H5" i="20"/>
  <c r="G5" i="20"/>
  <c r="F5" i="20"/>
  <c r="E5" i="20"/>
  <c r="D5" i="20"/>
  <c r="AG5" i="21"/>
  <c r="AF5" i="21"/>
  <c r="AE5" i="21"/>
  <c r="AD5" i="21"/>
  <c r="AC5" i="21"/>
  <c r="AB5" i="21"/>
  <c r="AA5" i="21"/>
  <c r="Z5" i="21"/>
  <c r="Y5" i="21"/>
  <c r="X5" i="21"/>
  <c r="W5" i="21"/>
  <c r="V5" i="21"/>
  <c r="U5" i="21"/>
  <c r="T5" i="21"/>
  <c r="S5" i="21"/>
  <c r="R5" i="21"/>
  <c r="Q5" i="21"/>
  <c r="P5" i="21"/>
  <c r="O5" i="21"/>
  <c r="N5" i="21"/>
  <c r="M5" i="21"/>
  <c r="L5" i="21"/>
  <c r="K5" i="21"/>
  <c r="J5" i="21"/>
  <c r="I5" i="21"/>
  <c r="H5" i="21"/>
  <c r="G5" i="21"/>
  <c r="F5" i="21"/>
  <c r="E5" i="21"/>
  <c r="D5" i="21"/>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E5" i="22"/>
  <c r="D5" i="22"/>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AG5" i="15"/>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5"/>
  <c r="C5" i="17"/>
  <c r="C5" i="4"/>
  <c r="AH8" i="15"/>
  <c r="AH9" i="15"/>
  <c r="AH10" i="15"/>
  <c r="AH11" i="15"/>
  <c r="AH7" i="15"/>
  <c r="AH8" i="25"/>
  <c r="AH9" i="25"/>
  <c r="AH10" i="25"/>
  <c r="AH11" i="25"/>
  <c r="AH7" i="25"/>
  <c r="AH8" i="24"/>
  <c r="AH9" i="24"/>
  <c r="AH10" i="24"/>
  <c r="AH11" i="24"/>
  <c r="AH7" i="24"/>
  <c r="AH8" i="23"/>
  <c r="AH9" i="23"/>
  <c r="AH10" i="23"/>
  <c r="AH11" i="23"/>
  <c r="AH7" i="23"/>
  <c r="AH8" i="22"/>
  <c r="AH9" i="22"/>
  <c r="AH10" i="22"/>
  <c r="AH11" i="22"/>
  <c r="AH7" i="22"/>
  <c r="AH8" i="21"/>
  <c r="AH9" i="21"/>
  <c r="AH10" i="21"/>
  <c r="AH11" i="21"/>
  <c r="AH7" i="21"/>
  <c r="AH8" i="20"/>
  <c r="AH9" i="20"/>
  <c r="AH10" i="20"/>
  <c r="AH11" i="20"/>
  <c r="AH7" i="20"/>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AH8" i="18"/>
  <c r="AH9" i="18"/>
  <c r="AH10" i="18"/>
  <c r="AH11" i="18"/>
  <c r="AH7" i="18"/>
  <c r="AH8" i="17"/>
  <c r="AH9" i="17"/>
  <c r="AH10" i="17"/>
  <c r="AH11" i="17"/>
  <c r="AH7" i="17"/>
  <c r="AH8" i="5"/>
  <c r="AH9" i="5"/>
  <c r="AH10" i="5"/>
  <c r="AH11" i="5"/>
  <c r="AH7" i="5"/>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AH11" i="4"/>
  <c r="AH10" i="4"/>
  <c r="AH9" i="4"/>
  <c r="AH8" i="4"/>
  <c r="AH7" i="4"/>
  <c r="AH12" i="18" l="1"/>
  <c r="B12" i="23"/>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AH4" i="25"/>
  <c r="B1" i="25"/>
  <c r="AG12" i="24"/>
  <c r="AF12" i="24"/>
  <c r="AE12" i="24"/>
  <c r="AD12" i="24"/>
  <c r="AC12" i="24"/>
  <c r="AB12" i="24"/>
  <c r="AA12" i="24"/>
  <c r="Z12" i="24"/>
  <c r="Y12" i="24"/>
  <c r="X12" i="24"/>
  <c r="W12" i="24"/>
  <c r="V12" i="24"/>
  <c r="U12" i="24"/>
  <c r="T12" i="24"/>
  <c r="S12" i="24"/>
  <c r="R12" i="24"/>
  <c r="Q12" i="24"/>
  <c r="P12" i="24"/>
  <c r="O12" i="24"/>
  <c r="N12" i="24"/>
  <c r="M12" i="24"/>
  <c r="L12" i="24"/>
  <c r="K12" i="24"/>
  <c r="J12" i="24"/>
  <c r="I12" i="24"/>
  <c r="H12" i="24"/>
  <c r="G12" i="24"/>
  <c r="F12" i="24"/>
  <c r="E12" i="24"/>
  <c r="D12" i="24"/>
  <c r="C12" i="24"/>
  <c r="B12" i="24"/>
  <c r="AH4" i="24"/>
  <c r="B1" i="24"/>
  <c r="AG12" i="23"/>
  <c r="AF12" i="23"/>
  <c r="AE12" i="23"/>
  <c r="AD12" i="23"/>
  <c r="AC12" i="23"/>
  <c r="AB12" i="23"/>
  <c r="AA12" i="23"/>
  <c r="Z12" i="23"/>
  <c r="Y12" i="23"/>
  <c r="X12" i="23"/>
  <c r="W12" i="23"/>
  <c r="V12" i="23"/>
  <c r="U12" i="23"/>
  <c r="T12" i="23"/>
  <c r="S12" i="23"/>
  <c r="R12" i="23"/>
  <c r="Q12" i="23"/>
  <c r="P12" i="23"/>
  <c r="O12" i="23"/>
  <c r="N12" i="23"/>
  <c r="M12" i="23"/>
  <c r="L12" i="23"/>
  <c r="K12" i="23"/>
  <c r="J12" i="23"/>
  <c r="I12" i="23"/>
  <c r="H12" i="23"/>
  <c r="G12" i="23"/>
  <c r="F12" i="23"/>
  <c r="E12" i="23"/>
  <c r="D12" i="23"/>
  <c r="C12" i="23"/>
  <c r="AH12" i="23"/>
  <c r="AH4" i="23"/>
  <c r="B1" i="23"/>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B12" i="22"/>
  <c r="AH4" i="22"/>
  <c r="B1" i="22"/>
  <c r="AG12" i="21"/>
  <c r="AF12" i="21"/>
  <c r="AE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B12" i="21"/>
  <c r="AH12" i="21"/>
  <c r="AH4" i="21"/>
  <c r="B1" i="21"/>
  <c r="AG12" i="20"/>
  <c r="AF12" i="20"/>
  <c r="AE12" i="20"/>
  <c r="AD12" i="20"/>
  <c r="AC12" i="20"/>
  <c r="AB12" i="20"/>
  <c r="AA12" i="20"/>
  <c r="Z12" i="20"/>
  <c r="Y12" i="20"/>
  <c r="X12" i="20"/>
  <c r="W12" i="20"/>
  <c r="V12" i="20"/>
  <c r="U12" i="20"/>
  <c r="T12" i="20"/>
  <c r="S12" i="20"/>
  <c r="R12" i="20"/>
  <c r="Q12" i="20"/>
  <c r="P12" i="20"/>
  <c r="O12" i="20"/>
  <c r="N12" i="20"/>
  <c r="M12" i="20"/>
  <c r="L12" i="20"/>
  <c r="K12" i="20"/>
  <c r="J12" i="20"/>
  <c r="I12" i="20"/>
  <c r="H12" i="20"/>
  <c r="G12" i="20"/>
  <c r="F12" i="20"/>
  <c r="E12" i="20"/>
  <c r="D12" i="20"/>
  <c r="C12" i="20"/>
  <c r="B12" i="20"/>
  <c r="AH4" i="20"/>
  <c r="B1" i="20"/>
  <c r="B1" i="19"/>
  <c r="AH4" i="18"/>
  <c r="B1" i="18"/>
  <c r="AG12" i="17"/>
  <c r="AF12" i="17"/>
  <c r="AE12" i="17"/>
  <c r="AD12" i="17"/>
  <c r="AC12" i="17"/>
  <c r="AB12" i="17"/>
  <c r="AA12" i="17"/>
  <c r="Z12" i="17"/>
  <c r="Y12" i="17"/>
  <c r="X12" i="17"/>
  <c r="W12" i="17"/>
  <c r="V12" i="17"/>
  <c r="U12" i="17"/>
  <c r="T12" i="17"/>
  <c r="S12" i="17"/>
  <c r="R12" i="17"/>
  <c r="Q12" i="17"/>
  <c r="P12" i="17"/>
  <c r="O12" i="17"/>
  <c r="N12" i="17"/>
  <c r="M12" i="17"/>
  <c r="L12" i="17"/>
  <c r="K12" i="17"/>
  <c r="J12" i="17"/>
  <c r="I12" i="17"/>
  <c r="H12" i="17"/>
  <c r="G12" i="17"/>
  <c r="F12" i="17"/>
  <c r="E12" i="17"/>
  <c r="D12" i="17"/>
  <c r="C12" i="17"/>
  <c r="B12" i="17"/>
  <c r="AH12" i="17"/>
  <c r="AH4" i="17"/>
  <c r="B1" i="17"/>
  <c r="B1" i="15"/>
  <c r="B1" i="5"/>
  <c r="AH12" i="22" l="1"/>
  <c r="AH12" i="25"/>
  <c r="AH12" i="20"/>
  <c r="AH12" i="24"/>
  <c r="AH4" i="5" l="1"/>
  <c r="AH4" i="15" l="1"/>
  <c r="AG12" i="15" l="1"/>
  <c r="AF12" i="15"/>
  <c r="C12" i="15" l="1"/>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B12" i="15" l="1"/>
  <c r="B12" i="5"/>
  <c r="B12" i="4"/>
  <c r="AE12" i="5" l="1"/>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AH12" i="5" l="1"/>
  <c r="AH12" i="4" l="1"/>
  <c r="AH12" i="15"/>
</calcChain>
</file>

<file path=xl/sharedStrings.xml><?xml version="1.0" encoding="utf-8"?>
<sst xmlns="http://schemas.openxmlformats.org/spreadsheetml/2006/main" count="1115" uniqueCount="78">
  <si>
    <t>Claves de los tipos de ausencia</t>
  </si>
  <si>
    <t>Enero</t>
  </si>
  <si>
    <t>Nombre del empleado</t>
  </si>
  <si>
    <t>V</t>
  </si>
  <si>
    <t>1</t>
  </si>
  <si>
    <t>Vacaciones</t>
  </si>
  <si>
    <t>2</t>
  </si>
  <si>
    <t>3</t>
  </si>
  <si>
    <t>P</t>
  </si>
  <si>
    <t>4</t>
  </si>
  <si>
    <t>E</t>
  </si>
  <si>
    <t>5</t>
  </si>
  <si>
    <t>Personal</t>
  </si>
  <si>
    <t>6</t>
  </si>
  <si>
    <t>7</t>
  </si>
  <si>
    <t>8</t>
  </si>
  <si>
    <t>9</t>
  </si>
  <si>
    <t>Enfermedad</t>
  </si>
  <si>
    <t>10</t>
  </si>
  <si>
    <t>11</t>
  </si>
  <si>
    <t>12</t>
  </si>
  <si>
    <t>Personalizado 1</t>
  </si>
  <si>
    <t>13</t>
  </si>
  <si>
    <t>14</t>
  </si>
  <si>
    <t>15</t>
  </si>
  <si>
    <t>16</t>
  </si>
  <si>
    <t>Personalizado 2</t>
  </si>
  <si>
    <t>17</t>
  </si>
  <si>
    <t>18</t>
  </si>
  <si>
    <t>19</t>
  </si>
  <si>
    <t>20</t>
  </si>
  <si>
    <t>21</t>
  </si>
  <si>
    <t>22</t>
  </si>
  <si>
    <t>23</t>
  </si>
  <si>
    <t>24</t>
  </si>
  <si>
    <t>25</t>
  </si>
  <si>
    <t>26</t>
  </si>
  <si>
    <t>27</t>
  </si>
  <si>
    <t>28</t>
  </si>
  <si>
    <t>29</t>
  </si>
  <si>
    <t>30</t>
  </si>
  <si>
    <t>31</t>
  </si>
  <si>
    <t>Escriba el año:</t>
  </si>
  <si>
    <t>Número total de días</t>
  </si>
  <si>
    <t>Febrero</t>
  </si>
  <si>
    <t xml:space="preserve"> </t>
  </si>
  <si>
    <t xml:space="preserve">  </t>
  </si>
  <si>
    <t>Marzo</t>
  </si>
  <si>
    <t>Abril</t>
  </si>
  <si>
    <t>Mayo</t>
  </si>
  <si>
    <t>Junio</t>
  </si>
  <si>
    <t>Julio</t>
  </si>
  <si>
    <t>Agosto</t>
  </si>
  <si>
    <t>Septiembre</t>
  </si>
  <si>
    <t>Octubre</t>
  </si>
  <si>
    <t>Noviembre</t>
  </si>
  <si>
    <t>Diciembre</t>
  </si>
  <si>
    <t>Nombres de los empleados</t>
  </si>
  <si>
    <t>Fechas de teletrabajo</t>
  </si>
  <si>
    <t>Roger Barrios</t>
  </si>
  <si>
    <t>Sergio Córdoba</t>
  </si>
  <si>
    <t>Julian Hernández</t>
  </si>
  <si>
    <t>Liliana Barbosa</t>
  </si>
  <si>
    <t>Osiris Matiz</t>
  </si>
  <si>
    <t>Oficina</t>
  </si>
  <si>
    <t>Casa</t>
  </si>
  <si>
    <t>O</t>
  </si>
  <si>
    <t>C</t>
  </si>
  <si>
    <t>Disponible</t>
  </si>
  <si>
    <t>Festivo</t>
  </si>
  <si>
    <t>Días de teletrabajo</t>
  </si>
  <si>
    <t>Festivo Colombia</t>
  </si>
  <si>
    <t>Entrada 7:00 a.m.</t>
  </si>
  <si>
    <t>Entrada 9:00 a.m.</t>
  </si>
  <si>
    <t>Festivo Ecuador</t>
  </si>
  <si>
    <t>Festivo México</t>
  </si>
  <si>
    <t>Festivo Brasil</t>
  </si>
  <si>
    <t>Programación Infraestructura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</si>
</sst>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
      <u/>
      <sz val="11"/>
      <color theme="1"/>
      <name val="Calibri"/>
      <family val="2"/>
      <scheme val="minor"/>
    </font>
    <font>
      <sz val="11"/>
      <color theme="1"/>
      <name val="Calibri"/>
      <scheme val="minor"/>
    </font>
    <font>
      <sz val="11"/>
      <color theme="7" tint="0.59999389629810485"/>
      <name val="Calibri"/>
      <family val="2"/>
      <scheme val="minor"/>
    </font>
  </fonts>
  <fills count="27">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
      <patternFill patternType="solid">
        <fgColor rgb="FF00B050"/>
        <bgColor indexed="64"/>
      </patternFill>
    </fill>
    <fill>
      <patternFill patternType="solid">
        <fgColor rgb="FF7030A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4" tint="0.39997558519241921"/>
        <bgColor indexed="64"/>
      </patternFill>
    </fill>
    <fill>
      <patternFill patternType="solid">
        <fgColor theme="6" tint="-0.24997711111789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8">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cellStyleXfs>
  <cellXfs count="77">
    <xf numFmtId="0" fontId="0" fillId="0" borderId="0" xfId="0">
      <alignment horizontal="left" vertical="center"/>
    </xf>
    <xf numFmtId="0" fontId="0" fillId="0" borderId="0" xfId="0" applyAlignment="1" applyProtection="1">
      <alignment horizontal="center" vertical="center"/>
    </xf>
    <xf numFmtId="0" fontId="0" fillId="0" borderId="0" xfId="0" applyFont="1" applyFill="1" applyBorder="1" applyAlignment="1" applyProtection="1">
      <alignment horizontal="center" vertical="center"/>
    </xf>
    <xf numFmtId="0" fontId="2" fillId="15" borderId="0" xfId="12" applyAlignment="1" applyProtection="1">
      <alignment horizontal="center" vertical="center"/>
    </xf>
    <xf numFmtId="0" fontId="2" fillId="10" borderId="0" xfId="19" applyAlignment="1" applyProtection="1">
      <alignment horizontal="center" vertical="center"/>
    </xf>
    <xf numFmtId="0" fontId="2" fillId="13" borderId="0" xfId="23" applyFont="1" applyAlignment="1" applyProtection="1">
      <alignment horizontal="center" vertical="center"/>
    </xf>
    <xf numFmtId="164" fontId="2" fillId="9" borderId="0" xfId="8" applyNumberFormat="1" applyFont="1" applyAlignment="1" applyProtection="1">
      <alignment horizontal="center" vertical="center"/>
    </xf>
    <xf numFmtId="164" fontId="2" fillId="14" borderId="0" xfId="24" applyNumberFormat="1" applyFont="1" applyAlignment="1" applyProtection="1">
      <alignment horizontal="center" vertical="center"/>
    </xf>
    <xf numFmtId="0" fontId="1" fillId="0" borderId="0" xfId="26" applyFill="1" applyBorder="1">
      <alignment horizontal="left" vertical="center" wrapText="1" indent="2"/>
    </xf>
    <xf numFmtId="1" fontId="1" fillId="0" borderId="0" xfId="25" applyFill="1" applyBorder="1" applyProtection="1">
      <alignment horizontal="center" vertical="center"/>
    </xf>
    <xf numFmtId="0" fontId="0" fillId="0" borderId="0" xfId="0" applyProtection="1">
      <alignment horizontal="left" vertical="center"/>
    </xf>
    <xf numFmtId="0" fontId="6" fillId="2" borderId="0" xfId="3" applyProtection="1">
      <alignment horizontal="center" vertical="center"/>
    </xf>
    <xf numFmtId="164" fontId="0" fillId="0" borderId="0" xfId="0" applyNumberFormat="1" applyFont="1" applyFill="1" applyBorder="1" applyAlignment="1" applyProtection="1">
      <alignment horizontal="center" vertical="center"/>
    </xf>
    <xf numFmtId="0" fontId="7" fillId="0" borderId="0" xfId="1" applyAlignment="1" applyProtection="1">
      <alignment vertical="top"/>
    </xf>
    <xf numFmtId="0" fontId="1" fillId="2" borderId="0" xfId="21" applyBorder="1" applyAlignment="1" applyProtection="1">
      <alignment horizontal="left" vertical="center" indent="1"/>
    </xf>
    <xf numFmtId="0" fontId="0" fillId="0" borderId="0" xfId="21" applyFont="1" applyFill="1" applyBorder="1" applyAlignment="1" applyProtection="1">
      <alignment horizontal="center" vertical="center"/>
    </xf>
    <xf numFmtId="0" fontId="1" fillId="0" borderId="0" xfId="26" applyFill="1" applyBorder="1" applyProtection="1">
      <alignment horizontal="left" vertical="center" wrapText="1" indent="2"/>
    </xf>
    <xf numFmtId="0" fontId="2" fillId="20" borderId="0" xfId="4" applyProtection="1">
      <alignment horizontal="right" vertical="center" indent="1"/>
    </xf>
    <xf numFmtId="0" fontId="8" fillId="0" borderId="0" xfId="27" applyProtection="1">
      <alignment horizontal="center"/>
    </xf>
    <xf numFmtId="0" fontId="0" fillId="0" borderId="0" xfId="0" applyFont="1" applyFill="1" applyBorder="1" applyAlignment="1" applyProtection="1">
      <alignment horizontal="left" vertical="center" indent="1"/>
    </xf>
    <xf numFmtId="0" fontId="7" fillId="0" borderId="0" xfId="1">
      <alignment vertical="top"/>
    </xf>
    <xf numFmtId="0" fontId="9" fillId="0" borderId="0" xfId="0" applyFont="1" applyProtection="1">
      <alignment horizontal="left" vertical="center"/>
    </xf>
    <xf numFmtId="0" fontId="9" fillId="0" borderId="0" xfId="0" applyFont="1">
      <alignment horizontal="left" vertical="center"/>
    </xf>
    <xf numFmtId="0" fontId="0" fillId="0" borderId="0" xfId="0" applyFont="1" applyAlignment="1" applyProtection="1">
      <alignment horizontal="left" vertical="center" wrapText="1"/>
    </xf>
    <xf numFmtId="0" fontId="0" fillId="0" borderId="0" xfId="26" applyFont="1">
      <alignment horizontal="left" vertical="center" wrapText="1" indent="2"/>
    </xf>
    <xf numFmtId="0" fontId="0" fillId="0" borderId="1" xfId="0" applyBorder="1" applyAlignment="1" applyProtection="1">
      <alignment horizontal="center" vertical="center"/>
    </xf>
    <xf numFmtId="0" fontId="0" fillId="0" borderId="2" xfId="0" applyBorder="1" applyAlignment="1" applyProtection="1">
      <alignment horizontal="center" vertical="center"/>
    </xf>
    <xf numFmtId="0" fontId="0" fillId="0" borderId="3" xfId="0" applyBorder="1" applyAlignment="1" applyProtection="1">
      <alignment horizontal="center" vertical="center"/>
    </xf>
    <xf numFmtId="0" fontId="0" fillId="0" borderId="4"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0" borderId="4" xfId="0" applyBorder="1" applyProtection="1">
      <alignment horizontal="left" vertical="center"/>
    </xf>
    <xf numFmtId="164" fontId="0" fillId="0" borderId="6" xfId="0" applyNumberFormat="1" applyFont="1" applyFill="1" applyBorder="1" applyAlignment="1" applyProtection="1">
      <alignment horizontal="center" vertical="center"/>
    </xf>
    <xf numFmtId="164" fontId="0" fillId="0" borderId="7" xfId="0" applyNumberFormat="1" applyFont="1" applyFill="1" applyBorder="1" applyAlignment="1" applyProtection="1">
      <alignment horizontal="center" vertical="center"/>
    </xf>
    <xf numFmtId="164" fontId="0" fillId="0" borderId="8" xfId="0" applyNumberFormat="1" applyFont="1" applyFill="1" applyBorder="1" applyAlignment="1" applyProtection="1">
      <alignment horizontal="center" vertical="center"/>
    </xf>
    <xf numFmtId="0" fontId="0" fillId="0" borderId="9" xfId="0"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Border="1" applyProtection="1">
      <alignment horizontal="left" vertical="center"/>
    </xf>
    <xf numFmtId="0" fontId="10" fillId="0" borderId="0" xfId="0" applyFont="1" applyFill="1" applyBorder="1" applyAlignment="1" applyProtection="1">
      <alignment horizontal="left" vertical="center" indent="1"/>
    </xf>
    <xf numFmtId="164" fontId="10" fillId="0" borderId="6" xfId="0" applyNumberFormat="1" applyFont="1" applyFill="1" applyBorder="1" applyAlignment="1" applyProtection="1">
      <alignment horizontal="center" vertical="center"/>
    </xf>
    <xf numFmtId="164" fontId="10" fillId="0" borderId="8" xfId="0" applyNumberFormat="1" applyFont="1" applyFill="1" applyBorder="1" applyAlignment="1" applyProtection="1">
      <alignment horizontal="center" vertical="center"/>
    </xf>
    <xf numFmtId="164" fontId="10" fillId="0" borderId="0" xfId="0" applyNumberFormat="1" applyFont="1" applyFill="1" applyBorder="1" applyAlignment="1" applyProtection="1">
      <alignment horizontal="center" vertical="center"/>
    </xf>
    <xf numFmtId="164" fontId="10" fillId="0" borderId="7" xfId="0" applyNumberFormat="1" applyFont="1" applyFill="1" applyBorder="1" applyAlignment="1" applyProtection="1">
      <alignment horizontal="center" vertical="center"/>
    </xf>
    <xf numFmtId="164" fontId="10" fillId="0" borderId="11" xfId="0" applyNumberFormat="1" applyFont="1" applyFill="1" applyBorder="1" applyAlignment="1" applyProtection="1">
      <alignment horizontal="center" vertical="center"/>
    </xf>
    <xf numFmtId="0" fontId="6" fillId="2" borderId="0" xfId="3" applyProtection="1">
      <alignment horizontal="center" vertical="center"/>
    </xf>
    <xf numFmtId="0" fontId="0" fillId="21" borderId="0" xfId="0" applyFont="1" applyFill="1" applyBorder="1" applyAlignment="1" applyProtection="1">
      <alignment horizontal="center" vertical="center"/>
    </xf>
    <xf numFmtId="0" fontId="0" fillId="21" borderId="4" xfId="0" applyFont="1" applyFill="1" applyBorder="1" applyAlignment="1" applyProtection="1">
      <alignment horizontal="center" vertical="center"/>
    </xf>
    <xf numFmtId="0" fontId="0" fillId="21" borderId="5" xfId="0" applyFont="1" applyFill="1" applyBorder="1" applyAlignment="1" applyProtection="1">
      <alignment horizontal="center" vertical="center"/>
    </xf>
    <xf numFmtId="0" fontId="0" fillId="21" borderId="2" xfId="0" applyFont="1" applyFill="1" applyBorder="1" applyAlignment="1" applyProtection="1">
      <alignment horizontal="center" vertical="center"/>
    </xf>
    <xf numFmtId="0" fontId="0" fillId="21" borderId="3" xfId="0" applyFont="1" applyFill="1" applyBorder="1" applyAlignment="1" applyProtection="1">
      <alignment horizontal="center" vertical="center"/>
    </xf>
    <xf numFmtId="0" fontId="0" fillId="21" borderId="10" xfId="0" applyFont="1" applyFill="1" applyBorder="1" applyAlignment="1" applyProtection="1">
      <alignment horizontal="center" vertical="center"/>
    </xf>
    <xf numFmtId="0" fontId="0" fillId="22" borderId="1" xfId="0" applyFill="1" applyBorder="1" applyAlignment="1" applyProtection="1">
      <alignment horizontal="center" vertical="center"/>
    </xf>
    <xf numFmtId="0" fontId="0" fillId="22" borderId="4" xfId="0" applyFont="1" applyFill="1" applyBorder="1" applyAlignment="1" applyProtection="1">
      <alignment horizontal="center" vertical="center"/>
    </xf>
    <xf numFmtId="164" fontId="0" fillId="22" borderId="6" xfId="0" applyNumberFormat="1" applyFont="1" applyFill="1" applyBorder="1" applyAlignment="1" applyProtection="1">
      <alignment horizontal="center" vertical="center"/>
    </xf>
    <xf numFmtId="0" fontId="0" fillId="22" borderId="1" xfId="0" applyFont="1" applyFill="1" applyBorder="1" applyAlignment="1" applyProtection="1">
      <alignment horizontal="center" vertical="center"/>
    </xf>
    <xf numFmtId="0" fontId="0" fillId="22" borderId="2" xfId="0" applyFill="1" applyBorder="1" applyAlignment="1" applyProtection="1">
      <alignment horizontal="center" vertical="center"/>
    </xf>
    <xf numFmtId="0" fontId="0" fillId="22" borderId="0" xfId="0" applyFont="1" applyFill="1" applyBorder="1" applyAlignment="1" applyProtection="1">
      <alignment horizontal="center" vertical="center"/>
    </xf>
    <xf numFmtId="164" fontId="10" fillId="22" borderId="7" xfId="0" applyNumberFormat="1" applyFont="1" applyFill="1" applyBorder="1" applyAlignment="1" applyProtection="1">
      <alignment horizontal="center" vertical="center"/>
    </xf>
    <xf numFmtId="164" fontId="10" fillId="22" borderId="6" xfId="0" applyNumberFormat="1" applyFont="1" applyFill="1" applyBorder="1" applyAlignment="1" applyProtection="1">
      <alignment horizontal="center" vertical="center"/>
    </xf>
    <xf numFmtId="0" fontId="0" fillId="22" borderId="0" xfId="0" applyFill="1" applyProtection="1">
      <alignment horizontal="left" vertical="center"/>
    </xf>
    <xf numFmtId="0" fontId="6" fillId="2" borderId="0" xfId="3" applyProtection="1">
      <alignment horizontal="center" vertical="center"/>
    </xf>
    <xf numFmtId="0" fontId="1" fillId="2" borderId="0" xfId="21" applyAlignment="1" applyProtection="1">
      <alignment horizontal="left" vertical="center"/>
    </xf>
    <xf numFmtId="0" fontId="0" fillId="2" borderId="0" xfId="21" applyFont="1" applyAlignment="1" applyProtection="1">
      <alignment horizontal="left" vertical="center"/>
    </xf>
    <xf numFmtId="0" fontId="0" fillId="0" borderId="7" xfId="0" applyFont="1" applyFill="1" applyBorder="1" applyAlignment="1" applyProtection="1">
      <alignment horizontal="center" vertical="center"/>
    </xf>
    <xf numFmtId="0" fontId="0" fillId="0" borderId="8" xfId="0" applyFont="1" applyFill="1" applyBorder="1" applyAlignment="1" applyProtection="1">
      <alignment horizontal="center" vertical="center"/>
    </xf>
    <xf numFmtId="0" fontId="0" fillId="0" borderId="6" xfId="0" applyFont="1" applyFill="1" applyBorder="1" applyAlignment="1" applyProtection="1">
      <alignment horizontal="center" vertical="center"/>
    </xf>
    <xf numFmtId="0" fontId="0" fillId="2" borderId="0" xfId="21" applyFont="1" applyAlignment="1" applyProtection="1">
      <alignment vertical="center"/>
    </xf>
    <xf numFmtId="0" fontId="1" fillId="2" borderId="0" xfId="21" applyAlignment="1" applyProtection="1">
      <alignment vertical="center"/>
    </xf>
    <xf numFmtId="0" fontId="0" fillId="23" borderId="5" xfId="0" applyFont="1" applyFill="1" applyBorder="1" applyAlignment="1" applyProtection="1">
      <alignment horizontal="center" vertical="center"/>
    </xf>
    <xf numFmtId="0" fontId="0" fillId="23" borderId="8" xfId="0" applyFont="1" applyFill="1" applyBorder="1" applyAlignment="1" applyProtection="1">
      <alignment horizontal="center" vertical="center"/>
    </xf>
    <xf numFmtId="0" fontId="0" fillId="24" borderId="0" xfId="0" applyFill="1" applyProtection="1">
      <alignment horizontal="left" vertical="center"/>
    </xf>
    <xf numFmtId="0" fontId="11" fillId="25" borderId="0" xfId="0" applyFont="1" applyFill="1" applyProtection="1">
      <alignment horizontal="left" vertical="center"/>
    </xf>
    <xf numFmtId="0" fontId="0" fillId="25" borderId="3" xfId="0" applyFill="1" applyBorder="1" applyAlignment="1" applyProtection="1">
      <alignment horizontal="center" vertical="center"/>
    </xf>
    <xf numFmtId="0" fontId="0" fillId="25" borderId="5" xfId="0" applyFont="1" applyFill="1" applyBorder="1" applyAlignment="1" applyProtection="1">
      <alignment horizontal="center" vertical="center"/>
    </xf>
    <xf numFmtId="0" fontId="0" fillId="0" borderId="4" xfId="0" applyFill="1" applyBorder="1" applyProtection="1">
      <alignment horizontal="left" vertical="center"/>
    </xf>
    <xf numFmtId="0" fontId="0" fillId="24" borderId="3" xfId="0" applyFill="1" applyBorder="1" applyAlignment="1" applyProtection="1">
      <alignment horizontal="center" vertical="center"/>
    </xf>
    <xf numFmtId="0" fontId="0" fillId="24" borderId="5" xfId="0" applyFont="1" applyFill="1" applyBorder="1" applyAlignment="1" applyProtection="1">
      <alignment horizontal="center" vertical="center"/>
    </xf>
    <xf numFmtId="0" fontId="0" fillId="26" borderId="0" xfId="0" applyFill="1" applyProtection="1">
      <alignment horizontal="left" vertical="center"/>
    </xf>
  </cellXfs>
  <cellStyles count="28">
    <cellStyle name="20% - Énfasis1" xfId="15" builtinId="30" customBuiltin="1"/>
    <cellStyle name="20% - Énfasis3" xfId="21" builtinId="38" customBuiltin="1"/>
    <cellStyle name="20% - Énfasis4" xfId="7" builtinId="42" customBuiltin="1"/>
    <cellStyle name="20% - Énfasis6" xfId="11" builtinId="50" customBuiltin="1"/>
    <cellStyle name="40% - Énfasis1" xfId="16" builtinId="31" customBuiltin="1"/>
    <cellStyle name="40% - Énfasis2" xfId="19" builtinId="35" customBuiltin="1"/>
    <cellStyle name="40% - Énfasis3" xfId="22" builtinId="39" customBuiltin="1"/>
    <cellStyle name="40% - Énfasis4" xfId="8" builtinId="43" customBuiltin="1"/>
    <cellStyle name="40% - Énfasis5" xfId="24" builtinId="47" customBuiltin="1"/>
    <cellStyle name="40% - Énfasis6" xfId="12" builtinId="51" customBuiltin="1"/>
    <cellStyle name="60% - Énfasis1" xfId="17" builtinId="32" customBuiltin="1"/>
    <cellStyle name="60% - Énfasis3" xfId="23" builtinId="40" customBuiltin="1"/>
    <cellStyle name="60% - Énfasis4" xfId="9" builtinId="44" customBuiltin="1"/>
    <cellStyle name="60% - Énfasis6" xfId="13" builtinId="52" customBuiltin="1"/>
    <cellStyle name="Empleado" xfId="26"/>
    <cellStyle name="Encabezado 4" xfId="5" builtinId="19" customBuiltin="1"/>
    <cellStyle name="Énfasis1" xfId="14" builtinId="29" customBuiltin="1"/>
    <cellStyle name="Énfasis2" xfId="18" builtinId="33" customBuiltin="1"/>
    <cellStyle name="Énfasis3" xfId="20" builtinId="37" customBuiltin="1"/>
    <cellStyle name="Énfasis4" xfId="6" builtinId="41" customBuiltin="1"/>
    <cellStyle name="Énfasis6" xfId="10" builtinId="49" customBuiltin="1"/>
    <cellStyle name="Etiqueta" xfId="27"/>
    <cellStyle name="Normal" xfId="0" builtinId="0" customBuiltin="1"/>
    <cellStyle name="Título" xfId="1" builtinId="15" customBuiltin="1"/>
    <cellStyle name="Título 1" xfId="2" builtinId="16" customBuiltin="1"/>
    <cellStyle name="Título 2" xfId="3" builtinId="17" customBuiltin="1"/>
    <cellStyle name="Título 3" xfId="4" builtinId="18" customBuiltin="1"/>
    <cellStyle name="Total" xfId="25" builtinId="25" customBuiltin="1"/>
  </cellStyles>
  <dxfs count="1078">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none">
          <fgColor indexed="64"/>
          <bgColor auto="1"/>
        </patternFill>
      </fill>
      <border diagonalUp="0" diagonalDown="0" outline="0">
        <left style="medium">
          <color indexed="64"/>
        </left>
        <right/>
        <top/>
        <bottom/>
      </border>
      <protection locked="1" hidden="0"/>
    </dxf>
    <dxf>
      <protection locked="1" hidden="0"/>
    </dxf>
    <dxf>
      <numFmt numFmtId="0" formatCode="General"/>
      <fill>
        <patternFill patternType="none">
          <fgColor indexed="64"/>
          <bgColor indexed="65"/>
        </patternFill>
      </fill>
      <border outline="0">
        <right style="medium">
          <color indexed="64"/>
        </right>
      </border>
      <protection locked="1" hidden="0"/>
    </dxf>
    <dxf>
      <fill>
        <patternFill patternType="none">
          <fgColor indexed="64"/>
          <bgColor auto="1"/>
        </patternFill>
      </fill>
      <border diagonalUp="0" diagonalDown="0" outline="0">
        <left style="medium">
          <color indexed="64"/>
        </left>
        <right/>
        <top/>
        <bottom/>
      </border>
      <protection locked="1" hidden="0"/>
    </dxf>
    <dxf>
      <protection locked="1" hidden="0"/>
    </dxf>
    <dxf>
      <numFmt numFmtId="0" formatCode="General"/>
      <fill>
        <patternFill patternType="none">
          <fgColor indexed="64"/>
          <bgColor indexed="65"/>
        </patternFill>
      </fill>
      <border outline="0">
        <right style="medium">
          <color indexed="64"/>
        </right>
      </border>
      <protection locked="1" hidden="0"/>
    </dxf>
    <dxf>
      <fill>
        <patternFill patternType="solid">
          <fgColor indexed="64"/>
          <bgColor theme="5" tint="0.39997558519241921"/>
        </patternFill>
      </fill>
      <border diagonalUp="0" diagonalDown="0" outline="0">
        <left/>
        <right style="medium">
          <color indexed="64"/>
        </right>
        <top/>
        <bottom/>
      </border>
      <protection locked="1" hidden="0"/>
    </dxf>
    <dxf>
      <border outline="0">
        <left style="medium">
          <color indexed="64"/>
        </left>
      </border>
      <protection locked="1" hidden="0"/>
    </dxf>
    <dxf>
      <protection locked="1" hidden="0"/>
    </dxf>
    <dxf>
      <border diagonalUp="0" diagonalDown="0">
        <left/>
        <right style="medium">
          <color indexed="64"/>
        </right>
        <top/>
        <bottom/>
        <vertical/>
        <horizontal/>
      </border>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border diagonalUp="0" diagonalDown="0">
        <left/>
        <right style="medium">
          <color indexed="64"/>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border diagonalUp="0" diagonalDown="0">
        <left/>
        <right style="medium">
          <color indexed="64"/>
        </right>
        <top/>
        <bottom/>
        <vertical/>
        <horizontal/>
      </border>
      <protection locked="1" hidden="0"/>
    </dxf>
    <dxf>
      <protection locked="1" hidden="0"/>
    </dxf>
    <dxf>
      <fill>
        <patternFill patternType="solid">
          <fgColor indexed="64"/>
          <bgColor rgb="FF7030A0"/>
        </patternFill>
      </fill>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solid">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solid">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0"/>
      </font>
      <border>
        <vertical/>
        <horizontal/>
      </border>
    </dxf>
    <dxf>
      <font>
        <b val="0"/>
        <i val="0"/>
        <color theme="3"/>
      </font>
      <border>
        <vertical/>
        <horizontal/>
      </border>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solid">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rgb="FF7030A0"/>
        </patternFill>
      </fill>
      <alignment horizontal="center" vertical="center" textRotation="0" wrapText="0" indent="0" justifyLastLine="0" shrinkToFit="0" readingOrder="0"/>
      <border diagonalUp="0" diagonalDown="0" outline="0">
        <left/>
        <right/>
        <top/>
        <bottom style="medium">
          <color indexed="64"/>
        </bottom>
      </border>
      <protection locked="1" hidden="0"/>
    </dxf>
    <dxf>
      <fill>
        <patternFill>
          <fgColor indexed="64"/>
          <bgColor rgb="FF7030A0"/>
        </patternFill>
      </fill>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ill>
        <patternFill>
          <fgColor indexed="64"/>
          <bgColor rgb="FF7030A0"/>
        </patternFill>
      </fill>
      <border diagonalUp="0" diagonalDown="0" outline="0">
        <left style="medium">
          <color indexed="64"/>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border outline="0">
        <right style="medium">
          <color indexed="64"/>
        </right>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ill>
        <patternFill>
          <fgColor indexed="64"/>
          <bgColor rgb="FF7030A0"/>
        </patternFill>
      </fill>
      <border diagonalUp="0" diagonalDown="0" outline="0">
        <left style="medium">
          <color indexed="64"/>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border outline="0">
        <right style="medium">
          <color indexed="64"/>
        </right>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bottom style="medium">
          <color indexed="64"/>
        </bottom>
      </border>
      <protection locked="1" hidden="0"/>
    </dxf>
    <dxf>
      <border diagonalUp="0" diagonalDown="0">
        <left style="medium">
          <color indexed="64"/>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ill>
        <patternFill>
          <fgColor indexed="64"/>
          <bgColor rgb="FF7030A0"/>
        </patternFill>
      </fill>
      <border diagonalUp="0" diagonalDown="0" outline="0">
        <left style="medium">
          <color indexed="64"/>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border outline="0">
        <right style="medium">
          <color indexed="64"/>
        </right>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bottom style="medium">
          <color indexed="64"/>
        </bottom>
      </border>
      <protection locked="1" hidden="0"/>
    </dxf>
    <dxf>
      <border diagonalUp="0" diagonalDown="0">
        <left style="medium">
          <color indexed="64"/>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ill>
        <patternFill>
          <fgColor indexed="64"/>
          <bgColor rgb="FF7030A0"/>
        </patternFill>
      </fill>
      <border diagonalUp="0" diagonalDown="0" outline="0">
        <left style="medium">
          <color indexed="64"/>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border outline="0">
        <right style="medium">
          <color indexed="64"/>
        </right>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rgb="FF7030A0"/>
        </patternFill>
      </fill>
      <alignment horizontal="center" vertical="center" textRotation="0" wrapText="0" indent="0" justifyLastLine="0" shrinkToFit="0" readingOrder="0"/>
      <border diagonalUp="0" diagonalDown="0" outline="0">
        <left/>
        <right/>
        <top/>
        <bottom style="medium">
          <color indexed="64"/>
        </bottom>
      </border>
      <protection locked="1" hidden="0"/>
    </dxf>
    <dxf>
      <fill>
        <patternFill>
          <fgColor indexed="64"/>
          <bgColor rgb="FF7030A0"/>
        </patternFill>
      </fill>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solid">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ill>
        <patternFill>
          <fgColor indexed="64"/>
          <bgColor rgb="FF7030A0"/>
        </patternFill>
      </fill>
      <border diagonalUp="0" diagonalDown="0" outline="0">
        <left style="medium">
          <color indexed="64"/>
        </left>
        <right/>
        <top/>
        <bottom/>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border outline="0">
        <right style="medium">
          <color indexed="64"/>
        </right>
      </border>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solid">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ill>
        <patternFill patternType="solid">
          <fgColor indexed="64"/>
          <bgColor rgb="FF7030A0"/>
        </patternFill>
      </fill>
      <border diagonalUp="0" diagonalDown="0" outline="0">
        <left style="medium">
          <color indexed="64"/>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border outline="0">
        <right style="medium">
          <color indexed="64"/>
        </right>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border diagonalUp="0" diagonalDown="0">
        <left style="medium">
          <color indexed="64"/>
        </left>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bottom style="medium">
          <color indexed="64"/>
        </bottom>
      </border>
      <protection locked="1" hidden="0"/>
    </dxf>
    <dxf>
      <border diagonalUp="0" diagonalDown="0">
        <left/>
        <right style="medium">
          <color indexed="64"/>
        </right>
        <top/>
        <bottom/>
        <vertical/>
        <horizontal/>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style="medium">
          <color indexed="64"/>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solid">
          <fgColor indexed="64"/>
          <bgColor rgb="FF7030A0"/>
        </patternFill>
      </fill>
      <alignment horizontal="center" vertical="center" textRotation="0" wrapText="0" indent="0" justifyLastLine="0" shrinkToFit="0" readingOrder="0"/>
      <border diagonalUp="0" diagonalDown="0" outline="0">
        <left style="medium">
          <color indexed="64"/>
        </left>
        <right/>
        <top/>
        <bottom style="medium">
          <color indexed="64"/>
        </bottom>
      </border>
      <protection locked="1" hidden="0"/>
    </dxf>
    <dxf>
      <fill>
        <patternFill patternType="solid">
          <fgColor indexed="64"/>
          <bgColor rgb="FF7030A0"/>
        </patternFill>
      </fill>
      <border diagonalUp="0" diagonalDown="0" outline="0">
        <left style="medium">
          <color indexed="64"/>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border outline="0">
        <right style="medium">
          <color indexed="64"/>
        </right>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numFmt numFmtId="0" formatCode="General"/>
      <fill>
        <patternFill patternType="none">
          <fgColor indexed="64"/>
          <bgColor indexed="65"/>
        </patternFill>
      </fill>
      <border outline="0">
        <right style="medium">
          <color indexed="64"/>
        </right>
      </border>
      <protection locked="1" hidden="0"/>
    </dxf>
    <dxf>
      <protection locked="1" hidden="0"/>
    </dxf>
    <dxf>
      <protection locked="1" hidden="0"/>
    </dxf>
    <dxf>
      <protection locked="1" hidden="0"/>
    </dxf>
    <dxf>
      <protection locked="1" hidden="0"/>
    </dxf>
    <dxf>
      <protection locked="1" hidden="0"/>
    </dxf>
    <dxf>
      <border diagonalUp="0" diagonalDown="0">
        <left/>
        <right style="medium">
          <color indexed="64"/>
        </right>
        <top/>
        <bottom/>
        <vertical/>
        <horizontal/>
      </border>
      <protection locked="1" hidden="0"/>
    </dxf>
    <dxf>
      <border diagonalUp="0" diagonalDown="0">
        <left style="medium">
          <color indexed="64"/>
        </left>
        <right/>
        <top/>
        <bottom/>
        <vertical/>
        <horizontal/>
      </border>
      <protection locked="1" hidden="0"/>
    </dxf>
    <dxf>
      <protection locked="1" hidden="0"/>
    </dxf>
    <dxf>
      <protection locked="1" hidden="0"/>
    </dxf>
    <dxf>
      <border diagonalUp="0" diagonalDown="0">
        <left/>
        <right style="medium">
          <color indexed="64"/>
        </right>
        <top/>
        <bottom/>
        <vertical/>
        <horizontal/>
      </border>
      <protection locked="1" hidden="0"/>
    </dxf>
    <dxf>
      <protection locked="1" hidden="0"/>
    </dxf>
    <dxf>
      <protection locked="1" hidden="0"/>
    </dxf>
    <dxf>
      <protection locked="1" hidden="0"/>
    </dxf>
    <dxf>
      <border diagonalUp="0" diagonalDown="0">
        <left style="medium">
          <color indexed="64"/>
        </left>
        <right/>
        <top/>
        <bottom/>
        <vertical/>
        <horizontal/>
      </border>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numFmt numFmtId="0" formatCode="General"/>
      <fill>
        <patternFill patternType="none">
          <fgColor indexed="64"/>
          <bgColor indexed="65"/>
        </patternFill>
      </fill>
      <protection locked="1" hidden="0"/>
    </dxf>
    <dxf>
      <font>
        <strike val="0"/>
        <outline val="0"/>
        <shadow val="0"/>
        <u/>
        <vertAlign val="baseline"/>
        <sz val="11"/>
        <color theme="1"/>
        <name val="Calibri"/>
        <scheme val="minor"/>
      </font>
      <protection locked="1" hidden="0"/>
    </dxf>
    <dxf>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dxf>
    <dxf>
      <protection locked="1" hidden="0"/>
    </dxf>
    <dxf>
      <protection locked="1" hidden="0"/>
    </dxf>
    <dxf>
      <protection locked="1" hidden="0"/>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Tabla de ausencia del empleado" defaultPivotStyle="PivotStyleLight16">
    <tableStyle name="Tabla de ausencia del empleado" pivot="0" count="13">
      <tableStyleElement type="wholeTable" dxfId="1077"/>
      <tableStyleElement type="headerRow" dxfId="1076"/>
      <tableStyleElement type="totalRow" dxfId="1075"/>
      <tableStyleElement type="firstColumn" dxfId="1074"/>
      <tableStyleElement type="lastColumn" dxfId="1073"/>
      <tableStyleElement type="firstRowStripe" dxfId="1072"/>
      <tableStyleElement type="secondRowStripe" dxfId="1071"/>
      <tableStyleElement type="firstColumnStripe" dxfId="1070"/>
      <tableStyleElement type="secondColumnStripe" dxfId="1069"/>
      <tableStyleElement type="firstHeaderCell" dxfId="1068"/>
      <tableStyleElement type="lastHeaderCell" dxfId="1067"/>
      <tableStyleElement type="firstTotalCell" dxfId="1066"/>
      <tableStyleElement type="lastTotalCell" dxfId="10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3" name="Enero" displayName="Enero" ref="B6:AH12" totalsRowCount="1" headerRowDxfId="1064" dataDxfId="1063" totalsRowDxfId="1062">
  <autoFilter ref="B6:AH1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name="Nombre del empleado" totalsRowFunction="custom" dataDxfId="1061" totalsRowDxfId="1060">
      <totalsRowFormula>MonthName&amp;" Total"</totalsRowFormula>
    </tableColumn>
    <tableColumn id="2" name="1" totalsRowFunction="custom" dataDxfId="1059" totalsRowDxfId="1058" dataCellStyle="Total">
      <totalsRowFormula>SUBTOTAL(103,Enero!$C$7:$C$11)</totalsRowFormula>
    </tableColumn>
    <tableColumn id="3" name="2" totalsRowFunction="custom" dataDxfId="1057" totalsRowDxfId="1056" dataCellStyle="Total">
      <totalsRowFormula>SUBTOTAL(103,Enero!$D$7:$D$11)</totalsRowFormula>
    </tableColumn>
    <tableColumn id="4" name="3" totalsRowFunction="custom" dataDxfId="1055" totalsRowDxfId="1054" dataCellStyle="Total">
      <totalsRowFormula>SUBTOTAL(103,Enero!$E$7:$E$11)</totalsRowFormula>
    </tableColumn>
    <tableColumn id="5" name="4" totalsRowFunction="custom" dataDxfId="1053" totalsRowDxfId="1052" dataCellStyle="Total">
      <totalsRowFormula>SUBTOTAL(103,Enero!$F$7:$F$11)</totalsRowFormula>
    </tableColumn>
    <tableColumn id="6" name="5" totalsRowFunction="custom" totalsRowDxfId="1051" dataCellStyle="Total">
      <totalsRowFormula>SUBTOTAL(103,Enero!$G$7:$G$11)</totalsRowFormula>
    </tableColumn>
    <tableColumn id="7" name="6" totalsRowFunction="custom" dataDxfId="1050" totalsRowDxfId="1049" dataCellStyle="Total">
      <totalsRowFormula>SUBTOTAL(103,Enero!$H$7:$H$11)</totalsRowFormula>
    </tableColumn>
    <tableColumn id="8" name="7" totalsRowFunction="custom" dataDxfId="1048" totalsRowDxfId="1047" dataCellStyle="Total">
      <totalsRowFormula>SUBTOTAL(103,Enero!$I$7:$I$11)</totalsRowFormula>
    </tableColumn>
    <tableColumn id="9" name="8" totalsRowFunction="custom" dataDxfId="1046" totalsRowDxfId="1045" dataCellStyle="Total">
      <totalsRowFormula>SUBTOTAL(103,Enero!$J$7:$J$11)</totalsRowFormula>
    </tableColumn>
    <tableColumn id="10" name="9" totalsRowFunction="custom" dataDxfId="1044" totalsRowDxfId="1043" dataCellStyle="Total">
      <totalsRowFormula>SUBTOTAL(103,Enero!$K$7:$K$11)</totalsRowFormula>
    </tableColumn>
    <tableColumn id="11" name="10" totalsRowFunction="custom" dataDxfId="1042" totalsRowDxfId="1041" dataCellStyle="Total">
      <totalsRowFormula>SUBTOTAL(103,Enero!$L$7:$L$11)</totalsRowFormula>
    </tableColumn>
    <tableColumn id="12" name="11" totalsRowFunction="custom" dataDxfId="1040" totalsRowDxfId="1039" dataCellStyle="Total">
      <totalsRowFormula>SUBTOTAL(103,Enero!$M$7:$M$11)</totalsRowFormula>
    </tableColumn>
    <tableColumn id="13" name="12" totalsRowFunction="custom" dataDxfId="1038" totalsRowDxfId="1037" dataCellStyle="Total">
      <totalsRowFormula>SUBTOTAL(103,Enero!$N$7:$N$11)</totalsRowFormula>
    </tableColumn>
    <tableColumn id="14" name="13" totalsRowFunction="custom" dataDxfId="1036" totalsRowDxfId="1035" dataCellStyle="Total">
      <totalsRowFormula>SUBTOTAL(103,Enero!$O$7:$O$11)</totalsRowFormula>
    </tableColumn>
    <tableColumn id="15" name="14" totalsRowFunction="custom" dataDxfId="1034" totalsRowDxfId="1033" dataCellStyle="Total">
      <totalsRowFormula>SUBTOTAL(103,Enero!$P$7:$P$11)</totalsRowFormula>
    </tableColumn>
    <tableColumn id="16" name="15" totalsRowFunction="custom" dataDxfId="1032" totalsRowDxfId="1031" dataCellStyle="Total">
      <totalsRowFormula>SUBTOTAL(103,Enero!$Q$7:$Q$11)</totalsRowFormula>
    </tableColumn>
    <tableColumn id="17" name="16" totalsRowFunction="custom" dataDxfId="1030" totalsRowDxfId="1029" dataCellStyle="Total">
      <totalsRowFormula>SUBTOTAL(103,Enero!$R$7:$R$11)</totalsRowFormula>
    </tableColumn>
    <tableColumn id="18" name="17" totalsRowFunction="custom" dataDxfId="1028" totalsRowDxfId="1027" dataCellStyle="Total">
      <totalsRowFormula>SUBTOTAL(103,Enero!$S$7:$S$11)</totalsRowFormula>
    </tableColumn>
    <tableColumn id="19" name="18" totalsRowFunction="custom" dataDxfId="1026" totalsRowDxfId="1025" dataCellStyle="Total">
      <totalsRowFormula>SUBTOTAL(103,Enero!$T$7:$T$11)</totalsRowFormula>
    </tableColumn>
    <tableColumn id="20" name="19" totalsRowFunction="custom" dataDxfId="1024" totalsRowDxfId="1023" dataCellStyle="Total">
      <totalsRowFormula>SUBTOTAL(103,Enero!$U$7:$U$11)</totalsRowFormula>
    </tableColumn>
    <tableColumn id="21" name="20" totalsRowFunction="custom" dataDxfId="1022" totalsRowDxfId="1021" dataCellStyle="Total">
      <totalsRowFormula>SUBTOTAL(103,Enero!$V$7:$V$11)</totalsRowFormula>
    </tableColumn>
    <tableColumn id="22" name="21" totalsRowFunction="custom" dataDxfId="1020" totalsRowDxfId="1019" dataCellStyle="Total">
      <totalsRowFormula>SUBTOTAL(103,Enero!$W$7:$W$11)</totalsRowFormula>
    </tableColumn>
    <tableColumn id="23" name="22" totalsRowFunction="custom" dataDxfId="1018" totalsRowDxfId="1017" dataCellStyle="Total">
      <totalsRowFormula>SUBTOTAL(103,Enero!$X$7:$X$11)</totalsRowFormula>
    </tableColumn>
    <tableColumn id="24" name="23" totalsRowFunction="custom" dataDxfId="1016" totalsRowDxfId="1015" dataCellStyle="Total">
      <totalsRowFormula>SUBTOTAL(103,Enero!$Y$7:$Y$11)</totalsRowFormula>
    </tableColumn>
    <tableColumn id="25" name="24" totalsRowFunction="custom" dataDxfId="1014" totalsRowDxfId="1013" dataCellStyle="Total">
      <totalsRowFormula>SUBTOTAL(103,Enero!$Z$7:$Z$11)</totalsRowFormula>
    </tableColumn>
    <tableColumn id="26" name="25" totalsRowFunction="custom" dataDxfId="1012" totalsRowDxfId="1011" dataCellStyle="Total">
      <totalsRowFormula>SUBTOTAL(103,Enero!$AA$7:$AA$11)</totalsRowFormula>
    </tableColumn>
    <tableColumn id="27" name="26" totalsRowFunction="custom" dataDxfId="1010" totalsRowDxfId="1009" dataCellStyle="Total">
      <totalsRowFormula>SUBTOTAL(103,Enero!$AB$7:$AB$11)</totalsRowFormula>
    </tableColumn>
    <tableColumn id="28" name="27" totalsRowFunction="custom" dataDxfId="1008" totalsRowDxfId="1007" dataCellStyle="Total">
      <totalsRowFormula>SUBTOTAL(103,Enero!$AC$7:$AC$11)</totalsRowFormula>
    </tableColumn>
    <tableColumn id="29" name="28" totalsRowFunction="custom" dataDxfId="1006" totalsRowDxfId="1005" dataCellStyle="Total">
      <totalsRowFormula>SUBTOTAL(103,Enero!$AD$7:$AD$11)</totalsRowFormula>
    </tableColumn>
    <tableColumn id="30" name="29" totalsRowFunction="custom" dataDxfId="1004" totalsRowDxfId="1003" dataCellStyle="Total">
      <totalsRowFormula>SUBTOTAL(103,Enero!$AE$7:$AE$11)</totalsRowFormula>
    </tableColumn>
    <tableColumn id="31" name="30" totalsRowFunction="custom" dataDxfId="1002" totalsRowDxfId="1001" dataCellStyle="Total">
      <totalsRowFormula>SUBTOTAL(103,Enero!$AF$7:$AF$11)</totalsRowFormula>
    </tableColumn>
    <tableColumn id="32" name="31" totalsRowFunction="custom" dataDxfId="1000" totalsRowDxfId="999" dataCellStyle="Total">
      <totalsRowFormula>SUBTOTAL(103,Enero!$AG$7:$AG$11)</totalsRowFormula>
    </tableColumn>
    <tableColumn id="33" name="Número total de días" totalsRowFunction="sum" dataDxfId="998" totalsRowDxfId="997" dataCellStyle="Total">
      <calculatedColumnFormula>COUNTA(Enero!$C7:$AG7)</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10.xml><?xml version="1.0" encoding="utf-8"?>
<table xmlns="http://schemas.openxmlformats.org/spreadsheetml/2006/main" id="19" name="Agosto" displayName="Agosto" ref="B6:AH12" totalsRowCount="1" headerRowDxfId="673" dataDxfId="672" totalsRowDxfId="671">
  <tableColumns count="33">
    <tableColumn id="1" name="Nombre del empleado" totalsRowFunction="custom" dataDxfId="670" totalsRowDxfId="669" dataCellStyle="Empleado">
      <totalsRowFormula>MonthName&amp;" Total"</totalsRowFormula>
    </tableColumn>
    <tableColumn id="2" name="1" totalsRowFunction="count" dataDxfId="668" totalsRowDxfId="667"/>
    <tableColumn id="3" name="2" totalsRowFunction="count" dataDxfId="666" totalsRowDxfId="665"/>
    <tableColumn id="4" name="3" totalsRowFunction="count" dataDxfId="664" totalsRowDxfId="663"/>
    <tableColumn id="5" name="4" totalsRowFunction="count" dataDxfId="662" totalsRowDxfId="661"/>
    <tableColumn id="6" name="5" totalsRowFunction="count" dataDxfId="660" totalsRowDxfId="659"/>
    <tableColumn id="7" name="6" totalsRowFunction="count" dataDxfId="658" totalsRowDxfId="657"/>
    <tableColumn id="8" name="7" totalsRowFunction="count" dataDxfId="656" totalsRowDxfId="655"/>
    <tableColumn id="9" name="8" totalsRowFunction="count" dataDxfId="654" totalsRowDxfId="653"/>
    <tableColumn id="10" name="9" totalsRowFunction="count" dataDxfId="652" totalsRowDxfId="651"/>
    <tableColumn id="11" name="10" totalsRowFunction="count" dataDxfId="650" totalsRowDxfId="649"/>
    <tableColumn id="12" name="11" totalsRowFunction="count" dataDxfId="648" totalsRowDxfId="647"/>
    <tableColumn id="13" name="12" totalsRowFunction="count" dataDxfId="646" totalsRowDxfId="645"/>
    <tableColumn id="14" name="13" totalsRowFunction="count" dataDxfId="644" totalsRowDxfId="643"/>
    <tableColumn id="15" name="14" totalsRowFunction="count" dataDxfId="642" totalsRowDxfId="641"/>
    <tableColumn id="16" name="15" totalsRowFunction="count" dataDxfId="640" totalsRowDxfId="639"/>
    <tableColumn id="17" name="16" totalsRowFunction="count" dataDxfId="638" totalsRowDxfId="637"/>
    <tableColumn id="18" name="17" totalsRowFunction="count" dataDxfId="636" totalsRowDxfId="635"/>
    <tableColumn id="19" name="18" totalsRowFunction="count" dataDxfId="634" totalsRowDxfId="633"/>
    <tableColumn id="20" name="19" totalsRowFunction="count" dataDxfId="632" totalsRowDxfId="631"/>
    <tableColumn id="21" name="20" totalsRowFunction="count" dataDxfId="630" totalsRowDxfId="629"/>
    <tableColumn id="22" name="21" totalsRowFunction="count" dataDxfId="628" totalsRowDxfId="627"/>
    <tableColumn id="23" name="22" totalsRowFunction="count" dataDxfId="626" totalsRowDxfId="625"/>
    <tableColumn id="24" name="23" totalsRowFunction="count" dataDxfId="624" totalsRowDxfId="623"/>
    <tableColumn id="25" name="24" totalsRowFunction="count" dataDxfId="622" totalsRowDxfId="621"/>
    <tableColumn id="26" name="25" totalsRowFunction="count" dataDxfId="620" totalsRowDxfId="619"/>
    <tableColumn id="27" name="26" totalsRowFunction="count" dataDxfId="618" totalsRowDxfId="617"/>
    <tableColumn id="28" name="27" totalsRowFunction="count" dataDxfId="616" totalsRowDxfId="615"/>
    <tableColumn id="29" name="28" totalsRowFunction="count" dataDxfId="614" totalsRowDxfId="613"/>
    <tableColumn id="30" name="29" totalsRowFunction="count" dataDxfId="612" totalsRowDxfId="611"/>
    <tableColumn id="31" name="30" totalsRowFunction="sum" dataDxfId="610" totalsRowDxfId="609"/>
    <tableColumn id="32" name="31" totalsRowFunction="sum" dataDxfId="608" totalsRowDxfId="607" dataCellStyle="Total"/>
    <tableColumn id="33" name="Número total de días" totalsRowFunction="sum" dataDxfId="606" totalsRowDxfId="605" dataCellStyle="Total">
      <calculatedColumnFormula>COUNTA(Agosto[[#This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11.xml><?xml version="1.0" encoding="utf-8"?>
<table xmlns="http://schemas.openxmlformats.org/spreadsheetml/2006/main" id="20" name="Septiembre" displayName="Septiembre" ref="B6:AH12" totalsRowCount="1" headerRowDxfId="604" dataDxfId="603" totalsRowDxfId="602">
  <tableColumns count="33">
    <tableColumn id="1" name="Nombre del empleado" totalsRowFunction="custom" dataDxfId="601" totalsRowDxfId="600" dataCellStyle="Empleado">
      <totalsRowFormula>MonthName&amp;" Total"</totalsRowFormula>
    </tableColumn>
    <tableColumn id="2" name="1" totalsRowFunction="count" dataDxfId="599" totalsRowDxfId="598"/>
    <tableColumn id="3" name="2" totalsRowFunction="count" dataDxfId="597" totalsRowDxfId="596"/>
    <tableColumn id="4" name="3" totalsRowFunction="count" dataDxfId="595" totalsRowDxfId="594"/>
    <tableColumn id="5" name="4" totalsRowFunction="count" dataDxfId="593" totalsRowDxfId="592"/>
    <tableColumn id="6" name="5" totalsRowFunction="count" dataDxfId="591" totalsRowDxfId="590"/>
    <tableColumn id="7" name="6" totalsRowFunction="count" dataDxfId="589" totalsRowDxfId="588"/>
    <tableColumn id="8" name="7" totalsRowFunction="count" dataDxfId="587" totalsRowDxfId="586"/>
    <tableColumn id="9" name="8" totalsRowFunction="count" dataDxfId="585" totalsRowDxfId="584"/>
    <tableColumn id="10" name="9" totalsRowFunction="count" dataDxfId="583" totalsRowDxfId="582"/>
    <tableColumn id="11" name="10" totalsRowFunction="count" dataDxfId="581" totalsRowDxfId="580"/>
    <tableColumn id="12" name="11" totalsRowFunction="count" dataDxfId="579" totalsRowDxfId="578"/>
    <tableColumn id="13" name="12" totalsRowFunction="count" dataDxfId="577" totalsRowDxfId="576"/>
    <tableColumn id="14" name="13" totalsRowFunction="count" dataDxfId="575" totalsRowDxfId="574"/>
    <tableColumn id="15" name="14" totalsRowFunction="count" dataDxfId="573" totalsRowDxfId="572"/>
    <tableColumn id="16" name="15" totalsRowFunction="count" dataDxfId="571" totalsRowDxfId="570"/>
    <tableColumn id="17" name="16" totalsRowFunction="count" dataDxfId="569" totalsRowDxfId="568"/>
    <tableColumn id="18" name="17" totalsRowFunction="count" dataDxfId="567" totalsRowDxfId="566"/>
    <tableColumn id="19" name="18" totalsRowFunction="count" dataDxfId="565" totalsRowDxfId="564"/>
    <tableColumn id="20" name="19" totalsRowFunction="count" dataDxfId="563" totalsRowDxfId="562"/>
    <tableColumn id="21" name="20" totalsRowFunction="count" dataDxfId="561" totalsRowDxfId="560"/>
    <tableColumn id="22" name="21" totalsRowFunction="count" dataDxfId="559" totalsRowDxfId="558"/>
    <tableColumn id="23" name="22" totalsRowFunction="count" dataDxfId="557" totalsRowDxfId="556"/>
    <tableColumn id="24" name="23" totalsRowFunction="count" dataDxfId="555" totalsRowDxfId="554"/>
    <tableColumn id="25" name="24" totalsRowFunction="count" dataDxfId="553" totalsRowDxfId="552"/>
    <tableColumn id="26" name="25" totalsRowFunction="count" dataDxfId="551" totalsRowDxfId="550"/>
    <tableColumn id="27" name="26" totalsRowFunction="count" dataDxfId="549" totalsRowDxfId="548"/>
    <tableColumn id="28" name="27" totalsRowFunction="count" dataDxfId="547" totalsRowDxfId="546"/>
    <tableColumn id="29" name="28" totalsRowFunction="count" dataDxfId="545" totalsRowDxfId="544"/>
    <tableColumn id="30" name="29" totalsRowFunction="count" dataDxfId="543" totalsRowDxfId="542"/>
    <tableColumn id="31" name="30" totalsRowFunction="sum" dataDxfId="541" totalsRowDxfId="540"/>
    <tableColumn id="32" name="31" totalsRowFunction="sum" dataDxfId="539" totalsRowDxfId="538" dataCellStyle="Total"/>
    <tableColumn id="33" name="Número total de días" totalsRowFunction="sum" dataDxfId="537" totalsRowDxfId="536" dataCellStyle="Total">
      <calculatedColumnFormula>COUNTA(Septiembre[[#This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12.xml><?xml version="1.0" encoding="utf-8"?>
<table xmlns="http://schemas.openxmlformats.org/spreadsheetml/2006/main" id="21" name="Octubre" displayName="Octubre" ref="B6:AH12" totalsRowCount="1" headerRowDxfId="535" dataDxfId="534" totalsRowDxfId="533">
  <tableColumns count="33">
    <tableColumn id="1" name="Nombre del empleado" totalsRowFunction="custom" dataDxfId="532" totalsRowDxfId="531" dataCellStyle="Empleado">
      <totalsRowFormula>MonthName&amp;" Total"</totalsRowFormula>
    </tableColumn>
    <tableColumn id="2" name="1" totalsRowFunction="count" dataDxfId="530" totalsRowDxfId="529"/>
    <tableColumn id="3" name="2" totalsRowFunction="count" dataDxfId="528" totalsRowDxfId="527"/>
    <tableColumn id="4" name="3" totalsRowFunction="count" dataDxfId="526" totalsRowDxfId="525"/>
    <tableColumn id="5" name="4" totalsRowFunction="count" dataDxfId="524" totalsRowDxfId="523"/>
    <tableColumn id="6" name="5" totalsRowFunction="count" dataDxfId="522" totalsRowDxfId="521"/>
    <tableColumn id="7" name="6" totalsRowFunction="count" dataDxfId="520" totalsRowDxfId="519"/>
    <tableColumn id="8" name="7" totalsRowFunction="count" dataDxfId="518" totalsRowDxfId="517"/>
    <tableColumn id="9" name="8" totalsRowFunction="count" dataDxfId="516" totalsRowDxfId="515"/>
    <tableColumn id="10" name="9" totalsRowFunction="count" dataDxfId="514" totalsRowDxfId="513"/>
    <tableColumn id="11" name="10" totalsRowFunction="count" dataDxfId="512" totalsRowDxfId="511"/>
    <tableColumn id="12" name="11" totalsRowFunction="count" dataDxfId="510" totalsRowDxfId="509"/>
    <tableColumn id="13" name="12" totalsRowFunction="count" dataDxfId="508" totalsRowDxfId="507"/>
    <tableColumn id="14" name="13" totalsRowFunction="count" dataDxfId="506" totalsRowDxfId="505"/>
    <tableColumn id="15" name="14" totalsRowFunction="count" dataDxfId="504" totalsRowDxfId="503"/>
    <tableColumn id="16" name="15" totalsRowFunction="count" dataDxfId="502" totalsRowDxfId="501"/>
    <tableColumn id="17" name="16" totalsRowFunction="count" dataDxfId="500" totalsRowDxfId="499"/>
    <tableColumn id="18" name="17" totalsRowFunction="count" dataDxfId="498" totalsRowDxfId="497"/>
    <tableColumn id="19" name="18" totalsRowFunction="count" dataDxfId="496" totalsRowDxfId="495"/>
    <tableColumn id="20" name="19" totalsRowFunction="count" dataDxfId="494" totalsRowDxfId="493"/>
    <tableColumn id="21" name="20" totalsRowFunction="count" dataDxfId="492" totalsRowDxfId="491"/>
    <tableColumn id="22" name="21" totalsRowFunction="count" dataDxfId="490" totalsRowDxfId="489"/>
    <tableColumn id="23" name="22" totalsRowFunction="count" dataDxfId="488" totalsRowDxfId="487"/>
    <tableColumn id="24" name="23" totalsRowFunction="count" dataDxfId="486" totalsRowDxfId="485"/>
    <tableColumn id="25" name="24" totalsRowFunction="count" dataDxfId="484" totalsRowDxfId="483"/>
    <tableColumn id="26" name="25" totalsRowFunction="count" dataDxfId="482" totalsRowDxfId="481"/>
    <tableColumn id="27" name="26" totalsRowFunction="count" dataDxfId="480" totalsRowDxfId="479"/>
    <tableColumn id="28" name="27" totalsRowFunction="count" dataDxfId="478" totalsRowDxfId="477"/>
    <tableColumn id="29" name="28" totalsRowFunction="count" dataDxfId="476" totalsRowDxfId="475"/>
    <tableColumn id="30" name="29" totalsRowFunction="count" dataDxfId="474" totalsRowDxfId="473"/>
    <tableColumn id="31" name="30" totalsRowFunction="sum" dataDxfId="472" totalsRowDxfId="471"/>
    <tableColumn id="32" name="31" totalsRowFunction="sum" dataDxfId="470" totalsRowDxfId="469" dataCellStyle="Total"/>
    <tableColumn id="33" name="Número total de días" totalsRowFunction="sum" dataDxfId="468" totalsRowDxfId="467" dataCellStyle="Total">
      <calculatedColumnFormula>COUNTA(Octubre[[#This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13.xml><?xml version="1.0" encoding="utf-8"?>
<table xmlns="http://schemas.openxmlformats.org/spreadsheetml/2006/main" id="22" name="Noviembre" displayName="Noviembre" ref="B6:AH12" totalsRowCount="1" headerRowDxfId="466" dataDxfId="465" totalsRowDxfId="464">
  <tableColumns count="33">
    <tableColumn id="1" name="Nombre del empleado" totalsRowFunction="custom" dataDxfId="463" totalsRowDxfId="462" dataCellStyle="Empleado">
      <totalsRowFormula>MonthName&amp;" Total"</totalsRowFormula>
    </tableColumn>
    <tableColumn id="2" name="1" totalsRowFunction="count" dataDxfId="461" totalsRowDxfId="460"/>
    <tableColumn id="3" name="2" totalsRowFunction="count" dataDxfId="459" totalsRowDxfId="458"/>
    <tableColumn id="4" name="3" totalsRowFunction="count" dataDxfId="457" totalsRowDxfId="456"/>
    <tableColumn id="5" name="4" totalsRowFunction="count" dataDxfId="455" totalsRowDxfId="454"/>
    <tableColumn id="6" name="5" totalsRowFunction="count" dataDxfId="453" totalsRowDxfId="452"/>
    <tableColumn id="7" name="6" totalsRowFunction="count" dataDxfId="451" totalsRowDxfId="450"/>
    <tableColumn id="8" name="7" totalsRowFunction="count" dataDxfId="449" totalsRowDxfId="448"/>
    <tableColumn id="9" name="8" totalsRowFunction="count" dataDxfId="447" totalsRowDxfId="446"/>
    <tableColumn id="10" name="9" totalsRowFunction="count" dataDxfId="445" totalsRowDxfId="444"/>
    <tableColumn id="11" name="10" totalsRowFunction="count" dataDxfId="443" totalsRowDxfId="442"/>
    <tableColumn id="12" name="11" totalsRowFunction="count" dataDxfId="441" totalsRowDxfId="440"/>
    <tableColumn id="13" name="12" totalsRowFunction="count" dataDxfId="439" totalsRowDxfId="438"/>
    <tableColumn id="14" name="13" totalsRowFunction="count" dataDxfId="437" totalsRowDxfId="436"/>
    <tableColumn id="15" name="14" totalsRowFunction="count" dataDxfId="435" totalsRowDxfId="434"/>
    <tableColumn id="16" name="15" totalsRowFunction="count" dataDxfId="433" totalsRowDxfId="432"/>
    <tableColumn id="17" name="16" totalsRowFunction="count" dataDxfId="431" totalsRowDxfId="430"/>
    <tableColumn id="18" name="17" totalsRowFunction="count" dataDxfId="429" totalsRowDxfId="428"/>
    <tableColumn id="19" name="18" totalsRowFunction="count" dataDxfId="427" totalsRowDxfId="426"/>
    <tableColumn id="20" name="19" totalsRowFunction="count" dataDxfId="425" totalsRowDxfId="424"/>
    <tableColumn id="21" name="20" totalsRowFunction="count" dataDxfId="423" totalsRowDxfId="422"/>
    <tableColumn id="22" name="21" totalsRowFunction="count" dataDxfId="421" totalsRowDxfId="420"/>
    <tableColumn id="23" name="22" totalsRowFunction="count" dataDxfId="419" totalsRowDxfId="418"/>
    <tableColumn id="24" name="23" totalsRowFunction="count" dataDxfId="417" totalsRowDxfId="416"/>
    <tableColumn id="25" name="24" totalsRowFunction="count" dataDxfId="415" totalsRowDxfId="414"/>
    <tableColumn id="26" name="25" totalsRowFunction="count" dataDxfId="413" totalsRowDxfId="412"/>
    <tableColumn id="27" name="26" totalsRowFunction="count" dataDxfId="411" totalsRowDxfId="410"/>
    <tableColumn id="28" name="27" totalsRowFunction="count" dataDxfId="409" totalsRowDxfId="408"/>
    <tableColumn id="29" name="28" totalsRowFunction="count" dataDxfId="407" totalsRowDxfId="406"/>
    <tableColumn id="30" name="29" totalsRowFunction="count" dataDxfId="405" totalsRowDxfId="404"/>
    <tableColumn id="31" name="30" totalsRowFunction="sum" dataDxfId="403" totalsRowDxfId="402"/>
    <tableColumn id="32" name="31" totalsRowFunction="sum" dataDxfId="401" totalsRowDxfId="400" dataCellStyle="Total"/>
    <tableColumn id="33" name="Número total de días" totalsRowFunction="sum" dataDxfId="399" totalsRowDxfId="398" dataCellStyle="Total">
      <calculatedColumnFormula>COUNTA(Noviembre[[#This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14.xml><?xml version="1.0" encoding="utf-8"?>
<table xmlns="http://schemas.openxmlformats.org/spreadsheetml/2006/main" id="12" name="Diciembre" displayName="Diciembre" ref="B6:AH12" totalsRowCount="1" headerRowDxfId="397" dataDxfId="396" totalsRowDxfId="395">
  <tableColumns count="33">
    <tableColumn id="1" name="Nombre del empleado" totalsRowFunction="custom" dataDxfId="394" totalsRowDxfId="393" dataCellStyle="Empleado">
      <totalsRowFormula>MonthName&amp;" Total"</totalsRowFormula>
    </tableColumn>
    <tableColumn id="2" name="1" totalsRowFunction="count" dataDxfId="392" totalsRowDxfId="391"/>
    <tableColumn id="3" name="2" totalsRowFunction="count" dataDxfId="390" totalsRowDxfId="389"/>
    <tableColumn id="4" name="3" totalsRowFunction="count" dataDxfId="388" totalsRowDxfId="387"/>
    <tableColumn id="5" name="4" totalsRowFunction="count" dataDxfId="386" totalsRowDxfId="385"/>
    <tableColumn id="6" name="5" totalsRowFunction="count" dataDxfId="384" totalsRowDxfId="383"/>
    <tableColumn id="7" name="6" totalsRowFunction="count" dataDxfId="382" totalsRowDxfId="381"/>
    <tableColumn id="8" name="7" totalsRowFunction="count" dataDxfId="380" totalsRowDxfId="379"/>
    <tableColumn id="9" name="8" totalsRowFunction="count" dataDxfId="378" totalsRowDxfId="377"/>
    <tableColumn id="10" name="9" totalsRowFunction="count" dataDxfId="376" totalsRowDxfId="375"/>
    <tableColumn id="11" name="10" totalsRowFunction="count" dataDxfId="374" totalsRowDxfId="373"/>
    <tableColumn id="12" name="11" totalsRowFunction="count" dataDxfId="372" totalsRowDxfId="371"/>
    <tableColumn id="13" name="12" totalsRowFunction="count" dataDxfId="370" totalsRowDxfId="369"/>
    <tableColumn id="14" name="13" totalsRowFunction="count" dataDxfId="368" totalsRowDxfId="367"/>
    <tableColumn id="15" name="14" totalsRowFunction="count" dataDxfId="366" totalsRowDxfId="365"/>
    <tableColumn id="16" name="15" totalsRowFunction="count" dataDxfId="364" totalsRowDxfId="363"/>
    <tableColumn id="17" name="16" totalsRowFunction="count" dataDxfId="362" totalsRowDxfId="361"/>
    <tableColumn id="18" name="17" totalsRowFunction="count" dataDxfId="360" totalsRowDxfId="359"/>
    <tableColumn id="19" name="18" totalsRowFunction="count" dataDxfId="358" totalsRowDxfId="357"/>
    <tableColumn id="20" name="19" totalsRowFunction="count" dataDxfId="356" totalsRowDxfId="355"/>
    <tableColumn id="21" name="20" totalsRowFunction="count" dataDxfId="354" totalsRowDxfId="353"/>
    <tableColumn id="22" name="21" totalsRowFunction="count" dataDxfId="352" totalsRowDxfId="351"/>
    <tableColumn id="23" name="22" totalsRowFunction="count" dataDxfId="350" totalsRowDxfId="349"/>
    <tableColumn id="24" name="23" totalsRowFunction="count" dataDxfId="348" totalsRowDxfId="347"/>
    <tableColumn id="25" name="24" totalsRowFunction="count" dataDxfId="346" totalsRowDxfId="345"/>
    <tableColumn id="26" name="25" totalsRowFunction="count" dataDxfId="344" totalsRowDxfId="343"/>
    <tableColumn id="27" name="26" totalsRowFunction="count" dataDxfId="342" totalsRowDxfId="341"/>
    <tableColumn id="28" name="27" totalsRowFunction="count" dataDxfId="340" totalsRowDxfId="339"/>
    <tableColumn id="29" name="28" totalsRowFunction="count" dataDxfId="338" totalsRowDxfId="337"/>
    <tableColumn id="30" name="29" totalsRowFunction="count" dataDxfId="336" totalsRowDxfId="335"/>
    <tableColumn id="31" name="30" totalsRowFunction="sum" dataDxfId="334" totalsRowDxfId="333"/>
    <tableColumn id="32" name="31" totalsRowFunction="sum" dataDxfId="332" totalsRowDxfId="331" dataCellStyle="Total"/>
    <tableColumn id="33" name="Número total de días" totalsRowFunction="sum" dataDxfId="330" totalsRowDxfId="329" dataCellStyle="Total">
      <calculatedColumnFormula>COUNTA(Diciembre[[#This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a una lista de nombres y fechas del calendario para registrar las ausencias de los empleados y el tipo de ausencia específico, como V = vacaciones, E = enfermedad, P = Personal y dos marcadores de posición de entradas personalizadas"/>
    </ext>
  </extLst>
</table>
</file>

<file path=xl/tables/table15.xml><?xml version="1.0" encoding="utf-8"?>
<table xmlns="http://schemas.openxmlformats.org/spreadsheetml/2006/main" id="13" name="NombreDelEmpleado" displayName="NombreDelEmpleado" ref="B3:B8" totalsRowShown="0" dataCellStyle="Empleado">
  <autoFilter ref="B3:B8"/>
  <tableColumns count="1">
    <tableColumn id="1" name="Nombres de los empleados" dataCellStyle="Empleado"/>
  </tableColumns>
  <tableStyleInfo name="Tabla de ausencia del empleado" showFirstColumn="1" showLastColumn="1" showRowStripes="1" showColumnStripes="0"/>
  <extLst>
    <ext xmlns:x14="http://schemas.microsoft.com/office/spreadsheetml/2009/9/main" uri="{504A1905-F514-4f6f-8877-14C23A59335A}">
      <x14:table altTextSummary="Escriba los nombres de los empleados en esta tabla. Estos nombres se usan como opciones en la columna B de la programación de ausencias de cada mes"/>
    </ext>
  </extLst>
</table>
</file>

<file path=xl/tables/table2.xml><?xml version="1.0" encoding="utf-8"?>
<table xmlns="http://schemas.openxmlformats.org/spreadsheetml/2006/main" id="2" name="Febrero" displayName="Febrero" ref="B6:AH12" totalsRowCount="1" headerRowDxfId="996" dataDxfId="995" totalsRowDxfId="994">
  <tableColumns count="33">
    <tableColumn id="1" name="Nombre del empleado" totalsRowFunction="custom" dataDxfId="993" totalsRowDxfId="992">
      <totalsRowFormula>MonthName&amp;" Total"</totalsRowFormula>
    </tableColumn>
    <tableColumn id="2" name="1" totalsRowFunction="count" dataDxfId="991" totalsRowDxfId="990" dataCellStyle="Total"/>
    <tableColumn id="3" name="2" totalsRowFunction="count" dataDxfId="989" totalsRowDxfId="988" dataCellStyle="Total"/>
    <tableColumn id="4" name="3" totalsRowFunction="count" dataDxfId="987" totalsRowDxfId="986" dataCellStyle="Total"/>
    <tableColumn id="5" name="4" totalsRowFunction="count" dataDxfId="985" totalsRowDxfId="984" dataCellStyle="Total"/>
    <tableColumn id="6" name="5" totalsRowFunction="count" dataDxfId="983" totalsRowDxfId="982" dataCellStyle="Total"/>
    <tableColumn id="7" name="6" totalsRowFunction="count" dataDxfId="981" totalsRowDxfId="980" dataCellStyle="Total"/>
    <tableColumn id="8" name="7" totalsRowFunction="count" dataDxfId="979" totalsRowDxfId="978" dataCellStyle="Total"/>
    <tableColumn id="9" name="8" totalsRowFunction="count" dataDxfId="977" totalsRowDxfId="976" dataCellStyle="Total"/>
    <tableColumn id="10" name="9" totalsRowFunction="count" dataDxfId="975" totalsRowDxfId="974" dataCellStyle="Total"/>
    <tableColumn id="11" name="10" totalsRowFunction="count" dataDxfId="973" totalsRowDxfId="972" dataCellStyle="Total"/>
    <tableColumn id="12" name="11" totalsRowFunction="count" dataDxfId="971" totalsRowDxfId="970" dataCellStyle="Total"/>
    <tableColumn id="13" name="12" totalsRowFunction="count" dataDxfId="969" totalsRowDxfId="968" dataCellStyle="Total"/>
    <tableColumn id="14" name="13" totalsRowFunction="count" dataDxfId="967" totalsRowDxfId="966" dataCellStyle="Total"/>
    <tableColumn id="15" name="14" totalsRowFunction="count" dataDxfId="965" totalsRowDxfId="964" dataCellStyle="Total"/>
    <tableColumn id="16" name="15" totalsRowFunction="count" dataDxfId="963" totalsRowDxfId="962" dataCellStyle="Total"/>
    <tableColumn id="17" name="16" totalsRowFunction="count" dataDxfId="961" totalsRowDxfId="960" dataCellStyle="Total"/>
    <tableColumn id="18" name="17" totalsRowFunction="count" dataDxfId="959" totalsRowDxfId="958" dataCellStyle="Total"/>
    <tableColumn id="19" name="18" totalsRowFunction="count" dataDxfId="957" totalsRowDxfId="956" dataCellStyle="Total"/>
    <tableColumn id="20" name="19" totalsRowFunction="count" dataDxfId="955" totalsRowDxfId="954" dataCellStyle="Total"/>
    <tableColumn id="21" name="20" totalsRowFunction="count" dataDxfId="953" totalsRowDxfId="952" dataCellStyle="Total"/>
    <tableColumn id="22" name="21" totalsRowFunction="count" dataDxfId="951" totalsRowDxfId="950" dataCellStyle="Total"/>
    <tableColumn id="23" name="22" totalsRowFunction="count" dataDxfId="949" totalsRowDxfId="948" dataCellStyle="Total"/>
    <tableColumn id="24" name="23" totalsRowFunction="count" dataDxfId="947" totalsRowDxfId="946" dataCellStyle="Total"/>
    <tableColumn id="25" name="24" totalsRowFunction="count" dataDxfId="945" totalsRowDxfId="944" dataCellStyle="Total"/>
    <tableColumn id="26" name="25" totalsRowFunction="count" dataDxfId="943" totalsRowDxfId="942" dataCellStyle="Total"/>
    <tableColumn id="27" name="26" totalsRowFunction="count" dataDxfId="941" totalsRowDxfId="940" dataCellStyle="Total"/>
    <tableColumn id="28" name="27" totalsRowFunction="count" dataDxfId="939" totalsRowDxfId="938" dataCellStyle="Total"/>
    <tableColumn id="29" name="28" totalsRowFunction="count" dataDxfId="937" totalsRowDxfId="936" dataCellStyle="Total"/>
    <tableColumn id="30" name="29" totalsRowFunction="count" dataDxfId="935" totalsRowDxfId="934" dataCellStyle="Total"/>
    <tableColumn id="31" name=" " dataDxfId="933" totalsRowDxfId="932" dataCellStyle="Total"/>
    <tableColumn id="32" name="  " dataDxfId="931" totalsRowDxfId="930" dataCellStyle="Total"/>
    <tableColumn id="33" name="Número total de días" totalsRowFunction="sum" dataDxfId="929" totalsRowDxfId="928" dataCellStyle="Total">
      <calculatedColumnFormula>COUNTA(Febrero[[#This Row],[1]:[29]])</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3.xml><?xml version="1.0" encoding="utf-8"?>
<table xmlns="http://schemas.openxmlformats.org/spreadsheetml/2006/main" id="14" name="Marzo" displayName="Marzo" ref="B6:AH12" totalsRowCount="1" headerRowDxfId="927" dataDxfId="926" totalsRowDxfId="925">
  <tableColumns count="33">
    <tableColumn id="1" name="Nombre del empleado" totalsRowFunction="custom" dataDxfId="924" totalsRowDxfId="923">
      <totalsRowFormula>MonthName&amp;" Total"</totalsRowFormula>
    </tableColumn>
    <tableColumn id="2" name="1" totalsRowFunction="count" dataDxfId="922" totalsRowDxfId="921"/>
    <tableColumn id="3" name="2" totalsRowFunction="count" dataDxfId="920" totalsRowDxfId="919"/>
    <tableColumn id="4" name="3" totalsRowFunction="count" dataDxfId="918" totalsRowDxfId="917"/>
    <tableColumn id="5" name="4" totalsRowFunction="count" dataDxfId="916" totalsRowDxfId="915"/>
    <tableColumn id="6" name="5" totalsRowFunction="count" dataDxfId="914" totalsRowDxfId="913"/>
    <tableColumn id="7" name="6" totalsRowFunction="count" dataDxfId="912" totalsRowDxfId="911"/>
    <tableColumn id="8" name="7" totalsRowFunction="count" dataDxfId="910" totalsRowDxfId="909"/>
    <tableColumn id="9" name="8" totalsRowFunction="count" dataDxfId="908" totalsRowDxfId="907"/>
    <tableColumn id="10" name="9" totalsRowFunction="count" dataDxfId="906" totalsRowDxfId="905"/>
    <tableColumn id="11" name="10" totalsRowFunction="count" dataDxfId="904" totalsRowDxfId="903"/>
    <tableColumn id="12" name="11" totalsRowFunction="count" dataDxfId="902" totalsRowDxfId="901"/>
    <tableColumn id="13" name="12" totalsRowFunction="count" dataDxfId="900" totalsRowDxfId="899"/>
    <tableColumn id="14" name="13" totalsRowFunction="count" dataDxfId="898" totalsRowDxfId="897"/>
    <tableColumn id="15" name="14" totalsRowFunction="count" dataDxfId="896" totalsRowDxfId="895"/>
    <tableColumn id="16" name="15" totalsRowFunction="count" dataDxfId="894" totalsRowDxfId="893"/>
    <tableColumn id="17" name="16" totalsRowFunction="count" dataDxfId="892" totalsRowDxfId="891"/>
    <tableColumn id="18" name="17" totalsRowFunction="count" dataDxfId="890" totalsRowDxfId="889"/>
    <tableColumn id="19" name="18" totalsRowFunction="count" dataDxfId="888" totalsRowDxfId="887"/>
    <tableColumn id="20" name="19" totalsRowFunction="count" dataDxfId="886" totalsRowDxfId="885"/>
    <tableColumn id="21" name="20" totalsRowFunction="count" dataDxfId="884" totalsRowDxfId="883"/>
    <tableColumn id="22" name="21" totalsRowFunction="count" dataDxfId="882" totalsRowDxfId="881"/>
    <tableColumn id="23" name="22" totalsRowFunction="count" dataDxfId="880" totalsRowDxfId="879"/>
    <tableColumn id="24" name="23" totalsRowFunction="count" dataDxfId="878" totalsRowDxfId="877"/>
    <tableColumn id="25" name="24" totalsRowFunction="count" dataDxfId="876" totalsRowDxfId="875"/>
    <tableColumn id="26" name="25" totalsRowFunction="count" dataDxfId="874" totalsRowDxfId="873"/>
    <tableColumn id="27" name="26" totalsRowFunction="count" dataDxfId="872" totalsRowDxfId="871"/>
    <tableColumn id="28" name="27" totalsRowFunction="count" dataDxfId="870" totalsRowDxfId="869"/>
    <tableColumn id="29" name="28" totalsRowFunction="count" dataDxfId="868" totalsRowDxfId="867"/>
    <tableColumn id="30" name="29" totalsRowFunction="count" dataDxfId="866" totalsRowDxfId="865"/>
    <tableColumn id="31" name="30" totalsRowFunction="sum" dataDxfId="864" totalsRowDxfId="863"/>
    <tableColumn id="32" name="31" totalsRowFunction="sum" dataDxfId="862" totalsRowDxfId="861" dataCellStyle="Total"/>
    <tableColumn id="33" name="Número total de días" totalsRowFunction="sum" dataDxfId="860" totalsRowDxfId="859" dataCellStyle="Total">
      <calculatedColumnFormula>COUNTA(Marzo[[#This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4.xml><?xml version="1.0" encoding="utf-8"?>
<table xmlns="http://schemas.openxmlformats.org/spreadsheetml/2006/main" id="15" name="Abril" displayName="Abril" ref="B6:AH12" totalsRowCount="1" headerRowDxfId="858" dataDxfId="857" totalsRowDxfId="856">
  <tableColumns count="33">
    <tableColumn id="1" name="Nombre del empleado" totalsRowFunction="custom" dataDxfId="855" totalsRowDxfId="328">
      <totalsRowFormula>MonthName&amp;" Total"</totalsRowFormula>
    </tableColumn>
    <tableColumn id="2" name="1" totalsRowFunction="count" dataDxfId="854" totalsRowDxfId="327"/>
    <tableColumn id="3" name="2" totalsRowFunction="count" dataDxfId="853" totalsRowDxfId="326"/>
    <tableColumn id="4" name="3" totalsRowFunction="count" dataDxfId="852" totalsRowDxfId="325"/>
    <tableColumn id="5" name="4" totalsRowFunction="count" dataDxfId="851" totalsRowDxfId="324"/>
    <tableColumn id="6" name="5" totalsRowFunction="count" dataDxfId="850" totalsRowDxfId="323"/>
    <tableColumn id="7" name="6" totalsRowFunction="count" dataDxfId="849" totalsRowDxfId="322"/>
    <tableColumn id="8" name="7" totalsRowFunction="count" dataDxfId="848" totalsRowDxfId="321"/>
    <tableColumn id="9" name="8" totalsRowFunction="count" dataDxfId="847" totalsRowDxfId="320"/>
    <tableColumn id="10" name="9" totalsRowFunction="count" dataDxfId="846" totalsRowDxfId="319"/>
    <tableColumn id="11" name="10" totalsRowFunction="count" dataDxfId="845" totalsRowDxfId="318"/>
    <tableColumn id="12" name="11" totalsRowFunction="count" dataDxfId="844" totalsRowDxfId="317"/>
    <tableColumn id="13" name="12" totalsRowFunction="count" dataDxfId="843" totalsRowDxfId="316"/>
    <tableColumn id="14" name="13" totalsRowFunction="count" dataDxfId="842" totalsRowDxfId="315"/>
    <tableColumn id="15" name="14" totalsRowFunction="count" dataDxfId="841" totalsRowDxfId="314"/>
    <tableColumn id="16" name="15" totalsRowFunction="count" dataDxfId="840" totalsRowDxfId="313"/>
    <tableColumn id="17" name="16" totalsRowFunction="count" dataDxfId="839" totalsRowDxfId="312"/>
    <tableColumn id="18" name="17" totalsRowFunction="count" dataDxfId="838" totalsRowDxfId="311"/>
    <tableColumn id="19" name="18" totalsRowFunction="count" dataDxfId="837" totalsRowDxfId="310"/>
    <tableColumn id="20" name="19" totalsRowFunction="count" dataDxfId="836" totalsRowDxfId="309"/>
    <tableColumn id="21" name="20" totalsRowFunction="count" dataDxfId="835" totalsRowDxfId="308"/>
    <tableColumn id="22" name="21" totalsRowFunction="count" dataDxfId="834" totalsRowDxfId="307"/>
    <tableColumn id="23" name="22" totalsRowFunction="count" dataDxfId="833" totalsRowDxfId="306"/>
    <tableColumn id="24" name="23" totalsRowFunction="count" dataDxfId="832" totalsRowDxfId="305"/>
    <tableColumn id="25" name="24" totalsRowFunction="count" dataDxfId="831" totalsRowDxfId="304"/>
    <tableColumn id="26" name="25" totalsRowFunction="count" dataDxfId="830" totalsRowDxfId="303"/>
    <tableColumn id="27" name="26" totalsRowFunction="count" dataDxfId="829" totalsRowDxfId="302"/>
    <tableColumn id="28" name="27" totalsRowFunction="count" dataDxfId="828" totalsRowDxfId="301"/>
    <tableColumn id="29" name="28" totalsRowFunction="count" dataDxfId="827" totalsRowDxfId="300"/>
    <tableColumn id="30" name="29" totalsRowFunction="count" dataDxfId="826" totalsRowDxfId="299"/>
    <tableColumn id="31" name="30" totalsRowFunction="sum" dataDxfId="825" totalsRowDxfId="298"/>
    <tableColumn id="32" name="31" totalsRowFunction="sum" dataDxfId="824" totalsRowDxfId="297" dataCellStyle="Total"/>
    <tableColumn id="33" name="Número total de días" totalsRowFunction="sum" dataDxfId="823" totalsRowDxfId="296" dataCellStyle="Total">
      <calculatedColumnFormula>COUNTA(Abril[[#This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5.xml><?xml version="1.0" encoding="utf-8"?>
<table xmlns="http://schemas.openxmlformats.org/spreadsheetml/2006/main" id="16" name="Mayo" displayName="Mayo" ref="B6:AG11" totalsRowShown="0" headerRowDxfId="822" dataDxfId="821" totalsRowDxfId="820">
  <tableColumns count="32">
    <tableColumn id="1" name="Nombre del empleado" dataDxfId="819" totalsRowDxfId="290"/>
    <tableColumn id="2" name="1" dataDxfId="81" totalsRowDxfId="289"/>
    <tableColumn id="3" name="2" dataDxfId="80" totalsRowDxfId="288"/>
    <tableColumn id="4" name="3" dataDxfId="79" totalsRowDxfId="287"/>
    <tableColumn id="5" name="4" dataDxfId="818" totalsRowDxfId="286"/>
    <tableColumn id="6" name="5" dataDxfId="817" totalsRowDxfId="285"/>
    <tableColumn id="7" name="6" dataDxfId="78" totalsRowDxfId="284"/>
    <tableColumn id="8" name="7" dataDxfId="77" totalsRowDxfId="283"/>
    <tableColumn id="9" name="8" dataDxfId="76" totalsRowDxfId="282"/>
    <tableColumn id="10" name="9" dataDxfId="75" totalsRowDxfId="281"/>
    <tableColumn id="11" name="10" dataDxfId="74" totalsRowDxfId="280"/>
    <tableColumn id="12" name="11" dataDxfId="816" totalsRowDxfId="279"/>
    <tableColumn id="13" name="12" dataDxfId="815" totalsRowDxfId="278"/>
    <tableColumn id="14" name="13" dataDxfId="73" totalsRowDxfId="277"/>
    <tableColumn id="15" name="14" dataDxfId="72" totalsRowDxfId="276"/>
    <tableColumn id="16" name="15" dataDxfId="71" totalsRowDxfId="275"/>
    <tableColumn id="17" name="16" dataDxfId="70" totalsRowDxfId="274"/>
    <tableColumn id="18" name="17" dataDxfId="69" totalsRowDxfId="273"/>
    <tableColumn id="19" name="18" dataDxfId="814" totalsRowDxfId="272"/>
    <tableColumn id="20" name="19" dataDxfId="813" totalsRowDxfId="271"/>
    <tableColumn id="21" name="20" dataDxfId="68" totalsRowDxfId="270"/>
    <tableColumn id="22" name="21" dataDxfId="67" totalsRowDxfId="269"/>
    <tableColumn id="23" name="22" dataDxfId="66" totalsRowDxfId="268"/>
    <tableColumn id="24" name="23" dataDxfId="13" totalsRowDxfId="267"/>
    <tableColumn id="25" name="24" dataDxfId="11" totalsRowDxfId="266"/>
    <tableColumn id="26" name="25" dataDxfId="12" totalsRowDxfId="265"/>
    <tableColumn id="27" name="26" dataDxfId="812" totalsRowDxfId="264"/>
    <tableColumn id="28" name="27" dataDxfId="65" totalsRowDxfId="263"/>
    <tableColumn id="29" name="28" dataDxfId="64" totalsRowDxfId="262"/>
    <tableColumn id="30" name="29" dataDxfId="63" totalsRowDxfId="261"/>
    <tableColumn id="31" name="30" dataDxfId="62" totalsRowDxfId="260"/>
    <tableColumn id="32" name="31" dataDxfId="61" totalsRowDxfId="259" dataCellStyle="Total"/>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6.xml><?xml version="1.0" encoding="utf-8"?>
<table xmlns="http://schemas.openxmlformats.org/spreadsheetml/2006/main" id="1" name="Mayo2" displayName="Mayo2" ref="B15:AG20" totalsRowShown="0" headerRowDxfId="176" dataDxfId="175" totalsRowDxfId="174">
  <tableColumns count="32">
    <tableColumn id="1" name="Nombre del empleado" dataDxfId="10" totalsRowDxfId="173"/>
    <tableColumn id="2" name="1" dataDxfId="8" totalsRowDxfId="172"/>
    <tableColumn id="3" name="2" dataDxfId="9" totalsRowDxfId="171"/>
    <tableColumn id="4" name="3" dataDxfId="41" totalsRowDxfId="170"/>
    <tableColumn id="5" name="4" dataDxfId="168" totalsRowDxfId="169"/>
    <tableColumn id="6" name="5" dataDxfId="166" totalsRowDxfId="167"/>
    <tableColumn id="7" name="6" dataDxfId="46" totalsRowDxfId="165"/>
    <tableColumn id="8" name="7" dataDxfId="45" totalsRowDxfId="164"/>
    <tableColumn id="9" name="8" dataDxfId="44" totalsRowDxfId="163"/>
    <tableColumn id="10" name="9" dataDxfId="43" totalsRowDxfId="162"/>
    <tableColumn id="11" name="10" dataDxfId="42" totalsRowDxfId="161"/>
    <tableColumn id="12" name="11" dataDxfId="159" totalsRowDxfId="160"/>
    <tableColumn id="13" name="12" dataDxfId="157" totalsRowDxfId="158"/>
    <tableColumn id="14" name="13" dataDxfId="51" totalsRowDxfId="156"/>
    <tableColumn id="15" name="14" dataDxfId="50" totalsRowDxfId="155"/>
    <tableColumn id="16" name="15" dataDxfId="49" totalsRowDxfId="154"/>
    <tableColumn id="17" name="16" dataDxfId="48" totalsRowDxfId="153"/>
    <tableColumn id="18" name="17" dataDxfId="47" totalsRowDxfId="152"/>
    <tableColumn id="19" name="18" dataDxfId="150" totalsRowDxfId="151"/>
    <tableColumn id="20" name="19" dataDxfId="148" totalsRowDxfId="149"/>
    <tableColumn id="21" name="20" dataDxfId="56" totalsRowDxfId="147"/>
    <tableColumn id="22" name="21" dataDxfId="55" totalsRowDxfId="146"/>
    <tableColumn id="23" name="22" dataDxfId="54" totalsRowDxfId="145"/>
    <tableColumn id="24" name="23" dataDxfId="53" totalsRowDxfId="144"/>
    <tableColumn id="25" name="24" dataDxfId="52" totalsRowDxfId="143"/>
    <tableColumn id="26" name="25" dataDxfId="141" totalsRowDxfId="142"/>
    <tableColumn id="27" name="26" dataDxfId="139" totalsRowDxfId="140"/>
    <tableColumn id="28" name="27" dataDxfId="60" totalsRowDxfId="138"/>
    <tableColumn id="29" name="28" dataDxfId="59" totalsRowDxfId="137"/>
    <tableColumn id="30" name="29" dataDxfId="58" totalsRowDxfId="136"/>
    <tableColumn id="31" name="30" dataDxfId="57" totalsRowDxfId="135"/>
    <tableColumn id="32" name="31" dataDxfId="14" dataCellStyle="Total"/>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7.xml><?xml version="1.0" encoding="utf-8"?>
<table xmlns="http://schemas.openxmlformats.org/spreadsheetml/2006/main" id="4" name="Mayo5" displayName="Mayo5" ref="B24:AG29" totalsRowShown="0" headerRowDxfId="124" dataDxfId="123" totalsRowDxfId="122">
  <tableColumns count="32">
    <tableColumn id="1" name="Nombre del empleado" dataDxfId="7" totalsRowDxfId="121"/>
    <tableColumn id="2" name="1" dataDxfId="5" totalsRowDxfId="120"/>
    <tableColumn id="3" name="2" dataDxfId="6" totalsRowDxfId="119"/>
    <tableColumn id="4" name="3" dataDxfId="20" totalsRowDxfId="118"/>
    <tableColumn id="5" name="4" dataDxfId="116" totalsRowDxfId="117"/>
    <tableColumn id="6" name="5" dataDxfId="114" totalsRowDxfId="115"/>
    <tableColumn id="7" name="6" dataDxfId="25" totalsRowDxfId="113"/>
    <tableColumn id="8" name="7" dataDxfId="24" totalsRowDxfId="112"/>
    <tableColumn id="9" name="8" dataDxfId="23" totalsRowDxfId="111"/>
    <tableColumn id="10" name="9" dataDxfId="22" totalsRowDxfId="110"/>
    <tableColumn id="11" name="10" dataDxfId="21" totalsRowDxfId="109"/>
    <tableColumn id="12" name="11" dataDxfId="107" totalsRowDxfId="108"/>
    <tableColumn id="13" name="12" dataDxfId="105" totalsRowDxfId="106"/>
    <tableColumn id="14" name="13" dataDxfId="30" totalsRowDxfId="104"/>
    <tableColumn id="15" name="14" dataDxfId="29" totalsRowDxfId="103"/>
    <tableColumn id="16" name="15" dataDxfId="28" totalsRowDxfId="102"/>
    <tableColumn id="17" name="16" dataDxfId="27" totalsRowDxfId="101"/>
    <tableColumn id="18" name="17" dataDxfId="26" totalsRowDxfId="100"/>
    <tableColumn id="19" name="18" dataDxfId="98" totalsRowDxfId="99"/>
    <tableColumn id="20" name="19" dataDxfId="96" totalsRowDxfId="97"/>
    <tableColumn id="21" name="20" dataDxfId="35" totalsRowDxfId="95"/>
    <tableColumn id="22" name="21" dataDxfId="34" totalsRowDxfId="94"/>
    <tableColumn id="23" name="22" dataDxfId="33" totalsRowDxfId="93"/>
    <tableColumn id="24" name="23" dataDxfId="32" totalsRowDxfId="92"/>
    <tableColumn id="25" name="24" dataDxfId="31" totalsRowDxfId="91"/>
    <tableColumn id="26" name="25" dataDxfId="89" totalsRowDxfId="90"/>
    <tableColumn id="27" name="26" dataDxfId="87" totalsRowDxfId="88"/>
    <tableColumn id="28" name="27" dataDxfId="40" totalsRowDxfId="86"/>
    <tableColumn id="29" name="28" dataDxfId="39" totalsRowDxfId="85"/>
    <tableColumn id="30" name="29" dataDxfId="38" totalsRowDxfId="84"/>
    <tableColumn id="31" name="30" dataDxfId="37" totalsRowDxfId="83"/>
    <tableColumn id="32" name="31" dataDxfId="36" totalsRowDxfId="82" dataCellStyle="Total"/>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8.xml><?xml version="1.0" encoding="utf-8"?>
<table xmlns="http://schemas.openxmlformats.org/spreadsheetml/2006/main" id="17" name="Junio" displayName="Junio" ref="B6:AH12" totalsRowCount="1" headerRowDxfId="811" dataDxfId="810" totalsRowDxfId="809">
  <tableColumns count="33">
    <tableColumn id="1" name="Nombre del empleado" totalsRowFunction="custom" dataDxfId="808" totalsRowDxfId="807">
      <totalsRowFormula>MonthName&amp;" Total"</totalsRowFormula>
    </tableColumn>
    <tableColumn id="2" name="1" totalsRowFunction="count" dataDxfId="806" totalsRowDxfId="805"/>
    <tableColumn id="3" name="2" totalsRowFunction="count" dataDxfId="804" totalsRowDxfId="803"/>
    <tableColumn id="4" name="3" totalsRowFunction="count" dataDxfId="802" totalsRowDxfId="801"/>
    <tableColumn id="5" name="4" totalsRowFunction="count" dataDxfId="800" totalsRowDxfId="799"/>
    <tableColumn id="6" name="5" totalsRowFunction="count" dataDxfId="798" totalsRowDxfId="797"/>
    <tableColumn id="7" name="6" totalsRowFunction="count" dataDxfId="796" totalsRowDxfId="795"/>
    <tableColumn id="8" name="7" totalsRowFunction="count" dataDxfId="794" totalsRowDxfId="793"/>
    <tableColumn id="9" name="8" totalsRowFunction="count" dataDxfId="792" totalsRowDxfId="791"/>
    <tableColumn id="10" name="9" totalsRowFunction="count" dataDxfId="790" totalsRowDxfId="789"/>
    <tableColumn id="11" name="10" totalsRowFunction="count" dataDxfId="788" totalsRowDxfId="787"/>
    <tableColumn id="12" name="11" totalsRowFunction="count" dataDxfId="786" totalsRowDxfId="785"/>
    <tableColumn id="13" name="12" totalsRowFunction="count" dataDxfId="784" totalsRowDxfId="783"/>
    <tableColumn id="14" name="13" totalsRowFunction="count" dataDxfId="782" totalsRowDxfId="781"/>
    <tableColumn id="15" name="14" totalsRowFunction="count" dataDxfId="780" totalsRowDxfId="779"/>
    <tableColumn id="16" name="15" totalsRowFunction="count" dataDxfId="778" totalsRowDxfId="777"/>
    <tableColumn id="17" name="16" totalsRowFunction="count" dataDxfId="776" totalsRowDxfId="775"/>
    <tableColumn id="18" name="17" totalsRowFunction="count" dataDxfId="774" totalsRowDxfId="773"/>
    <tableColumn id="19" name="18" totalsRowFunction="count" dataDxfId="772" totalsRowDxfId="771"/>
    <tableColumn id="20" name="19" totalsRowFunction="count" dataDxfId="770" totalsRowDxfId="769"/>
    <tableColumn id="21" name="20" totalsRowFunction="count" dataDxfId="768" totalsRowDxfId="767"/>
    <tableColumn id="22" name="21" totalsRowFunction="count" dataDxfId="766" totalsRowDxfId="765"/>
    <tableColumn id="23" name="22" totalsRowFunction="count" dataDxfId="764" totalsRowDxfId="763"/>
    <tableColumn id="24" name="23" totalsRowFunction="count" dataDxfId="762" totalsRowDxfId="761"/>
    <tableColumn id="25" name="24" totalsRowFunction="count" dataDxfId="760" totalsRowDxfId="759"/>
    <tableColumn id="26" name="25" totalsRowFunction="count" dataDxfId="758" totalsRowDxfId="757"/>
    <tableColumn id="27" name="26" totalsRowFunction="count" dataDxfId="756" totalsRowDxfId="755"/>
    <tableColumn id="28" name="27" totalsRowFunction="count" dataDxfId="754" totalsRowDxfId="753"/>
    <tableColumn id="29" name="28" totalsRowFunction="count" dataDxfId="752" totalsRowDxfId="751"/>
    <tableColumn id="30" name="29" totalsRowFunction="count" dataDxfId="750" totalsRowDxfId="749"/>
    <tableColumn id="31" name="30" totalsRowFunction="sum" dataDxfId="748" totalsRowDxfId="747"/>
    <tableColumn id="32" name="31" totalsRowFunction="sum" dataDxfId="746" totalsRowDxfId="745" dataCellStyle="Total"/>
    <tableColumn id="33" name="Número total de días" totalsRowFunction="sum" dataDxfId="744" totalsRowDxfId="743" dataCellStyle="Total">
      <calculatedColumnFormula>COUNTA(Junio[[#This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9.xml><?xml version="1.0" encoding="utf-8"?>
<table xmlns="http://schemas.openxmlformats.org/spreadsheetml/2006/main" id="18" name="Julio" displayName="Julio" ref="B6:AH12" totalsRowCount="1" headerRowDxfId="742" dataDxfId="741" totalsRowDxfId="740">
  <tableColumns count="33">
    <tableColumn id="1" name="Nombre del empleado" totalsRowFunction="custom" dataDxfId="739" totalsRowDxfId="738">
      <totalsRowFormula>MonthName&amp;" Total"</totalsRowFormula>
    </tableColumn>
    <tableColumn id="2" name="1" totalsRowFunction="count" dataDxfId="737" totalsRowDxfId="736"/>
    <tableColumn id="3" name="2" totalsRowFunction="count" dataDxfId="735" totalsRowDxfId="734"/>
    <tableColumn id="4" name="3" totalsRowFunction="count" dataDxfId="733" totalsRowDxfId="732"/>
    <tableColumn id="5" name="4" totalsRowFunction="count" dataDxfId="731" totalsRowDxfId="730"/>
    <tableColumn id="6" name="5" totalsRowFunction="count" dataDxfId="729" totalsRowDxfId="728"/>
    <tableColumn id="7" name="6" totalsRowFunction="count" dataDxfId="727" totalsRowDxfId="726"/>
    <tableColumn id="8" name="7" totalsRowFunction="count" dataDxfId="725" totalsRowDxfId="724"/>
    <tableColumn id="9" name="8" totalsRowFunction="count" dataDxfId="723" totalsRowDxfId="722"/>
    <tableColumn id="10" name="9" totalsRowFunction="count" dataDxfId="721" totalsRowDxfId="720"/>
    <tableColumn id="11" name="10" totalsRowFunction="count" dataDxfId="719" totalsRowDxfId="718"/>
    <tableColumn id="12" name="11" totalsRowFunction="count" dataDxfId="717" totalsRowDxfId="716"/>
    <tableColumn id="13" name="12" totalsRowFunction="count" dataDxfId="715" totalsRowDxfId="714"/>
    <tableColumn id="14" name="13" totalsRowFunction="count" dataDxfId="713" totalsRowDxfId="712"/>
    <tableColumn id="15" name="14" totalsRowFunction="count" dataDxfId="711" totalsRowDxfId="710"/>
    <tableColumn id="16" name="15" totalsRowFunction="count" dataDxfId="709" totalsRowDxfId="708"/>
    <tableColumn id="17" name="16" totalsRowFunction="count" dataDxfId="707" totalsRowDxfId="706"/>
    <tableColumn id="18" name="17" totalsRowFunction="count" dataDxfId="705" totalsRowDxfId="704"/>
    <tableColumn id="19" name="18" totalsRowFunction="count" dataDxfId="703" totalsRowDxfId="702"/>
    <tableColumn id="20" name="19" totalsRowFunction="count" dataDxfId="701" totalsRowDxfId="700"/>
    <tableColumn id="21" name="20" totalsRowFunction="count" dataDxfId="699" totalsRowDxfId="698"/>
    <tableColumn id="22" name="21" totalsRowFunction="count" dataDxfId="697" totalsRowDxfId="696"/>
    <tableColumn id="23" name="22" totalsRowFunction="count" dataDxfId="695" totalsRowDxfId="694"/>
    <tableColumn id="24" name="23" totalsRowFunction="count" dataDxfId="693" totalsRowDxfId="692"/>
    <tableColumn id="25" name="24" totalsRowFunction="count" dataDxfId="691" totalsRowDxfId="690"/>
    <tableColumn id="26" name="25" totalsRowFunction="count" dataDxfId="689" totalsRowDxfId="688"/>
    <tableColumn id="27" name="26" totalsRowFunction="count" dataDxfId="687" totalsRowDxfId="686"/>
    <tableColumn id="28" name="27" totalsRowFunction="count" dataDxfId="685" totalsRowDxfId="684"/>
    <tableColumn id="29" name="28" totalsRowFunction="count" dataDxfId="683" totalsRowDxfId="682"/>
    <tableColumn id="30" name="29" totalsRowFunction="count" dataDxfId="681" totalsRowDxfId="680"/>
    <tableColumn id="31" name="30" totalsRowFunction="sum" dataDxfId="679" totalsRowDxfId="678"/>
    <tableColumn id="32" name="31" totalsRowFunction="sum" dataDxfId="677" totalsRowDxfId="676" dataCellStyle="Total"/>
    <tableColumn id="33" name="Número total de días" totalsRowFunction="sum" dataDxfId="675" totalsRowDxfId="674" dataCellStyle="Total">
      <calculatedColumnFormula>COUNTA(Julio[[#This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pageSetUpPr fitToPage="1"/>
  </sheetPr>
  <dimension ref="A1:AH12"/>
  <sheetViews>
    <sheetView showGridLines="0" zoomScaleNormal="100" workbookViewId="0">
      <selection activeCell="B2" sqref="B2"/>
    </sheetView>
  </sheetViews>
  <sheetFormatPr baseColWidth="10" defaultColWidth="9.140625" defaultRowHeight="30" customHeight="1"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1:34" ht="50.1" customHeight="1" x14ac:dyDescent="0.25">
      <c r="A1" s="23"/>
      <c r="B1" s="13" t="s">
        <v>77</v>
      </c>
    </row>
    <row r="2" spans="1:34" ht="15" customHeight="1" x14ac:dyDescent="0.25">
      <c r="B2" s="17" t="s">
        <v>0</v>
      </c>
      <c r="C2" s="3" t="s">
        <v>3</v>
      </c>
      <c r="D2" s="60" t="s">
        <v>5</v>
      </c>
      <c r="E2" s="60"/>
      <c r="F2" s="60"/>
      <c r="G2" s="4" t="s">
        <v>8</v>
      </c>
      <c r="H2" s="60" t="s">
        <v>12</v>
      </c>
      <c r="I2" s="60"/>
      <c r="J2" s="60"/>
      <c r="K2" s="5" t="s">
        <v>10</v>
      </c>
      <c r="L2" s="60" t="s">
        <v>17</v>
      </c>
      <c r="M2" s="60"/>
      <c r="N2" s="60"/>
      <c r="O2" s="60"/>
      <c r="P2" s="6" t="s">
        <v>66</v>
      </c>
      <c r="Q2" s="61" t="s">
        <v>64</v>
      </c>
      <c r="R2" s="60"/>
      <c r="S2" s="60"/>
      <c r="T2" s="60"/>
      <c r="U2" s="7" t="s">
        <v>67</v>
      </c>
      <c r="V2" s="61" t="s">
        <v>65</v>
      </c>
      <c r="W2" s="60"/>
      <c r="X2" s="60"/>
      <c r="Y2" s="60"/>
    </row>
    <row r="3" spans="1:34" ht="15" customHeight="1" x14ac:dyDescent="0.25">
      <c r="AH3" s="18" t="s">
        <v>42</v>
      </c>
    </row>
    <row r="4" spans="1:34" ht="30" customHeight="1" x14ac:dyDescent="0.25">
      <c r="B4" s="11" t="s">
        <v>1</v>
      </c>
      <c r="C4" s="59" t="s">
        <v>58</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v>2019</v>
      </c>
    </row>
    <row r="5" spans="1:34" ht="15" customHeight="1" x14ac:dyDescent="0.25">
      <c r="B5" s="11"/>
      <c r="C5" s="1" t="str">
        <f>TEXT(WEEKDAY(DATE(CalendarYear,1,1),1),"ddd")</f>
        <v>mar</v>
      </c>
      <c r="D5" s="1" t="str">
        <f>TEXT(WEEKDAY(DATE(CalendarYear,1,2),1),"ddd")</f>
        <v>mié</v>
      </c>
      <c r="E5" s="1" t="str">
        <f>TEXT(WEEKDAY(DATE(CalendarYear,1,3),1),"ddd")</f>
        <v>jue</v>
      </c>
      <c r="F5" s="1" t="str">
        <f>TEXT(WEEKDAY(DATE(CalendarYear,1,4),1),"ddd")</f>
        <v>vie</v>
      </c>
      <c r="G5" s="1" t="str">
        <f>TEXT(WEEKDAY(DATE(CalendarYear,1,5),1),"ddd")</f>
        <v>sáb</v>
      </c>
      <c r="H5" s="1" t="str">
        <f>TEXT(WEEKDAY(DATE(CalendarYear,1,6),1),"ddd")</f>
        <v>dom</v>
      </c>
      <c r="I5" s="1" t="str">
        <f>TEXT(WEEKDAY(DATE(CalendarYear,1,7),1),"ddd")</f>
        <v>lun</v>
      </c>
      <c r="J5" s="1" t="str">
        <f>TEXT(WEEKDAY(DATE(CalendarYear,1,8),1),"ddd")</f>
        <v>mar</v>
      </c>
      <c r="K5" s="1" t="str">
        <f>TEXT(WEEKDAY(DATE(CalendarYear,1,9),1),"ddd")</f>
        <v>mié</v>
      </c>
      <c r="L5" s="1" t="str">
        <f>TEXT(WEEKDAY(DATE(CalendarYear,1,10),1),"ddd")</f>
        <v>jue</v>
      </c>
      <c r="M5" s="1" t="str">
        <f>TEXT(WEEKDAY(DATE(CalendarYear,1,11),1),"ddd")</f>
        <v>vie</v>
      </c>
      <c r="N5" s="1" t="str">
        <f>TEXT(WEEKDAY(DATE(CalendarYear,1,12),1),"ddd")</f>
        <v>sáb</v>
      </c>
      <c r="O5" s="1" t="str">
        <f>TEXT(WEEKDAY(DATE(CalendarYear,1,13),1),"ddd")</f>
        <v>dom</v>
      </c>
      <c r="P5" s="1" t="str">
        <f>TEXT(WEEKDAY(DATE(CalendarYear,1,14),1),"ddd")</f>
        <v>lun</v>
      </c>
      <c r="Q5" s="1" t="str">
        <f>TEXT(WEEKDAY(DATE(CalendarYear,1,15),1),"ddd")</f>
        <v>mar</v>
      </c>
      <c r="R5" s="1" t="str">
        <f>TEXT(WEEKDAY(DATE(CalendarYear,1,16),1),"ddd")</f>
        <v>mié</v>
      </c>
      <c r="S5" s="1" t="str">
        <f>TEXT(WEEKDAY(DATE(CalendarYear,1,17),1),"ddd")</f>
        <v>jue</v>
      </c>
      <c r="T5" s="1" t="str">
        <f>TEXT(WEEKDAY(DATE(CalendarYear,1,18),1),"ddd")</f>
        <v>vie</v>
      </c>
      <c r="U5" s="1" t="str">
        <f>TEXT(WEEKDAY(DATE(CalendarYear,1,19),1),"ddd")</f>
        <v>sáb</v>
      </c>
      <c r="V5" s="1" t="str">
        <f>TEXT(WEEKDAY(DATE(CalendarYear,1,20),1),"ddd")</f>
        <v>dom</v>
      </c>
      <c r="W5" s="1" t="str">
        <f>TEXT(WEEKDAY(DATE(CalendarYear,1,21),1),"ddd")</f>
        <v>lun</v>
      </c>
      <c r="X5" s="1" t="str">
        <f>TEXT(WEEKDAY(DATE(CalendarYear,1,22),1),"ddd")</f>
        <v>mar</v>
      </c>
      <c r="Y5" s="1" t="str">
        <f>TEXT(WEEKDAY(DATE(CalendarYear,1,23),1),"ddd")</f>
        <v>mié</v>
      </c>
      <c r="Z5" s="1" t="str">
        <f>TEXT(WEEKDAY(DATE(CalendarYear,1,24),1),"ddd")</f>
        <v>jue</v>
      </c>
      <c r="AA5" s="1" t="str">
        <f>TEXT(WEEKDAY(DATE(CalendarYear,1,25),1),"ddd")</f>
        <v>vie</v>
      </c>
      <c r="AB5" s="1" t="str">
        <f>TEXT(WEEKDAY(DATE(CalendarYear,1,26),1),"ddd")</f>
        <v>sáb</v>
      </c>
      <c r="AC5" s="1" t="str">
        <f>TEXT(WEEKDAY(DATE(CalendarYear,1,27),1),"ddd")</f>
        <v>dom</v>
      </c>
      <c r="AD5" s="1" t="str">
        <f>TEXT(WEEKDAY(DATE(CalendarYear,1,28),1),"ddd")</f>
        <v>lun</v>
      </c>
      <c r="AE5" s="1" t="str">
        <f>TEXT(WEEKDAY(DATE(CalendarYear,1,29),1),"ddd")</f>
        <v>mar</v>
      </c>
      <c r="AF5" s="1" t="str">
        <f>TEXT(WEEKDAY(DATE(CalendarYear,1,30),1),"ddd")</f>
        <v>mié</v>
      </c>
      <c r="AG5" s="1" t="str">
        <f>TEXT(WEEKDAY(DATE(CalendarYear,1,31),1),"ddd")</f>
        <v>jue</v>
      </c>
      <c r="AH5" s="11"/>
    </row>
    <row r="6" spans="1:34" ht="15" customHeight="1" x14ac:dyDescent="0.25">
      <c r="B6" s="14" t="s">
        <v>2</v>
      </c>
      <c r="C6" s="2" t="s">
        <v>4</v>
      </c>
      <c r="D6" s="2" t="s">
        <v>6</v>
      </c>
      <c r="E6" s="2" t="s">
        <v>7</v>
      </c>
      <c r="F6" s="2" t="s">
        <v>9</v>
      </c>
      <c r="G6" s="2" t="s">
        <v>11</v>
      </c>
      <c r="H6" s="2" t="s">
        <v>13</v>
      </c>
      <c r="I6" s="2" t="s">
        <v>14</v>
      </c>
      <c r="J6" s="2" t="s">
        <v>15</v>
      </c>
      <c r="K6" s="2" t="s">
        <v>16</v>
      </c>
      <c r="L6" s="2" t="s">
        <v>18</v>
      </c>
      <c r="M6" s="2" t="s">
        <v>19</v>
      </c>
      <c r="N6" s="2" t="s">
        <v>20</v>
      </c>
      <c r="O6" s="2" t="s">
        <v>22</v>
      </c>
      <c r="P6" s="2" t="s">
        <v>23</v>
      </c>
      <c r="Q6" s="2" t="s">
        <v>24</v>
      </c>
      <c r="R6" s="2" t="s">
        <v>25</v>
      </c>
      <c r="S6" s="2" t="s">
        <v>27</v>
      </c>
      <c r="T6" s="2" t="s">
        <v>28</v>
      </c>
      <c r="U6" s="2" t="s">
        <v>29</v>
      </c>
      <c r="V6" s="2" t="s">
        <v>30</v>
      </c>
      <c r="W6" s="2" t="s">
        <v>31</v>
      </c>
      <c r="X6" s="2" t="s">
        <v>32</v>
      </c>
      <c r="Y6" s="2" t="s">
        <v>33</v>
      </c>
      <c r="Z6" s="2" t="s">
        <v>34</v>
      </c>
      <c r="AA6" s="2" t="s">
        <v>35</v>
      </c>
      <c r="AB6" s="2" t="s">
        <v>36</v>
      </c>
      <c r="AC6" s="2" t="s">
        <v>37</v>
      </c>
      <c r="AD6" s="2" t="s">
        <v>38</v>
      </c>
      <c r="AE6" s="2" t="s">
        <v>39</v>
      </c>
      <c r="AF6" s="2" t="s">
        <v>40</v>
      </c>
      <c r="AG6" s="2" t="s">
        <v>41</v>
      </c>
      <c r="AH6" s="15" t="s">
        <v>43</v>
      </c>
    </row>
    <row r="7" spans="1:34" ht="30" customHeight="1" x14ac:dyDescent="0.25">
      <c r="B7" s="8" t="s">
        <v>59</v>
      </c>
      <c r="C7" s="2"/>
      <c r="D7" s="2"/>
      <c r="E7" s="2" t="s">
        <v>3</v>
      </c>
      <c r="F7" s="2" t="s">
        <v>3</v>
      </c>
      <c r="G7" s="2" t="s">
        <v>3</v>
      </c>
      <c r="H7" s="2" t="s">
        <v>3</v>
      </c>
      <c r="I7" s="2"/>
      <c r="J7" s="2"/>
      <c r="K7" s="2"/>
      <c r="L7" s="2"/>
      <c r="M7" s="2"/>
      <c r="N7" s="2"/>
      <c r="O7" s="2" t="s">
        <v>3</v>
      </c>
      <c r="P7" s="2"/>
      <c r="Q7" s="2"/>
      <c r="R7" s="2"/>
      <c r="S7" s="2"/>
      <c r="T7" s="2"/>
      <c r="U7" s="2"/>
      <c r="V7" s="2"/>
      <c r="W7" s="2"/>
      <c r="X7" s="2"/>
      <c r="Y7" s="2"/>
      <c r="Z7" s="2"/>
      <c r="AA7" s="2"/>
      <c r="AB7" s="2"/>
      <c r="AC7" s="2"/>
      <c r="AD7" s="2"/>
      <c r="AE7" s="2"/>
      <c r="AF7" s="2"/>
      <c r="AG7" s="2"/>
      <c r="AH7" s="9">
        <f>COUNTA(Enero!$C7:$AG7)</f>
        <v>5</v>
      </c>
    </row>
    <row r="8" spans="1:34" ht="30" customHeight="1" x14ac:dyDescent="0.25">
      <c r="B8" s="8" t="s">
        <v>61</v>
      </c>
      <c r="C8" s="2"/>
      <c r="D8" s="2"/>
      <c r="E8" s="2"/>
      <c r="F8" s="2"/>
      <c r="G8" s="2" t="s">
        <v>10</v>
      </c>
      <c r="H8" s="2" t="s">
        <v>10</v>
      </c>
      <c r="I8" s="2"/>
      <c r="J8" s="2"/>
      <c r="K8" s="2"/>
      <c r="L8" s="2"/>
      <c r="M8" s="2" t="s">
        <v>8</v>
      </c>
      <c r="N8" s="2"/>
      <c r="O8" s="2"/>
      <c r="P8" s="2"/>
      <c r="Q8" s="2"/>
      <c r="R8" s="2"/>
      <c r="S8" s="2"/>
      <c r="T8" s="2"/>
      <c r="U8" s="2"/>
      <c r="V8" s="2" t="s">
        <v>10</v>
      </c>
      <c r="W8" s="2"/>
      <c r="X8" s="2"/>
      <c r="Y8" s="2"/>
      <c r="Z8" s="2"/>
      <c r="AA8" s="2" t="s">
        <v>3</v>
      </c>
      <c r="AB8" s="2" t="s">
        <v>3</v>
      </c>
      <c r="AC8" s="2" t="s">
        <v>3</v>
      </c>
      <c r="AD8" s="2"/>
      <c r="AE8" s="2"/>
      <c r="AF8" s="2"/>
      <c r="AG8" s="2"/>
      <c r="AH8" s="9">
        <f>COUNTA(Enero!$C8:$AG8)</f>
        <v>7</v>
      </c>
    </row>
    <row r="9" spans="1:34" ht="30" customHeight="1" x14ac:dyDescent="0.25">
      <c r="B9" s="8" t="s">
        <v>60</v>
      </c>
      <c r="C9" s="2"/>
      <c r="D9" s="2"/>
      <c r="E9" s="2" t="s">
        <v>8</v>
      </c>
      <c r="F9" s="2"/>
      <c r="G9" s="2"/>
      <c r="H9" s="2"/>
      <c r="I9" s="2"/>
      <c r="J9" s="2"/>
      <c r="K9" s="2"/>
      <c r="L9" s="2"/>
      <c r="M9" s="2"/>
      <c r="N9" s="2"/>
      <c r="O9" s="2"/>
      <c r="P9" s="2" t="s">
        <v>10</v>
      </c>
      <c r="Q9" s="2"/>
      <c r="R9" s="2"/>
      <c r="S9" s="2"/>
      <c r="T9" s="2"/>
      <c r="U9" s="2"/>
      <c r="V9" s="2"/>
      <c r="W9" s="2"/>
      <c r="X9" s="2"/>
      <c r="Y9" s="2"/>
      <c r="Z9" s="2"/>
      <c r="AA9" s="2"/>
      <c r="AB9" s="2"/>
      <c r="AC9" s="2"/>
      <c r="AD9" s="2"/>
      <c r="AE9" s="2" t="s">
        <v>10</v>
      </c>
      <c r="AF9" s="2"/>
      <c r="AG9" s="2"/>
      <c r="AH9" s="9">
        <f>COUNTA(Enero!$C9:$AG9)</f>
        <v>3</v>
      </c>
    </row>
    <row r="10" spans="1:34" ht="30" customHeight="1" x14ac:dyDescent="0.25">
      <c r="B10" s="8" t="s">
        <v>62</v>
      </c>
      <c r="C10" s="2"/>
      <c r="D10" s="2"/>
      <c r="E10" s="2"/>
      <c r="F10" s="2"/>
      <c r="G10" s="2"/>
      <c r="H10" s="2"/>
      <c r="I10" s="2" t="s">
        <v>8</v>
      </c>
      <c r="J10" s="2"/>
      <c r="K10" s="2"/>
      <c r="L10" s="2"/>
      <c r="M10" s="2"/>
      <c r="N10" s="2"/>
      <c r="O10" s="2"/>
      <c r="P10" s="2"/>
      <c r="Q10" s="2"/>
      <c r="R10" s="2"/>
      <c r="S10" s="2"/>
      <c r="T10" s="2"/>
      <c r="U10" s="2" t="s">
        <v>3</v>
      </c>
      <c r="V10" s="2" t="s">
        <v>3</v>
      </c>
      <c r="W10" s="2" t="s">
        <v>3</v>
      </c>
      <c r="X10" s="2"/>
      <c r="Y10" s="2"/>
      <c r="Z10" s="2"/>
      <c r="AA10" s="2"/>
      <c r="AB10" s="2"/>
      <c r="AC10" s="2"/>
      <c r="AD10" s="2"/>
      <c r="AE10" s="2"/>
      <c r="AF10" s="2"/>
      <c r="AG10" s="2"/>
      <c r="AH10" s="9">
        <f>COUNTA(Enero!$C10:$AG10)</f>
        <v>4</v>
      </c>
    </row>
    <row r="11" spans="1:34" ht="30" customHeight="1" x14ac:dyDescent="0.25">
      <c r="B11" s="8" t="s">
        <v>63</v>
      </c>
      <c r="C11" s="2"/>
      <c r="D11" s="2"/>
      <c r="E11" s="2"/>
      <c r="F11" s="2" t="s">
        <v>10</v>
      </c>
      <c r="G11" s="2" t="s">
        <v>3</v>
      </c>
      <c r="H11" s="2" t="s">
        <v>3</v>
      </c>
      <c r="I11" s="2"/>
      <c r="J11" s="2"/>
      <c r="K11" s="2"/>
      <c r="L11" s="2"/>
      <c r="M11" s="2"/>
      <c r="N11" s="2"/>
      <c r="O11" s="2"/>
      <c r="P11" s="2"/>
      <c r="Q11" s="2"/>
      <c r="R11" s="2"/>
      <c r="S11" s="2" t="s">
        <v>10</v>
      </c>
      <c r="T11" s="2"/>
      <c r="U11" s="2"/>
      <c r="V11" s="2"/>
      <c r="W11" s="2"/>
      <c r="X11" s="2"/>
      <c r="Y11" s="2"/>
      <c r="Z11" s="2" t="s">
        <v>10</v>
      </c>
      <c r="AA11" s="2"/>
      <c r="AB11" s="2"/>
      <c r="AC11" s="2"/>
      <c r="AD11" s="2"/>
      <c r="AE11" s="2"/>
      <c r="AF11" s="2"/>
      <c r="AG11" s="2" t="s">
        <v>3</v>
      </c>
      <c r="AH11" s="9">
        <f>COUNTA(Enero!$C11:$AG11)</f>
        <v>6</v>
      </c>
    </row>
    <row r="12" spans="1:34" ht="30" customHeight="1" x14ac:dyDescent="0.25">
      <c r="B12" s="19" t="str">
        <f>MonthName&amp;" Total"</f>
        <v>Enero Total</v>
      </c>
      <c r="C12" s="12">
        <f>SUBTOTAL(103,Enero!$C$7:$C$11)</f>
        <v>0</v>
      </c>
      <c r="D12" s="12">
        <f>SUBTOTAL(103,Enero!$D$7:$D$11)</f>
        <v>0</v>
      </c>
      <c r="E12" s="12">
        <f>SUBTOTAL(103,Enero!$E$7:$E$11)</f>
        <v>2</v>
      </c>
      <c r="F12" s="12">
        <f>SUBTOTAL(103,Enero!$F$7:$F$11)</f>
        <v>2</v>
      </c>
      <c r="G12" s="12">
        <f>SUBTOTAL(103,Enero!$G$7:$G$11)</f>
        <v>3</v>
      </c>
      <c r="H12" s="12">
        <f>SUBTOTAL(103,Enero!$H$7:$H$11)</f>
        <v>3</v>
      </c>
      <c r="I12" s="12">
        <f>SUBTOTAL(103,Enero!$I$7:$I$11)</f>
        <v>1</v>
      </c>
      <c r="J12" s="12">
        <f>SUBTOTAL(103,Enero!$J$7:$J$11)</f>
        <v>0</v>
      </c>
      <c r="K12" s="12">
        <f>SUBTOTAL(103,Enero!$K$7:$K$11)</f>
        <v>0</v>
      </c>
      <c r="L12" s="12">
        <f>SUBTOTAL(103,Enero!$L$7:$L$11)</f>
        <v>0</v>
      </c>
      <c r="M12" s="12">
        <f>SUBTOTAL(103,Enero!$M$7:$M$11)</f>
        <v>1</v>
      </c>
      <c r="N12" s="12">
        <f>SUBTOTAL(103,Enero!$N$7:$N$11)</f>
        <v>0</v>
      </c>
      <c r="O12" s="12">
        <f>SUBTOTAL(103,Enero!$O$7:$O$11)</f>
        <v>1</v>
      </c>
      <c r="P12" s="12">
        <f>SUBTOTAL(103,Enero!$P$7:$P$11)</f>
        <v>1</v>
      </c>
      <c r="Q12" s="12">
        <f>SUBTOTAL(103,Enero!$Q$7:$Q$11)</f>
        <v>0</v>
      </c>
      <c r="R12" s="12">
        <f>SUBTOTAL(103,Enero!$R$7:$R$11)</f>
        <v>0</v>
      </c>
      <c r="S12" s="12">
        <f>SUBTOTAL(103,Enero!$S$7:$S$11)</f>
        <v>1</v>
      </c>
      <c r="T12" s="12">
        <f>SUBTOTAL(103,Enero!$T$7:$T$11)</f>
        <v>0</v>
      </c>
      <c r="U12" s="12">
        <f>SUBTOTAL(103,Enero!$U$7:$U$11)</f>
        <v>1</v>
      </c>
      <c r="V12" s="12">
        <f>SUBTOTAL(103,Enero!$V$7:$V$11)</f>
        <v>2</v>
      </c>
      <c r="W12" s="12">
        <f>SUBTOTAL(103,Enero!$W$7:$W$11)</f>
        <v>1</v>
      </c>
      <c r="X12" s="12">
        <f>SUBTOTAL(103,Enero!$X$7:$X$11)</f>
        <v>0</v>
      </c>
      <c r="Y12" s="12">
        <f>SUBTOTAL(103,Enero!$Y$7:$Y$11)</f>
        <v>0</v>
      </c>
      <c r="Z12" s="12">
        <f>SUBTOTAL(103,Enero!$Z$7:$Z$11)</f>
        <v>1</v>
      </c>
      <c r="AA12" s="12">
        <f>SUBTOTAL(103,Enero!$AA$7:$AA$11)</f>
        <v>1</v>
      </c>
      <c r="AB12" s="12">
        <f>SUBTOTAL(103,Enero!$AB$7:$AB$11)</f>
        <v>1</v>
      </c>
      <c r="AC12" s="12">
        <f>SUBTOTAL(103,Enero!$AC$7:$AC$11)</f>
        <v>1</v>
      </c>
      <c r="AD12" s="12">
        <f>SUBTOTAL(103,Enero!$AD$7:$AD$11)</f>
        <v>0</v>
      </c>
      <c r="AE12" s="12">
        <f>SUBTOTAL(103,Enero!$AE$7:$AE$11)</f>
        <v>1</v>
      </c>
      <c r="AF12" s="12">
        <f>SUBTOTAL(103,Enero!$AF$7:$AF$11)</f>
        <v>0</v>
      </c>
      <c r="AG12" s="12">
        <f>SUBTOTAL(103,Enero!$AG$7:$AG$11)</f>
        <v>1</v>
      </c>
      <c r="AH12" s="12">
        <f>SUBTOTAL(109,Enero[Número total de días])</f>
        <v>25</v>
      </c>
    </row>
  </sheetData>
  <mergeCells count="6">
    <mergeCell ref="C4:AG4"/>
    <mergeCell ref="D2:F2"/>
    <mergeCell ref="H2:J2"/>
    <mergeCell ref="L2:O2"/>
    <mergeCell ref="Q2:T2"/>
    <mergeCell ref="V2:Y2"/>
  </mergeCells>
  <conditionalFormatting sqref="C7:AG11">
    <cfRule type="expression" priority="1" stopIfTrue="1">
      <formula>C7=""</formula>
    </cfRule>
    <cfRule type="expression" dxfId="258" priority="6" stopIfTrue="1">
      <formula>C7=KeyCustom2</formula>
    </cfRule>
    <cfRule type="expression" dxfId="257" priority="7" stopIfTrue="1">
      <formula>C7=KeyCustom1</formula>
    </cfRule>
    <cfRule type="expression" dxfId="256" priority="8" stopIfTrue="1">
      <formula>C7=KeySick</formula>
    </cfRule>
    <cfRule type="expression" dxfId="255" priority="9" stopIfTrue="1">
      <formula>C7=KeyPersonal</formula>
    </cfRule>
    <cfRule type="expression" dxfId="254" priority="10" stopIfTrue="1">
      <formula>C7=KeyVacation</formula>
    </cfRule>
  </conditionalFormatting>
  <conditionalFormatting sqref="AH7:AH11">
    <cfRule type="dataBar" priority="168">
      <dataBar>
        <cfvo type="num" val="0"/>
        <cfvo type="num" val="31"/>
        <color theme="2" tint="-0.249977111117893"/>
      </dataBar>
      <extLst>
        <ext xmlns:x14="http://schemas.microsoft.com/office/spreadsheetml/2009/9/main" uri="{B025F937-C7B1-47D3-B67F-A62EFF666E3E}">
          <x14:id>{ECCE2C3C-1B01-4700-B60E-DAAAB19A9C1A}</x14:id>
        </ext>
      </extLst>
    </cfRule>
  </conditionalFormatting>
  <dataValidations count="15">
    <dataValidation allowBlank="1" showInputMessage="1" showErrorMessage="1" prompt="Escriba el año en esta celda." sqref="AH4"/>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 allowBlank="1" showInputMessage="1" showErrorMessage="1" prompt="Los días de la semana se actualizan automáticamente en esta fila para cada mes según el año indicado en la celda AH4. Cada día del mes es una columna para anotar la ausencia de un empleado y el tipo de ausencia" sqref="C5"/>
    <dataValidation allowBlank="1" showInputMessage="1" showErrorMessage="1" prompt="Cálculo automático del número total de días que un empleado ha estado ausente este mes" sqref="AH6"/>
    <dataValidation allowBlank="1" showInputMessage="1" showErrorMessage="1" prompt="Esta celda contiene el título de la hoja de cálculo. Actualice el título y cada hoja de cálculo heredará el cambio de forma automática." sqref="B1"/>
    <dataValidation allowBlank="1" showInputMessage="1" showErrorMessage="1" prompt="El mes de esta programación de ausencias. Actualice el año en la celda AH4. Realice un seguimiento de los totales de cada mes en la última celda de la tabla. Escriba los nombres de los empleados en la columna B de la tabla." sqref="B4"/>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La letra “V” indica una ausencia por vacaciones" sqref="C2"/>
    <dataValidation allowBlank="1" showInputMessage="1" showErrorMessage="1" prompt="La letra “P” indica una ausencia por motivos personales" sqref="G2"/>
    <dataValidation allowBlank="1" showInputMessage="1" showErrorMessage="1" prompt="La letra “E” indica una ausencia por enfermedad" sqref="K2"/>
    <dataValidation allowBlank="1" showInputMessage="1" showErrorMessage="1" prompt="Escriba una letra y personalice la etiqueta de la derecha para agregar otro elemento clave." sqref="P2 U2"/>
    <dataValidation allowBlank="1" showInputMessage="1" showErrorMessage="1" prompt="Escriba una etiqueta para describir la clave personalizada de la izquierda." sqref="Q2 V2"/>
    <dataValidation allowBlank="1" showInputMessage="1" showErrorMessage="1" prompt="La programación de ausencias del empleado realiza el seguimiento de las ausencias de cada mes por días. Hay 13 hojas de cálculo, 12 para los meses y una para los nombres de los empleados. Controle las ausencias de enero en esta hoja de cálculo._x000a_" sqref="A1"/>
    <dataValidation allowBlank="1" showInputMessage="1" showErrorMessage="1" prompt="Escriba el año en la celda siguiente." sqref="AH3"/>
  </dataValidations>
  <printOptions horizontalCentered="1"/>
  <pageMargins left="0.25" right="0.25" top="0.75" bottom="0.75" header="0.3" footer="0.3"/>
  <pageSetup paperSize="9" scale="7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num">
                <xm:f>0</xm:f>
              </x14:cfvo>
              <x14:cfvo type="num">
                <xm:f>31</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'Nombres de los empleados'!$B$4:$B$8</xm:f>
          </x14:formula1>
          <xm:sqref>B7:B11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249977111117893"/>
    <pageSetUpPr fitToPage="1"/>
  </sheetPr>
  <dimension ref="A1:AH20"/>
  <sheetViews>
    <sheetView showGridLines="0" zoomScale="90" zoomScaleNormal="90" workbookViewId="0"/>
  </sheetViews>
  <sheetFormatPr baseColWidth="10" defaultColWidth="9.140625" defaultRowHeight="15"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2:34" ht="33.75" x14ac:dyDescent="0.25">
      <c r="B1" s="13" t="str">
        <f>Employee_Absence_Title</f>
        <v>Programación Infraestructura</v>
      </c>
    </row>
    <row r="2" spans="2:34" x14ac:dyDescent="0.25">
      <c r="B2" s="17" t="s">
        <v>0</v>
      </c>
      <c r="C2" s="3" t="s">
        <v>3</v>
      </c>
      <c r="D2" s="60" t="s">
        <v>5</v>
      </c>
      <c r="E2" s="60"/>
      <c r="F2" s="60"/>
      <c r="G2" s="4" t="s">
        <v>8</v>
      </c>
      <c r="H2" s="60" t="s">
        <v>12</v>
      </c>
      <c r="I2" s="60"/>
      <c r="J2" s="60"/>
      <c r="K2" s="5" t="s">
        <v>10</v>
      </c>
      <c r="L2" s="60" t="s">
        <v>17</v>
      </c>
      <c r="M2" s="60"/>
      <c r="N2" s="60"/>
      <c r="O2" s="60"/>
      <c r="P2" s="6" t="s">
        <v>66</v>
      </c>
      <c r="Q2" s="61" t="s">
        <v>64</v>
      </c>
      <c r="R2" s="60"/>
      <c r="S2" s="60"/>
      <c r="T2" s="60"/>
      <c r="U2" s="7" t="s">
        <v>67</v>
      </c>
      <c r="V2" s="61" t="s">
        <v>65</v>
      </c>
      <c r="W2" s="60"/>
      <c r="X2" s="60"/>
      <c r="Y2" s="60"/>
      <c r="Z2" s="58"/>
      <c r="AA2" s="10" t="s">
        <v>69</v>
      </c>
    </row>
    <row r="3" spans="2:34" ht="33.75" x14ac:dyDescent="0.25">
      <c r="B3" s="13"/>
    </row>
    <row r="4" spans="2:34" ht="24" thickBot="1" x14ac:dyDescent="0.3">
      <c r="B4" s="11" t="s">
        <v>54</v>
      </c>
      <c r="C4" s="59" t="s">
        <v>70</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2:34" ht="23.25" x14ac:dyDescent="0.25">
      <c r="B5" s="11"/>
      <c r="C5" s="25" t="str">
        <f>TEXT(WEEKDAY(DATE(CalendarYear,10,1),1),"ddd")</f>
        <v>mar</v>
      </c>
      <c r="D5" s="26" t="str">
        <f>TEXT(WEEKDAY(DATE(CalendarYear,10,2),1),"ddd")</f>
        <v>mié</v>
      </c>
      <c r="E5" s="26" t="str">
        <f>TEXT(WEEKDAY(DATE(CalendarYear,10,3),1),"ddd")</f>
        <v>jue</v>
      </c>
      <c r="F5" s="27" t="str">
        <f>TEXT(WEEKDAY(DATE(CalendarYear,10,4),1),"ddd")</f>
        <v>vie</v>
      </c>
      <c r="G5" s="1" t="str">
        <f>TEXT(WEEKDAY(DATE(CalendarYear,10,5),1),"ddd")</f>
        <v>sáb</v>
      </c>
      <c r="H5" s="1" t="str">
        <f>TEXT(WEEKDAY(DATE(CalendarYear,10,6),1),"ddd")</f>
        <v>dom</v>
      </c>
      <c r="I5" s="25" t="str">
        <f>TEXT(WEEKDAY(DATE(CalendarYear,10,7),1),"ddd")</f>
        <v>lun</v>
      </c>
      <c r="J5" s="26" t="str">
        <f>TEXT(WEEKDAY(DATE(CalendarYear,10,8),1),"ddd")</f>
        <v>mar</v>
      </c>
      <c r="K5" s="26" t="str">
        <f>TEXT(WEEKDAY(DATE(CalendarYear,10,9),1),"ddd")</f>
        <v>mié</v>
      </c>
      <c r="L5" s="26" t="str">
        <f>TEXT(WEEKDAY(DATE(CalendarYear,10,10),1),"ddd")</f>
        <v>jue</v>
      </c>
      <c r="M5" s="27" t="str">
        <f>TEXT(WEEKDAY(DATE(CalendarYear,10,11),1),"ddd")</f>
        <v>vie</v>
      </c>
      <c r="N5" s="1" t="str">
        <f>TEXT(WEEKDAY(DATE(CalendarYear,10,12),1),"ddd")</f>
        <v>sáb</v>
      </c>
      <c r="O5" s="1" t="str">
        <f>TEXT(WEEKDAY(DATE(CalendarYear,10,13),1),"ddd")</f>
        <v>dom</v>
      </c>
      <c r="P5" s="50" t="str">
        <f>TEXT(WEEKDAY(DATE(CalendarYear,10,14),1),"ddd")</f>
        <v>lun</v>
      </c>
      <c r="Q5" s="26" t="str">
        <f>TEXT(WEEKDAY(DATE(CalendarYear,10,15),1),"ddd")</f>
        <v>mar</v>
      </c>
      <c r="R5" s="26" t="str">
        <f>TEXT(WEEKDAY(DATE(CalendarYear,10,16),1),"ddd")</f>
        <v>mié</v>
      </c>
      <c r="S5" s="26" t="str">
        <f>TEXT(WEEKDAY(DATE(CalendarYear,10,17),1),"ddd")</f>
        <v>jue</v>
      </c>
      <c r="T5" s="27" t="str">
        <f>TEXT(WEEKDAY(DATE(CalendarYear,10,18),1),"ddd")</f>
        <v>vie</v>
      </c>
      <c r="U5" s="1" t="str">
        <f>TEXT(WEEKDAY(DATE(CalendarYear,10,19),1),"ddd")</f>
        <v>sáb</v>
      </c>
      <c r="V5" s="1" t="str">
        <f>TEXT(WEEKDAY(DATE(CalendarYear,10,20),1),"ddd")</f>
        <v>dom</v>
      </c>
      <c r="W5" s="25" t="str">
        <f>TEXT(WEEKDAY(DATE(CalendarYear,10,21),1),"ddd")</f>
        <v>lun</v>
      </c>
      <c r="X5" s="26" t="str">
        <f>TEXT(WEEKDAY(DATE(CalendarYear,10,22),1),"ddd")</f>
        <v>mar</v>
      </c>
      <c r="Y5" s="26" t="str">
        <f>TEXT(WEEKDAY(DATE(CalendarYear,10,23),1),"ddd")</f>
        <v>mié</v>
      </c>
      <c r="Z5" s="26" t="str">
        <f>TEXT(WEEKDAY(DATE(CalendarYear,10,24),1),"ddd")</f>
        <v>jue</v>
      </c>
      <c r="AA5" s="27" t="str">
        <f>TEXT(WEEKDAY(DATE(CalendarYear,10,25),1),"ddd")</f>
        <v>vie</v>
      </c>
      <c r="AB5" s="1" t="str">
        <f>TEXT(WEEKDAY(DATE(CalendarYear,10,26),1),"ddd")</f>
        <v>sáb</v>
      </c>
      <c r="AC5" s="1" t="str">
        <f>TEXT(WEEKDAY(DATE(CalendarYear,10,27),1),"ddd")</f>
        <v>dom</v>
      </c>
      <c r="AD5" s="25" t="str">
        <f>TEXT(WEEKDAY(DATE(CalendarYear,10,28),1),"ddd")</f>
        <v>lun</v>
      </c>
      <c r="AE5" s="26" t="str">
        <f>TEXT(WEEKDAY(DATE(CalendarYear,10,29),1),"ddd")</f>
        <v>mar</v>
      </c>
      <c r="AF5" s="26" t="str">
        <f>TEXT(WEEKDAY(DATE(CalendarYear,10,30),1),"ddd")</f>
        <v>mié</v>
      </c>
      <c r="AG5" s="27" t="str">
        <f>TEXT(WEEKDAY(DATE(CalendarYear,10,31),1),"ddd")</f>
        <v>jue</v>
      </c>
      <c r="AH5" s="11"/>
    </row>
    <row r="6" spans="2:34" x14ac:dyDescent="0.25">
      <c r="B6" s="14" t="s">
        <v>2</v>
      </c>
      <c r="C6" s="45" t="s">
        <v>4</v>
      </c>
      <c r="D6" s="44" t="s">
        <v>6</v>
      </c>
      <c r="E6" s="44" t="s">
        <v>7</v>
      </c>
      <c r="F6" s="46" t="s">
        <v>9</v>
      </c>
      <c r="G6" s="44" t="s">
        <v>11</v>
      </c>
      <c r="H6" s="44" t="s">
        <v>13</v>
      </c>
      <c r="I6" s="45" t="s">
        <v>14</v>
      </c>
      <c r="J6" s="44" t="s">
        <v>15</v>
      </c>
      <c r="K6" s="44" t="s">
        <v>16</v>
      </c>
      <c r="L6" s="44" t="s">
        <v>18</v>
      </c>
      <c r="M6" s="46" t="s">
        <v>19</v>
      </c>
      <c r="N6" s="44" t="s">
        <v>20</v>
      </c>
      <c r="O6" s="44" t="s">
        <v>22</v>
      </c>
      <c r="P6" s="51" t="s">
        <v>23</v>
      </c>
      <c r="Q6" s="44" t="s">
        <v>24</v>
      </c>
      <c r="R6" s="44" t="s">
        <v>25</v>
      </c>
      <c r="S6" s="44" t="s">
        <v>27</v>
      </c>
      <c r="T6" s="46" t="s">
        <v>28</v>
      </c>
      <c r="U6" s="44" t="s">
        <v>29</v>
      </c>
      <c r="V6" s="44" t="s">
        <v>30</v>
      </c>
      <c r="W6" s="45" t="s">
        <v>31</v>
      </c>
      <c r="X6" s="44" t="s">
        <v>32</v>
      </c>
      <c r="Y6" s="44" t="s">
        <v>33</v>
      </c>
      <c r="Z6" s="44" t="s">
        <v>34</v>
      </c>
      <c r="AA6" s="46" t="s">
        <v>35</v>
      </c>
      <c r="AB6" s="44" t="s">
        <v>36</v>
      </c>
      <c r="AC6" s="44" t="s">
        <v>37</v>
      </c>
      <c r="AD6" s="45" t="s">
        <v>38</v>
      </c>
      <c r="AE6" s="44" t="s">
        <v>39</v>
      </c>
      <c r="AF6" s="44" t="s">
        <v>40</v>
      </c>
      <c r="AG6" s="46" t="s">
        <v>41</v>
      </c>
      <c r="AH6" s="15" t="s">
        <v>43</v>
      </c>
    </row>
    <row r="7" spans="2:34" x14ac:dyDescent="0.25">
      <c r="B7" s="16" t="s">
        <v>59</v>
      </c>
      <c r="C7" s="30"/>
      <c r="D7" s="2"/>
      <c r="E7" s="2"/>
      <c r="F7" s="29"/>
      <c r="G7" s="2"/>
      <c r="H7" s="2"/>
      <c r="I7" s="28"/>
      <c r="J7" s="2"/>
      <c r="K7" s="2"/>
      <c r="L7" s="2"/>
      <c r="M7" s="29"/>
      <c r="N7" s="2"/>
      <c r="O7" s="2"/>
      <c r="P7" s="51"/>
      <c r="Q7" s="2"/>
      <c r="R7" s="2"/>
      <c r="S7" s="2"/>
      <c r="T7" s="29"/>
      <c r="U7" s="2"/>
      <c r="V7" s="2"/>
      <c r="W7" s="28"/>
      <c r="X7" s="2"/>
      <c r="Y7" s="2"/>
      <c r="Z7" s="2"/>
      <c r="AA7" s="29"/>
      <c r="AB7" s="2"/>
      <c r="AC7" s="2"/>
      <c r="AD7" s="28"/>
      <c r="AE7" s="2"/>
      <c r="AF7" s="2"/>
      <c r="AG7" s="29"/>
      <c r="AH7" s="9">
        <f>COUNTA(Octubre[[#This Row],[1]:[31]])</f>
        <v>0</v>
      </c>
    </row>
    <row r="8" spans="2:34" x14ac:dyDescent="0.25">
      <c r="B8" s="16" t="s">
        <v>61</v>
      </c>
      <c r="C8" s="28"/>
      <c r="D8" s="2"/>
      <c r="E8" s="2"/>
      <c r="F8" s="29"/>
      <c r="G8" s="2"/>
      <c r="H8" s="2"/>
      <c r="I8" s="28"/>
      <c r="J8" s="2"/>
      <c r="K8" s="2"/>
      <c r="L8" s="2"/>
      <c r="M8" s="29"/>
      <c r="N8" s="2"/>
      <c r="O8" s="2"/>
      <c r="P8" s="51"/>
      <c r="Q8" s="2"/>
      <c r="R8" s="2"/>
      <c r="S8" s="2"/>
      <c r="T8" s="29"/>
      <c r="U8" s="2"/>
      <c r="V8" s="2"/>
      <c r="W8" s="28"/>
      <c r="X8" s="2"/>
      <c r="Y8" s="2"/>
      <c r="Z8" s="2"/>
      <c r="AA8" s="29"/>
      <c r="AB8" s="2"/>
      <c r="AC8" s="2"/>
      <c r="AD8" s="28"/>
      <c r="AE8" s="2"/>
      <c r="AF8" s="2"/>
      <c r="AG8" s="29"/>
      <c r="AH8" s="9">
        <f>COUNTA(Octubre[[#This Row],[1]:[31]])</f>
        <v>0</v>
      </c>
    </row>
    <row r="9" spans="2:34" x14ac:dyDescent="0.25">
      <c r="B9" s="16" t="s">
        <v>60</v>
      </c>
      <c r="C9" s="28"/>
      <c r="D9" s="2"/>
      <c r="E9" s="2"/>
      <c r="F9" s="29"/>
      <c r="G9" s="2"/>
      <c r="H9" s="2"/>
      <c r="I9" s="28"/>
      <c r="J9" s="2"/>
      <c r="K9" s="2"/>
      <c r="L9" s="2"/>
      <c r="M9" s="29"/>
      <c r="N9" s="2"/>
      <c r="O9" s="2"/>
      <c r="P9" s="51"/>
      <c r="Q9" s="2"/>
      <c r="R9" s="2"/>
      <c r="S9" s="2"/>
      <c r="T9" s="29"/>
      <c r="U9" s="2"/>
      <c r="V9" s="2"/>
      <c r="W9" s="28"/>
      <c r="X9" s="2"/>
      <c r="Y9" s="2"/>
      <c r="Z9" s="2"/>
      <c r="AA9" s="29"/>
      <c r="AB9" s="2"/>
      <c r="AC9" s="2"/>
      <c r="AD9" s="28"/>
      <c r="AE9" s="2"/>
      <c r="AF9" s="2"/>
      <c r="AG9" s="29"/>
      <c r="AH9" s="9">
        <f>COUNTA(Octubre[[#This Row],[1]:[31]])</f>
        <v>0</v>
      </c>
    </row>
    <row r="10" spans="2:34" x14ac:dyDescent="0.25">
      <c r="B10" s="16" t="s">
        <v>62</v>
      </c>
      <c r="C10" s="28"/>
      <c r="D10" s="2"/>
      <c r="E10" s="2"/>
      <c r="F10" s="29"/>
      <c r="G10" s="2"/>
      <c r="H10" s="2"/>
      <c r="I10" s="28"/>
      <c r="J10" s="2"/>
      <c r="K10" s="2"/>
      <c r="L10" s="2"/>
      <c r="M10" s="29"/>
      <c r="N10" s="2"/>
      <c r="O10" s="2"/>
      <c r="P10" s="51"/>
      <c r="Q10" s="2"/>
      <c r="R10" s="2"/>
      <c r="S10" s="2"/>
      <c r="T10" s="29"/>
      <c r="U10" s="2"/>
      <c r="V10" s="2"/>
      <c r="W10" s="28"/>
      <c r="X10" s="2"/>
      <c r="Y10" s="2"/>
      <c r="Z10" s="2"/>
      <c r="AA10" s="29"/>
      <c r="AB10" s="2"/>
      <c r="AC10" s="2"/>
      <c r="AD10" s="28"/>
      <c r="AE10" s="2"/>
      <c r="AF10" s="2"/>
      <c r="AG10" s="29"/>
      <c r="AH10" s="9">
        <f>COUNTA(Octubre[[#This Row],[1]:[31]])</f>
        <v>0</v>
      </c>
    </row>
    <row r="11" spans="2:34" x14ac:dyDescent="0.25">
      <c r="B11" s="16" t="s">
        <v>63</v>
      </c>
      <c r="C11" s="28"/>
      <c r="D11" s="2"/>
      <c r="E11" s="2"/>
      <c r="F11" s="29"/>
      <c r="G11" s="2"/>
      <c r="H11" s="2"/>
      <c r="I11" s="28"/>
      <c r="J11" s="2"/>
      <c r="K11" s="2"/>
      <c r="L11" s="2"/>
      <c r="M11" s="29"/>
      <c r="N11" s="2"/>
      <c r="O11" s="2"/>
      <c r="P11" s="51"/>
      <c r="Q11" s="2"/>
      <c r="R11" s="2"/>
      <c r="S11" s="2"/>
      <c r="T11" s="29"/>
      <c r="U11" s="2"/>
      <c r="V11" s="2"/>
      <c r="W11" s="28"/>
      <c r="X11" s="2"/>
      <c r="Y11" s="2"/>
      <c r="Z11" s="2"/>
      <c r="AA11" s="29"/>
      <c r="AB11" s="2"/>
      <c r="AC11" s="2"/>
      <c r="AD11" s="28"/>
      <c r="AE11" s="2"/>
      <c r="AF11" s="2"/>
      <c r="AG11" s="29"/>
      <c r="AH11" s="9">
        <f>COUNTA(Octubre[[#This Row],[1]:[31]])</f>
        <v>0</v>
      </c>
    </row>
    <row r="12" spans="2:34" ht="15.75" thickBot="1" x14ac:dyDescent="0.3">
      <c r="B12" s="37" t="str">
        <f>MonthName&amp;" Total"</f>
        <v>Octubre Total</v>
      </c>
      <c r="C12" s="38">
        <f>SUBTOTAL(103,Octubre[1])</f>
        <v>0</v>
      </c>
      <c r="D12" s="41">
        <f>SUBTOTAL(103,Octubre[2])</f>
        <v>0</v>
      </c>
      <c r="E12" s="41">
        <f>SUBTOTAL(103,Octubre[3])</f>
        <v>0</v>
      </c>
      <c r="F12" s="39">
        <f>SUBTOTAL(103,Octubre[4])</f>
        <v>0</v>
      </c>
      <c r="G12" s="40">
        <f>SUBTOTAL(103,Octubre[5])</f>
        <v>0</v>
      </c>
      <c r="H12" s="40">
        <f>SUBTOTAL(103,Octubre[6])</f>
        <v>0</v>
      </c>
      <c r="I12" s="38">
        <f>SUBTOTAL(103,Octubre[7])</f>
        <v>0</v>
      </c>
      <c r="J12" s="41">
        <f>SUBTOTAL(103,Octubre[8])</f>
        <v>0</v>
      </c>
      <c r="K12" s="41">
        <f>SUBTOTAL(103,Octubre[9])</f>
        <v>0</v>
      </c>
      <c r="L12" s="41">
        <f>SUBTOTAL(103,Octubre[10])</f>
        <v>0</v>
      </c>
      <c r="M12" s="39">
        <f>SUBTOTAL(103,Octubre[11])</f>
        <v>0</v>
      </c>
      <c r="N12" s="40">
        <f>SUBTOTAL(103,Octubre[12])</f>
        <v>0</v>
      </c>
      <c r="O12" s="40">
        <f>SUBTOTAL(103,Octubre[13])</f>
        <v>0</v>
      </c>
      <c r="P12" s="57">
        <f>SUBTOTAL(103,Octubre[14])</f>
        <v>0</v>
      </c>
      <c r="Q12" s="41">
        <f>SUBTOTAL(103,Octubre[15])</f>
        <v>0</v>
      </c>
      <c r="R12" s="41">
        <f>SUBTOTAL(103,Octubre[16])</f>
        <v>0</v>
      </c>
      <c r="S12" s="41">
        <f>SUBTOTAL(103,Octubre[17])</f>
        <v>0</v>
      </c>
      <c r="T12" s="39">
        <f>SUBTOTAL(103,Octubre[18])</f>
        <v>0</v>
      </c>
      <c r="U12" s="40">
        <f>SUBTOTAL(103,Octubre[19])</f>
        <v>0</v>
      </c>
      <c r="V12" s="40">
        <f>SUBTOTAL(103,Octubre[20])</f>
        <v>0</v>
      </c>
      <c r="W12" s="38">
        <f>SUBTOTAL(103,Octubre[21])</f>
        <v>0</v>
      </c>
      <c r="X12" s="41">
        <f>SUBTOTAL(103,Octubre[22])</f>
        <v>0</v>
      </c>
      <c r="Y12" s="41">
        <f>SUBTOTAL(103,Octubre[23])</f>
        <v>0</v>
      </c>
      <c r="Z12" s="41">
        <f>SUBTOTAL(103,Octubre[24])</f>
        <v>0</v>
      </c>
      <c r="AA12" s="39">
        <f>SUBTOTAL(103,Octubre[25])</f>
        <v>0</v>
      </c>
      <c r="AB12" s="40">
        <f>SUBTOTAL(103,Octubre[26])</f>
        <v>0</v>
      </c>
      <c r="AC12" s="40">
        <f>SUBTOTAL(103,Octubre[27])</f>
        <v>0</v>
      </c>
      <c r="AD12" s="38">
        <f>SUBTOTAL(103,Octubre[28])</f>
        <v>0</v>
      </c>
      <c r="AE12" s="41">
        <f>SUBTOTAL(103,Octubre[29])</f>
        <v>0</v>
      </c>
      <c r="AF12" s="41">
        <f>SUBTOTAL(109,Octubre[30])</f>
        <v>0</v>
      </c>
      <c r="AG12" s="39">
        <f>SUBTOTAL(109,Octubre[31])</f>
        <v>0</v>
      </c>
      <c r="AH12" s="40">
        <f>SUBTOTAL(109,Octubre[Número total de días])</f>
        <v>0</v>
      </c>
    </row>
    <row r="20" spans="22:22" x14ac:dyDescent="0.25">
      <c r="V20" s="21"/>
    </row>
  </sheetData>
  <mergeCells count="6">
    <mergeCell ref="C4:AG4"/>
    <mergeCell ref="D2:F2"/>
    <mergeCell ref="H2:J2"/>
    <mergeCell ref="L2:O2"/>
    <mergeCell ref="Q2:T2"/>
    <mergeCell ref="V2:Y2"/>
  </mergeCells>
  <conditionalFormatting sqref="C8:AG11 D7:AG7">
    <cfRule type="expression" priority="1" stopIfTrue="1">
      <formula>C7=""</formula>
    </cfRule>
  </conditionalFormatting>
  <conditionalFormatting sqref="C8:AG11 D7:AG7">
    <cfRule type="expression" dxfId="201" priority="2" stopIfTrue="1">
      <formula>C7=KeyCustom2</formula>
    </cfRule>
    <cfRule type="expression" dxfId="200" priority="3" stopIfTrue="1">
      <formula>C7=KeyCustom1</formula>
    </cfRule>
    <cfRule type="expression" dxfId="199" priority="4" stopIfTrue="1">
      <formula>C7=KeySick</formula>
    </cfRule>
    <cfRule type="expression" dxfId="198" priority="5" stopIfTrue="1">
      <formula>C7=KeyPersonal</formula>
    </cfRule>
    <cfRule type="expression" dxfId="197"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{F32A08EA-50E8-4B5F-AB1F-5A7739FBC16C}</x14:id>
        </ext>
      </extLst>
    </cfRule>
  </conditionalFormatting>
  <dataValidations xWindow="34" yWindow="873" count="14">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 allowBlank="1" showInputMessage="1" showErrorMessage="1" prompt="Año actualizado de forma automática en función del año introducido en la hoja de cálculo de enero" sqref="AH4"/>
    <dataValidation allowBlank="1" showInputMessage="1" showErrorMessage="1" prompt="Cálculo automático del número total de días que un empleado ha estado ausente este mes en esta columna" sqref="AH6"/>
    <dataValidation allowBlank="1" showInputMessage="1" showErrorMessage="1" prompt="Realice un seguimiento de las ausencias de octubre en esta hoja de cálculo." sqref="A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El título se actualiza automáticamente en esta celda. Para modificar el título, actualice la celda B1 en la hoja de cálculo de enero." sqref="B1"/>
    <dataValidation allowBlank="1" showInputMessage="1" showErrorMessage="1" prompt="La letra “V” indica una ausencia por vacaciones" sqref="C2"/>
    <dataValidation allowBlank="1" showInputMessage="1" showErrorMessage="1" prompt="La letra “P” indica una ausencia por motivos personales" sqref="G2"/>
    <dataValidation allowBlank="1" showInputMessage="1" showErrorMessage="1" prompt="La letra “E” indica una ausencia por enfermedad" sqref="K2"/>
    <dataValidation allowBlank="1" showInputMessage="1" showErrorMessage="1" prompt="Escriba una letra y personalice la etiqueta de la derecha para agregar otro elemento clave." sqref="P2 U2"/>
    <dataValidation allowBlank="1" showInputMessage="1" showErrorMessage="1" prompt="Escriba una etiqueta para describir la clave personalizada de la izquierda." sqref="Q2 V2"/>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s>
  <printOptions horizontalCentered="1"/>
  <pageMargins left="0.25" right="0.25" top="0.75" bottom="0.75" header="0.3" footer="0.3"/>
  <pageSetup paperSize="9" scale="70" fitToHeight="0" orientation="landscape" r:id="rId1"/>
  <headerFooter differentFirst="1">
    <oddFooter>Page &amp;P of &amp;N</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32A08EA-50E8-4B5F-AB1F-5A7739FBC16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34" yWindow="873" count="1">
        <x14:dataValidation type="list" allowBlank="1" showInputMessage="1" showErrorMessage="1">
          <x14:formula1>
            <xm:f>'Nombres de los empleados'!$B$4:$B$8</xm:f>
          </x14:formula1>
          <xm:sqref>B7:B11</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249977111117893"/>
    <pageSetUpPr fitToPage="1"/>
  </sheetPr>
  <dimension ref="A1:AH20"/>
  <sheetViews>
    <sheetView showGridLines="0" zoomScale="90" zoomScaleNormal="90" workbookViewId="0"/>
  </sheetViews>
  <sheetFormatPr baseColWidth="10" defaultColWidth="9.140625" defaultRowHeight="15"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2:34" ht="33.75" x14ac:dyDescent="0.25">
      <c r="B1" s="13" t="str">
        <f>Employee_Absence_Title</f>
        <v>Programación Infraestructura</v>
      </c>
    </row>
    <row r="2" spans="2:34" x14ac:dyDescent="0.25">
      <c r="B2" s="17" t="s">
        <v>0</v>
      </c>
      <c r="C2" s="3" t="s">
        <v>3</v>
      </c>
      <c r="D2" s="60" t="s">
        <v>5</v>
      </c>
      <c r="E2" s="60"/>
      <c r="F2" s="60"/>
      <c r="G2" s="4" t="s">
        <v>8</v>
      </c>
      <c r="H2" s="60" t="s">
        <v>12</v>
      </c>
      <c r="I2" s="60"/>
      <c r="J2" s="60"/>
      <c r="K2" s="5" t="s">
        <v>10</v>
      </c>
      <c r="L2" s="60" t="s">
        <v>17</v>
      </c>
      <c r="M2" s="60"/>
      <c r="N2" s="60"/>
      <c r="O2" s="60"/>
      <c r="P2" s="6" t="s">
        <v>66</v>
      </c>
      <c r="Q2" s="61" t="s">
        <v>64</v>
      </c>
      <c r="R2" s="60"/>
      <c r="S2" s="60"/>
      <c r="T2" s="60"/>
      <c r="U2" s="7" t="s">
        <v>67</v>
      </c>
      <c r="V2" s="61" t="s">
        <v>65</v>
      </c>
      <c r="W2" s="60"/>
      <c r="X2" s="60"/>
      <c r="Y2" s="60"/>
      <c r="Z2" s="58"/>
      <c r="AA2" s="10" t="s">
        <v>69</v>
      </c>
    </row>
    <row r="3" spans="2:34" ht="33.75" x14ac:dyDescent="0.25">
      <c r="B3" s="13"/>
    </row>
    <row r="4" spans="2:34" ht="24" thickBot="1" x14ac:dyDescent="0.3">
      <c r="B4" s="11" t="s">
        <v>55</v>
      </c>
      <c r="C4" s="59" t="s">
        <v>70</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2:34" ht="23.25" x14ac:dyDescent="0.25">
      <c r="B5" s="11"/>
      <c r="C5" s="34" t="str">
        <f>TEXT(WEEKDAY(DATE(CalendarYear,11,1),1),"ddd")</f>
        <v>vie</v>
      </c>
      <c r="D5" s="1" t="str">
        <f>TEXT(WEEKDAY(DATE(CalendarYear,11,2),1),"ddd")</f>
        <v>sáb</v>
      </c>
      <c r="E5" s="1" t="str">
        <f>TEXT(WEEKDAY(DATE(CalendarYear,11,3),1),"ddd")</f>
        <v>dom</v>
      </c>
      <c r="F5" s="50" t="str">
        <f>TEXT(WEEKDAY(DATE(CalendarYear,11,4),1),"ddd")</f>
        <v>lun</v>
      </c>
      <c r="G5" s="26" t="str">
        <f>TEXT(WEEKDAY(DATE(CalendarYear,11,5),1),"ddd")</f>
        <v>mar</v>
      </c>
      <c r="H5" s="26" t="str">
        <f>TEXT(WEEKDAY(DATE(CalendarYear,11,6),1),"ddd")</f>
        <v>mié</v>
      </c>
      <c r="I5" s="26" t="str">
        <f>TEXT(WEEKDAY(DATE(CalendarYear,11,7),1),"ddd")</f>
        <v>jue</v>
      </c>
      <c r="J5" s="27" t="str">
        <f>TEXT(WEEKDAY(DATE(CalendarYear,11,8),1),"ddd")</f>
        <v>vie</v>
      </c>
      <c r="K5" s="1" t="str">
        <f>TEXT(WEEKDAY(DATE(CalendarYear,11,9),1),"ddd")</f>
        <v>sáb</v>
      </c>
      <c r="L5" s="1" t="str">
        <f>TEXT(WEEKDAY(DATE(CalendarYear,11,10),1),"ddd")</f>
        <v>dom</v>
      </c>
      <c r="M5" s="50" t="str">
        <f>TEXT(WEEKDAY(DATE(CalendarYear,11,11),1),"ddd")</f>
        <v>lun</v>
      </c>
      <c r="N5" s="26" t="str">
        <f>TEXT(WEEKDAY(DATE(CalendarYear,11,12),1),"ddd")</f>
        <v>mar</v>
      </c>
      <c r="O5" s="26" t="str">
        <f>TEXT(WEEKDAY(DATE(CalendarYear,11,13),1),"ddd")</f>
        <v>mié</v>
      </c>
      <c r="P5" s="26" t="str">
        <f>TEXT(WEEKDAY(DATE(CalendarYear,11,14),1),"ddd")</f>
        <v>jue</v>
      </c>
      <c r="Q5" s="27" t="str">
        <f>TEXT(WEEKDAY(DATE(CalendarYear,11,15),1),"ddd")</f>
        <v>vie</v>
      </c>
      <c r="R5" s="1" t="str">
        <f>TEXT(WEEKDAY(DATE(CalendarYear,11,16),1),"ddd")</f>
        <v>sáb</v>
      </c>
      <c r="S5" s="1" t="str">
        <f>TEXT(WEEKDAY(DATE(CalendarYear,11,17),1),"ddd")</f>
        <v>dom</v>
      </c>
      <c r="T5" s="25" t="str">
        <f>TEXT(WEEKDAY(DATE(CalendarYear,11,18),1),"ddd")</f>
        <v>lun</v>
      </c>
      <c r="U5" s="26" t="str">
        <f>TEXT(WEEKDAY(DATE(CalendarYear,11,19),1),"ddd")</f>
        <v>mar</v>
      </c>
      <c r="V5" s="26" t="str">
        <f>TEXT(WEEKDAY(DATE(CalendarYear,11,20),1),"ddd")</f>
        <v>mié</v>
      </c>
      <c r="W5" s="26" t="str">
        <f>TEXT(WEEKDAY(DATE(CalendarYear,11,21),1),"ddd")</f>
        <v>jue</v>
      </c>
      <c r="X5" s="27" t="str">
        <f>TEXT(WEEKDAY(DATE(CalendarYear,11,22),1),"ddd")</f>
        <v>vie</v>
      </c>
      <c r="Y5" s="1" t="str">
        <f>TEXT(WEEKDAY(DATE(CalendarYear,11,23),1),"ddd")</f>
        <v>sáb</v>
      </c>
      <c r="Z5" s="1" t="str">
        <f>TEXT(WEEKDAY(DATE(CalendarYear,11,24),1),"ddd")</f>
        <v>dom</v>
      </c>
      <c r="AA5" s="25" t="str">
        <f>TEXT(WEEKDAY(DATE(CalendarYear,11,25),1),"ddd")</f>
        <v>lun</v>
      </c>
      <c r="AB5" s="26" t="str">
        <f>TEXT(WEEKDAY(DATE(CalendarYear,11,26),1),"ddd")</f>
        <v>mar</v>
      </c>
      <c r="AC5" s="26" t="str">
        <f>TEXT(WEEKDAY(DATE(CalendarYear,11,27),1),"ddd")</f>
        <v>mié</v>
      </c>
      <c r="AD5" s="26" t="str">
        <f>TEXT(WEEKDAY(DATE(CalendarYear,11,28),1),"ddd")</f>
        <v>jue</v>
      </c>
      <c r="AE5" s="27" t="str">
        <f>TEXT(WEEKDAY(DATE(CalendarYear,11,29),1),"ddd")</f>
        <v>vie</v>
      </c>
      <c r="AF5" s="1" t="str">
        <f>TEXT(WEEKDAY(DATE(CalendarYear,11,30),1),"ddd")</f>
        <v>sáb</v>
      </c>
      <c r="AG5" s="1"/>
      <c r="AH5" s="11"/>
    </row>
    <row r="6" spans="2:34" x14ac:dyDescent="0.25">
      <c r="B6" s="14" t="s">
        <v>2</v>
      </c>
      <c r="C6" s="49" t="s">
        <v>4</v>
      </c>
      <c r="D6" s="44" t="s">
        <v>6</v>
      </c>
      <c r="E6" s="44" t="s">
        <v>7</v>
      </c>
      <c r="F6" s="51" t="s">
        <v>9</v>
      </c>
      <c r="G6" s="44" t="s">
        <v>11</v>
      </c>
      <c r="H6" s="44" t="s">
        <v>13</v>
      </c>
      <c r="I6" s="44" t="s">
        <v>14</v>
      </c>
      <c r="J6" s="46" t="s">
        <v>15</v>
      </c>
      <c r="K6" s="44" t="s">
        <v>16</v>
      </c>
      <c r="L6" s="44" t="s">
        <v>18</v>
      </c>
      <c r="M6" s="51" t="s">
        <v>19</v>
      </c>
      <c r="N6" s="44" t="s">
        <v>20</v>
      </c>
      <c r="O6" s="44" t="s">
        <v>22</v>
      </c>
      <c r="P6" s="44" t="s">
        <v>23</v>
      </c>
      <c r="Q6" s="46" t="s">
        <v>24</v>
      </c>
      <c r="R6" s="44" t="s">
        <v>25</v>
      </c>
      <c r="S6" s="44" t="s">
        <v>27</v>
      </c>
      <c r="T6" s="45" t="s">
        <v>28</v>
      </c>
      <c r="U6" s="44" t="s">
        <v>29</v>
      </c>
      <c r="V6" s="44" t="s">
        <v>30</v>
      </c>
      <c r="W6" s="44" t="s">
        <v>31</v>
      </c>
      <c r="X6" s="46" t="s">
        <v>32</v>
      </c>
      <c r="Y6" s="44" t="s">
        <v>33</v>
      </c>
      <c r="Z6" s="44" t="s">
        <v>34</v>
      </c>
      <c r="AA6" s="45" t="s">
        <v>35</v>
      </c>
      <c r="AB6" s="44" t="s">
        <v>36</v>
      </c>
      <c r="AC6" s="44" t="s">
        <v>37</v>
      </c>
      <c r="AD6" s="44" t="s">
        <v>38</v>
      </c>
      <c r="AE6" s="46" t="s">
        <v>39</v>
      </c>
      <c r="AF6" s="44" t="s">
        <v>40</v>
      </c>
      <c r="AG6" s="44" t="s">
        <v>41</v>
      </c>
      <c r="AH6" s="15" t="s">
        <v>43</v>
      </c>
    </row>
    <row r="7" spans="2:34" x14ac:dyDescent="0.25">
      <c r="B7" s="16" t="s">
        <v>59</v>
      </c>
      <c r="C7" s="36"/>
      <c r="D7" s="2"/>
      <c r="E7" s="2"/>
      <c r="F7" s="51"/>
      <c r="G7" s="2"/>
      <c r="H7" s="2"/>
      <c r="I7" s="2"/>
      <c r="J7" s="29"/>
      <c r="K7" s="2"/>
      <c r="L7" s="2"/>
      <c r="M7" s="51"/>
      <c r="N7" s="2"/>
      <c r="O7" s="2"/>
      <c r="P7" s="2"/>
      <c r="Q7" s="29"/>
      <c r="R7" s="2"/>
      <c r="S7" s="2"/>
      <c r="T7" s="28"/>
      <c r="U7" s="2"/>
      <c r="V7" s="2"/>
      <c r="W7" s="2"/>
      <c r="X7" s="29"/>
      <c r="Y7" s="2"/>
      <c r="Z7" s="2"/>
      <c r="AA7" s="28"/>
      <c r="AB7" s="2"/>
      <c r="AC7" s="2"/>
      <c r="AD7" s="2"/>
      <c r="AE7" s="29"/>
      <c r="AF7" s="2"/>
      <c r="AG7" s="2"/>
      <c r="AH7" s="9">
        <f>COUNTA(Noviembre[[#This Row],[1]:[31]])</f>
        <v>0</v>
      </c>
    </row>
    <row r="8" spans="2:34" x14ac:dyDescent="0.25">
      <c r="B8" s="16" t="s">
        <v>61</v>
      </c>
      <c r="C8" s="35"/>
      <c r="D8" s="2"/>
      <c r="E8" s="2"/>
      <c r="F8" s="51"/>
      <c r="G8" s="2"/>
      <c r="H8" s="2"/>
      <c r="I8" s="2"/>
      <c r="J8" s="29"/>
      <c r="K8" s="2"/>
      <c r="L8" s="2"/>
      <c r="M8" s="51"/>
      <c r="N8" s="2"/>
      <c r="O8" s="2"/>
      <c r="P8" s="2"/>
      <c r="Q8" s="29"/>
      <c r="R8" s="2"/>
      <c r="S8" s="2"/>
      <c r="T8" s="28"/>
      <c r="U8" s="2"/>
      <c r="V8" s="2"/>
      <c r="W8" s="2"/>
      <c r="X8" s="29"/>
      <c r="Y8" s="2"/>
      <c r="Z8" s="2"/>
      <c r="AA8" s="28"/>
      <c r="AB8" s="2"/>
      <c r="AC8" s="2"/>
      <c r="AD8" s="2"/>
      <c r="AE8" s="29"/>
      <c r="AF8" s="2"/>
      <c r="AG8" s="2"/>
      <c r="AH8" s="9">
        <f>COUNTA(Noviembre[[#This Row],[1]:[31]])</f>
        <v>0</v>
      </c>
    </row>
    <row r="9" spans="2:34" x14ac:dyDescent="0.25">
      <c r="B9" s="16" t="s">
        <v>60</v>
      </c>
      <c r="C9" s="35"/>
      <c r="D9" s="2"/>
      <c r="E9" s="2"/>
      <c r="F9" s="51"/>
      <c r="G9" s="2"/>
      <c r="H9" s="2"/>
      <c r="I9" s="2"/>
      <c r="J9" s="29"/>
      <c r="K9" s="2"/>
      <c r="L9" s="2"/>
      <c r="M9" s="51"/>
      <c r="N9" s="2"/>
      <c r="O9" s="2"/>
      <c r="P9" s="2"/>
      <c r="Q9" s="29"/>
      <c r="R9" s="2"/>
      <c r="S9" s="2"/>
      <c r="T9" s="28"/>
      <c r="U9" s="2"/>
      <c r="V9" s="2"/>
      <c r="W9" s="2"/>
      <c r="X9" s="29"/>
      <c r="Y9" s="2"/>
      <c r="Z9" s="2"/>
      <c r="AA9" s="28"/>
      <c r="AB9" s="2"/>
      <c r="AC9" s="2"/>
      <c r="AD9" s="2"/>
      <c r="AE9" s="29"/>
      <c r="AF9" s="2"/>
      <c r="AG9" s="2"/>
      <c r="AH9" s="9">
        <f>COUNTA(Noviembre[[#This Row],[1]:[31]])</f>
        <v>0</v>
      </c>
    </row>
    <row r="10" spans="2:34" x14ac:dyDescent="0.25">
      <c r="B10" s="16" t="s">
        <v>62</v>
      </c>
      <c r="C10" s="35"/>
      <c r="D10" s="2"/>
      <c r="E10" s="2"/>
      <c r="F10" s="51"/>
      <c r="G10" s="2"/>
      <c r="H10" s="2"/>
      <c r="I10" s="2"/>
      <c r="J10" s="29"/>
      <c r="K10" s="2"/>
      <c r="L10" s="2"/>
      <c r="M10" s="51"/>
      <c r="N10" s="2"/>
      <c r="O10" s="2"/>
      <c r="P10" s="2"/>
      <c r="Q10" s="29"/>
      <c r="R10" s="2"/>
      <c r="S10" s="2"/>
      <c r="T10" s="28"/>
      <c r="U10" s="2"/>
      <c r="V10" s="2"/>
      <c r="W10" s="2"/>
      <c r="X10" s="29"/>
      <c r="Y10" s="2"/>
      <c r="Z10" s="2"/>
      <c r="AA10" s="28"/>
      <c r="AB10" s="2"/>
      <c r="AC10" s="2"/>
      <c r="AD10" s="2"/>
      <c r="AE10" s="29"/>
      <c r="AF10" s="2"/>
      <c r="AG10" s="2"/>
      <c r="AH10" s="9">
        <f>COUNTA(Noviembre[[#This Row],[1]:[31]])</f>
        <v>0</v>
      </c>
    </row>
    <row r="11" spans="2:34" x14ac:dyDescent="0.25">
      <c r="B11" s="16" t="s">
        <v>63</v>
      </c>
      <c r="C11" s="35"/>
      <c r="D11" s="2"/>
      <c r="E11" s="2"/>
      <c r="F11" s="51"/>
      <c r="G11" s="2"/>
      <c r="H11" s="2"/>
      <c r="I11" s="2"/>
      <c r="J11" s="29"/>
      <c r="K11" s="2"/>
      <c r="L11" s="2"/>
      <c r="M11" s="51"/>
      <c r="N11" s="2"/>
      <c r="O11" s="2"/>
      <c r="P11" s="2"/>
      <c r="Q11" s="29"/>
      <c r="R11" s="2"/>
      <c r="S11" s="2"/>
      <c r="T11" s="28"/>
      <c r="U11" s="2"/>
      <c r="V11" s="2"/>
      <c r="W11" s="2"/>
      <c r="X11" s="29"/>
      <c r="Y11" s="2"/>
      <c r="Z11" s="2"/>
      <c r="AA11" s="28"/>
      <c r="AB11" s="2"/>
      <c r="AC11" s="2"/>
      <c r="AD11" s="2"/>
      <c r="AE11" s="29"/>
      <c r="AF11" s="2"/>
      <c r="AG11" s="2"/>
      <c r="AH11" s="9">
        <f>COUNTA(Noviembre[[#This Row],[1]:[31]])</f>
        <v>0</v>
      </c>
    </row>
    <row r="12" spans="2:34" ht="15.75" thickBot="1" x14ac:dyDescent="0.3">
      <c r="B12" s="37" t="str">
        <f>MonthName&amp;" Total"</f>
        <v>Noviembre Total</v>
      </c>
      <c r="C12" s="42">
        <f>SUBTOTAL(103,Noviembre[1])</f>
        <v>0</v>
      </c>
      <c r="D12" s="40">
        <f>SUBTOTAL(103,Noviembre[2])</f>
        <v>0</v>
      </c>
      <c r="E12" s="40">
        <f>SUBTOTAL(103,Noviembre[3])</f>
        <v>0</v>
      </c>
      <c r="F12" s="57">
        <f>SUBTOTAL(103,Noviembre[4])</f>
        <v>0</v>
      </c>
      <c r="G12" s="41">
        <f>SUBTOTAL(103,Noviembre[5])</f>
        <v>0</v>
      </c>
      <c r="H12" s="41">
        <f>SUBTOTAL(103,Noviembre[6])</f>
        <v>0</v>
      </c>
      <c r="I12" s="41">
        <f>SUBTOTAL(103,Noviembre[7])</f>
        <v>0</v>
      </c>
      <c r="J12" s="39">
        <f>SUBTOTAL(103,Noviembre[8])</f>
        <v>0</v>
      </c>
      <c r="K12" s="40">
        <f>SUBTOTAL(103,Noviembre[9])</f>
        <v>0</v>
      </c>
      <c r="L12" s="40">
        <f>SUBTOTAL(103,Noviembre[10])</f>
        <v>0</v>
      </c>
      <c r="M12" s="57">
        <f>SUBTOTAL(103,Noviembre[11])</f>
        <v>0</v>
      </c>
      <c r="N12" s="41">
        <f>SUBTOTAL(103,Noviembre[12])</f>
        <v>0</v>
      </c>
      <c r="O12" s="41">
        <f>SUBTOTAL(103,Noviembre[13])</f>
        <v>0</v>
      </c>
      <c r="P12" s="41">
        <f>SUBTOTAL(103,Noviembre[14])</f>
        <v>0</v>
      </c>
      <c r="Q12" s="39">
        <f>SUBTOTAL(103,Noviembre[15])</f>
        <v>0</v>
      </c>
      <c r="R12" s="40">
        <f>SUBTOTAL(103,Noviembre[16])</f>
        <v>0</v>
      </c>
      <c r="S12" s="40">
        <f>SUBTOTAL(103,Noviembre[17])</f>
        <v>0</v>
      </c>
      <c r="T12" s="38">
        <f>SUBTOTAL(103,Noviembre[18])</f>
        <v>0</v>
      </c>
      <c r="U12" s="41">
        <f>SUBTOTAL(103,Noviembre[19])</f>
        <v>0</v>
      </c>
      <c r="V12" s="41">
        <f>SUBTOTAL(103,Noviembre[20])</f>
        <v>0</v>
      </c>
      <c r="W12" s="41">
        <f>SUBTOTAL(103,Noviembre[21])</f>
        <v>0</v>
      </c>
      <c r="X12" s="39">
        <f>SUBTOTAL(103,Noviembre[22])</f>
        <v>0</v>
      </c>
      <c r="Y12" s="40">
        <f>SUBTOTAL(103,Noviembre[23])</f>
        <v>0</v>
      </c>
      <c r="Z12" s="40">
        <f>SUBTOTAL(103,Noviembre[24])</f>
        <v>0</v>
      </c>
      <c r="AA12" s="38">
        <f>SUBTOTAL(103,Noviembre[25])</f>
        <v>0</v>
      </c>
      <c r="AB12" s="41">
        <f>SUBTOTAL(103,Noviembre[26])</f>
        <v>0</v>
      </c>
      <c r="AC12" s="41">
        <f>SUBTOTAL(103,Noviembre[27])</f>
        <v>0</v>
      </c>
      <c r="AD12" s="41">
        <f>SUBTOTAL(103,Noviembre[28])</f>
        <v>0</v>
      </c>
      <c r="AE12" s="39">
        <f>SUBTOTAL(103,Noviembre[29])</f>
        <v>0</v>
      </c>
      <c r="AF12" s="40">
        <f>SUBTOTAL(109,Noviembre[30])</f>
        <v>0</v>
      </c>
      <c r="AG12" s="40">
        <f>SUBTOTAL(109,Noviembre[31])</f>
        <v>0</v>
      </c>
      <c r="AH12" s="40">
        <f>SUBTOTAL(109,Noviembre[Número total de días])</f>
        <v>0</v>
      </c>
    </row>
    <row r="20" spans="22:22" x14ac:dyDescent="0.25">
      <c r="V20" s="21"/>
    </row>
  </sheetData>
  <mergeCells count="6">
    <mergeCell ref="C4:AG4"/>
    <mergeCell ref="D2:F2"/>
    <mergeCell ref="H2:J2"/>
    <mergeCell ref="L2:O2"/>
    <mergeCell ref="Q2:T2"/>
    <mergeCell ref="V2:Y2"/>
  </mergeCells>
  <conditionalFormatting sqref="C8:AG11 D7:AG7">
    <cfRule type="expression" priority="1" stopIfTrue="1">
      <formula>C7=""</formula>
    </cfRule>
  </conditionalFormatting>
  <conditionalFormatting sqref="C8:AG11 D7:AG7">
    <cfRule type="expression" dxfId="196" priority="2" stopIfTrue="1">
      <formula>C7=KeyCustom2</formula>
    </cfRule>
    <cfRule type="expression" dxfId="195" priority="3" stopIfTrue="1">
      <formula>C7=KeyCustom1</formula>
    </cfRule>
    <cfRule type="expression" dxfId="194" priority="4" stopIfTrue="1">
      <formula>C7=KeySick</formula>
    </cfRule>
    <cfRule type="expression" dxfId="193" priority="5" stopIfTrue="1">
      <formula>C7=KeyPersonal</formula>
    </cfRule>
    <cfRule type="expression" dxfId="192"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{27D92E49-5CF1-46DF-AD7A-3A5E92F274F3}</x14:id>
        </ext>
      </extLst>
    </cfRule>
  </conditionalFormatting>
  <dataValidations xWindow="28" yWindow="878" count="14">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criba una etiqueta para describir la clave personalizada de la izquierda." sqref="Q2 V2"/>
    <dataValidation allowBlank="1" showInputMessage="1" showErrorMessage="1" prompt="Escriba una letra y personalice la etiqueta de la derecha para agregar otro elemento clave." sqref="P2 U2"/>
    <dataValidation allowBlank="1" showInputMessage="1" showErrorMessage="1" prompt="La letra “E” indica una ausencia por enfermedad" sqref="K2"/>
    <dataValidation allowBlank="1" showInputMessage="1" showErrorMessage="1" prompt="La letra “P” indica una ausencia por motivos personales" sqref="G2"/>
    <dataValidation allowBlank="1" showInputMessage="1" showErrorMessage="1" prompt="La letra “V” indica una ausencia por vacaciones" sqref="C2"/>
    <dataValidation allowBlank="1" showInputMessage="1" showErrorMessage="1" prompt="El título se actualiza automáticamente en esta celda. Para modificar el título, actualice la celda B1 en la hoja de cálculo de enero." sqref="B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Realice un seguimiento de las ausencias de noviembre en esta hoja de cálculo." sqref="A1"/>
    <dataValidation allowBlank="1" showInputMessage="1" showErrorMessage="1" prompt="Cálculo automático del número total de días que un empleado ha estado ausente este mes en esta columna" sqref="AH6"/>
    <dataValidation allowBlank="1" showInputMessage="1" showErrorMessage="1" prompt="Año actualizado de forma automática en función del año introducido en la hoja de cálculo de enero" sqref="AH4"/>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s>
  <printOptions horizontalCentered="1"/>
  <pageMargins left="0.25" right="0.25" top="0.75" bottom="0.75" header="0.3" footer="0.3"/>
  <pageSetup paperSize="9" scale="70" fitToHeight="0" orientation="landscape" r:id="rId1"/>
  <headerFooter differentFirst="1">
    <oddFooter>Page &amp;P of &amp;N</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7D92E49-5CF1-46DF-AD7A-3A5E92F274F3}">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28" yWindow="878" count="1">
        <x14:dataValidation type="list" allowBlank="1" showInputMessage="1" showErrorMessage="1">
          <x14:formula1>
            <xm:f>'Nombres de los empleados'!$B$4:$B$8</xm:f>
          </x14:formula1>
          <xm:sqref>B7:B11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fitToPage="1"/>
  </sheetPr>
  <dimension ref="A1:AH21"/>
  <sheetViews>
    <sheetView showGridLines="0" zoomScale="90" zoomScaleNormal="90" workbookViewId="0"/>
  </sheetViews>
  <sheetFormatPr baseColWidth="10" defaultColWidth="9.140625" defaultRowHeight="15"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2:34" ht="33.75" x14ac:dyDescent="0.25">
      <c r="B1" s="13" t="str">
        <f>Employee_Absence_Title</f>
        <v>Programación Infraestructura</v>
      </c>
    </row>
    <row r="2" spans="2:34" x14ac:dyDescent="0.25">
      <c r="B2" s="17" t="s">
        <v>0</v>
      </c>
      <c r="C2" s="3" t="s">
        <v>3</v>
      </c>
      <c r="D2" s="60" t="s">
        <v>5</v>
      </c>
      <c r="E2" s="60"/>
      <c r="F2" s="60"/>
      <c r="G2" s="4" t="s">
        <v>8</v>
      </c>
      <c r="H2" s="60" t="s">
        <v>12</v>
      </c>
      <c r="I2" s="60"/>
      <c r="J2" s="60"/>
      <c r="K2" s="5" t="s">
        <v>10</v>
      </c>
      <c r="L2" s="60" t="s">
        <v>17</v>
      </c>
      <c r="M2" s="60"/>
      <c r="N2" s="60"/>
      <c r="O2" s="60"/>
      <c r="P2" s="6" t="s">
        <v>66</v>
      </c>
      <c r="Q2" s="61" t="s">
        <v>64</v>
      </c>
      <c r="R2" s="60"/>
      <c r="S2" s="60"/>
      <c r="T2" s="60"/>
      <c r="U2" s="7" t="s">
        <v>67</v>
      </c>
      <c r="V2" s="61" t="s">
        <v>65</v>
      </c>
      <c r="W2" s="60"/>
      <c r="X2" s="60"/>
      <c r="Y2" s="60"/>
      <c r="Z2" s="58"/>
      <c r="AA2" s="10" t="s">
        <v>69</v>
      </c>
    </row>
    <row r="3" spans="2:34" ht="33.75" x14ac:dyDescent="0.25">
      <c r="B3" s="13"/>
    </row>
    <row r="4" spans="2:34" ht="24" thickBot="1" x14ac:dyDescent="0.3">
      <c r="B4" s="11" t="s">
        <v>56</v>
      </c>
      <c r="C4" s="59" t="s">
        <v>70</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2:34" ht="23.25" x14ac:dyDescent="0.25">
      <c r="B5" s="11"/>
      <c r="C5" s="1" t="str">
        <f>TEXT(WEEKDAY(DATE(CalendarYear,12,1),1),"ddd")</f>
        <v>dom</v>
      </c>
      <c r="D5" s="25" t="str">
        <f>TEXT(WEEKDAY(DATE(CalendarYear,12,2),1),"ddd")</f>
        <v>lun</v>
      </c>
      <c r="E5" s="26" t="str">
        <f>TEXT(WEEKDAY(DATE(CalendarYear,12,3),1),"ddd")</f>
        <v>mar</v>
      </c>
      <c r="F5" s="26" t="str">
        <f>TEXT(WEEKDAY(DATE(CalendarYear,12,4),1),"ddd")</f>
        <v>mié</v>
      </c>
      <c r="G5" s="26" t="str">
        <f>TEXT(WEEKDAY(DATE(CalendarYear,12,5),1),"ddd")</f>
        <v>jue</v>
      </c>
      <c r="H5" s="27" t="str">
        <f>TEXT(WEEKDAY(DATE(CalendarYear,12,6),1),"ddd")</f>
        <v>vie</v>
      </c>
      <c r="I5" s="1" t="str">
        <f>TEXT(WEEKDAY(DATE(CalendarYear,12,7),1),"ddd")</f>
        <v>sáb</v>
      </c>
      <c r="J5" s="1" t="str">
        <f>TEXT(WEEKDAY(DATE(CalendarYear,12,8),1),"ddd")</f>
        <v>dom</v>
      </c>
      <c r="K5" s="25" t="str">
        <f>TEXT(WEEKDAY(DATE(CalendarYear,12,9),1),"ddd")</f>
        <v>lun</v>
      </c>
      <c r="L5" s="26" t="str">
        <f>TEXT(WEEKDAY(DATE(CalendarYear,12,10),1),"ddd")</f>
        <v>mar</v>
      </c>
      <c r="M5" s="26" t="str">
        <f>TEXT(WEEKDAY(DATE(CalendarYear,12,11),1),"ddd")</f>
        <v>mié</v>
      </c>
      <c r="N5" s="26" t="str">
        <f>TEXT(WEEKDAY(DATE(CalendarYear,12,12),1),"ddd")</f>
        <v>jue</v>
      </c>
      <c r="O5" s="27" t="str">
        <f>TEXT(WEEKDAY(DATE(CalendarYear,12,13),1),"ddd")</f>
        <v>vie</v>
      </c>
      <c r="P5" s="1" t="str">
        <f>TEXT(WEEKDAY(DATE(CalendarYear,12,14),1),"ddd")</f>
        <v>sáb</v>
      </c>
      <c r="Q5" s="1" t="str">
        <f>TEXT(WEEKDAY(DATE(CalendarYear,12,15),1),"ddd")</f>
        <v>dom</v>
      </c>
      <c r="R5" s="25" t="str">
        <f>TEXT(WEEKDAY(DATE(CalendarYear,12,16),1),"ddd")</f>
        <v>lun</v>
      </c>
      <c r="S5" s="26" t="str">
        <f>TEXT(WEEKDAY(DATE(CalendarYear,12,17),1),"ddd")</f>
        <v>mar</v>
      </c>
      <c r="T5" s="26" t="str">
        <f>TEXT(WEEKDAY(DATE(CalendarYear,12,18),1),"ddd")</f>
        <v>mié</v>
      </c>
      <c r="U5" s="26" t="str">
        <f>TEXT(WEEKDAY(DATE(CalendarYear,12,19),1),"ddd")</f>
        <v>jue</v>
      </c>
      <c r="V5" s="27" t="str">
        <f>TEXT(WEEKDAY(DATE(CalendarYear,12,20),1),"ddd")</f>
        <v>vie</v>
      </c>
      <c r="W5" s="1" t="str">
        <f>TEXT(WEEKDAY(DATE(CalendarYear,12,21),1),"ddd")</f>
        <v>sáb</v>
      </c>
      <c r="X5" s="1" t="str">
        <f>TEXT(WEEKDAY(DATE(CalendarYear,12,22),1),"ddd")</f>
        <v>dom</v>
      </c>
      <c r="Y5" s="25" t="str">
        <f>TEXT(WEEKDAY(DATE(CalendarYear,12,23),1),"ddd")</f>
        <v>lun</v>
      </c>
      <c r="Z5" s="26" t="str">
        <f>TEXT(WEEKDAY(DATE(CalendarYear,12,24),1),"ddd")</f>
        <v>mar</v>
      </c>
      <c r="AA5" s="54" t="str">
        <f>TEXT(WEEKDAY(DATE(CalendarYear,12,25),1),"ddd")</f>
        <v>mié</v>
      </c>
      <c r="AB5" s="26" t="str">
        <f>TEXT(WEEKDAY(DATE(CalendarYear,12,26),1),"ddd")</f>
        <v>jue</v>
      </c>
      <c r="AC5" s="27" t="str">
        <f>TEXT(WEEKDAY(DATE(CalendarYear,12,27),1),"ddd")</f>
        <v>vie</v>
      </c>
      <c r="AD5" s="1" t="str">
        <f>TEXT(WEEKDAY(DATE(CalendarYear,12,28),1),"ddd")</f>
        <v>sáb</v>
      </c>
      <c r="AE5" s="1" t="str">
        <f>TEXT(WEEKDAY(DATE(CalendarYear,12,29),1),"ddd")</f>
        <v>dom</v>
      </c>
      <c r="AF5" s="25" t="str">
        <f>TEXT(WEEKDAY(DATE(CalendarYear,12,30),1),"ddd")</f>
        <v>lun</v>
      </c>
      <c r="AG5" s="27" t="str">
        <f>TEXT(WEEKDAY(DATE(CalendarYear,12,31),1),"ddd")</f>
        <v>mar</v>
      </c>
      <c r="AH5" s="11"/>
    </row>
    <row r="6" spans="2:34" x14ac:dyDescent="0.25">
      <c r="B6" s="14" t="s">
        <v>2</v>
      </c>
      <c r="C6" s="44" t="s">
        <v>4</v>
      </c>
      <c r="D6" s="45" t="s">
        <v>6</v>
      </c>
      <c r="E6" s="44" t="s">
        <v>7</v>
      </c>
      <c r="F6" s="44" t="s">
        <v>9</v>
      </c>
      <c r="G6" s="44" t="s">
        <v>11</v>
      </c>
      <c r="H6" s="46" t="s">
        <v>13</v>
      </c>
      <c r="I6" s="44" t="s">
        <v>14</v>
      </c>
      <c r="J6" s="44" t="s">
        <v>15</v>
      </c>
      <c r="K6" s="45" t="s">
        <v>16</v>
      </c>
      <c r="L6" s="44" t="s">
        <v>18</v>
      </c>
      <c r="M6" s="44" t="s">
        <v>19</v>
      </c>
      <c r="N6" s="44" t="s">
        <v>20</v>
      </c>
      <c r="O6" s="46" t="s">
        <v>22</v>
      </c>
      <c r="P6" s="44" t="s">
        <v>23</v>
      </c>
      <c r="Q6" s="44" t="s">
        <v>24</v>
      </c>
      <c r="R6" s="45" t="s">
        <v>25</v>
      </c>
      <c r="S6" s="44" t="s">
        <v>27</v>
      </c>
      <c r="T6" s="44" t="s">
        <v>28</v>
      </c>
      <c r="U6" s="44" t="s">
        <v>29</v>
      </c>
      <c r="V6" s="46" t="s">
        <v>30</v>
      </c>
      <c r="W6" s="44" t="s">
        <v>31</v>
      </c>
      <c r="X6" s="44" t="s">
        <v>32</v>
      </c>
      <c r="Y6" s="45" t="s">
        <v>33</v>
      </c>
      <c r="Z6" s="44" t="s">
        <v>34</v>
      </c>
      <c r="AA6" s="55" t="s">
        <v>35</v>
      </c>
      <c r="AB6" s="44" t="s">
        <v>36</v>
      </c>
      <c r="AC6" s="46" t="s">
        <v>37</v>
      </c>
      <c r="AD6" s="44" t="s">
        <v>38</v>
      </c>
      <c r="AE6" s="44" t="s">
        <v>39</v>
      </c>
      <c r="AF6" s="45" t="s">
        <v>40</v>
      </c>
      <c r="AG6" s="46" t="s">
        <v>41</v>
      </c>
      <c r="AH6" s="15" t="s">
        <v>43</v>
      </c>
    </row>
    <row r="7" spans="2:34" x14ac:dyDescent="0.25">
      <c r="B7" s="16" t="s">
        <v>59</v>
      </c>
      <c r="C7" s="2"/>
      <c r="D7" s="28"/>
      <c r="E7" s="2"/>
      <c r="F7" s="2"/>
      <c r="G7" s="2"/>
      <c r="H7" s="29"/>
      <c r="I7" s="2"/>
      <c r="J7" s="2"/>
      <c r="K7" s="28"/>
      <c r="L7" s="2"/>
      <c r="M7" s="2"/>
      <c r="N7" s="2"/>
      <c r="O7" s="29"/>
      <c r="P7" s="2"/>
      <c r="Q7" s="2"/>
      <c r="R7" s="28"/>
      <c r="S7" s="2"/>
      <c r="T7" s="2"/>
      <c r="U7" s="2"/>
      <c r="V7" s="29"/>
      <c r="W7" s="2"/>
      <c r="X7" s="2"/>
      <c r="Y7" s="28"/>
      <c r="Z7" s="2"/>
      <c r="AA7" s="55"/>
      <c r="AB7" s="2"/>
      <c r="AC7" s="29"/>
      <c r="AD7" s="2"/>
      <c r="AE7" s="2"/>
      <c r="AF7" s="28"/>
      <c r="AG7" s="29"/>
      <c r="AH7" s="9">
        <f>COUNTA(Diciembre[[#This Row],[1]:[31]])</f>
        <v>0</v>
      </c>
    </row>
    <row r="8" spans="2:34" x14ac:dyDescent="0.25">
      <c r="B8" s="16" t="s">
        <v>61</v>
      </c>
      <c r="C8" s="2"/>
      <c r="D8" s="28"/>
      <c r="E8" s="2"/>
      <c r="F8" s="2"/>
      <c r="G8" s="2"/>
      <c r="H8" s="29"/>
      <c r="I8" s="2"/>
      <c r="J8" s="2"/>
      <c r="K8" s="28"/>
      <c r="L8" s="2"/>
      <c r="M8" s="2"/>
      <c r="N8" s="2"/>
      <c r="O8" s="29"/>
      <c r="P8" s="2"/>
      <c r="Q8" s="2"/>
      <c r="R8" s="28"/>
      <c r="S8" s="2"/>
      <c r="T8" s="2"/>
      <c r="U8" s="2"/>
      <c r="V8" s="29"/>
      <c r="W8" s="2"/>
      <c r="X8" s="2"/>
      <c r="Y8" s="28"/>
      <c r="Z8" s="2"/>
      <c r="AA8" s="55"/>
      <c r="AB8" s="2"/>
      <c r="AC8" s="29"/>
      <c r="AD8" s="2"/>
      <c r="AE8" s="2"/>
      <c r="AF8" s="28"/>
      <c r="AG8" s="29"/>
      <c r="AH8" s="9">
        <f>COUNTA(Diciembre[[#This Row],[1]:[31]])</f>
        <v>0</v>
      </c>
    </row>
    <row r="9" spans="2:34" x14ac:dyDescent="0.25">
      <c r="B9" s="16" t="s">
        <v>60</v>
      </c>
      <c r="C9" s="2"/>
      <c r="D9" s="28"/>
      <c r="E9" s="2"/>
      <c r="F9" s="2"/>
      <c r="G9" s="2"/>
      <c r="H9" s="29"/>
      <c r="I9" s="2"/>
      <c r="J9" s="2"/>
      <c r="K9" s="28"/>
      <c r="L9" s="2"/>
      <c r="M9" s="2"/>
      <c r="N9" s="2"/>
      <c r="O9" s="29"/>
      <c r="P9" s="2"/>
      <c r="Q9" s="2"/>
      <c r="R9" s="28"/>
      <c r="S9" s="2"/>
      <c r="T9" s="2"/>
      <c r="U9" s="2"/>
      <c r="V9" s="29"/>
      <c r="W9" s="2"/>
      <c r="X9" s="2"/>
      <c r="Y9" s="28"/>
      <c r="Z9" s="2"/>
      <c r="AA9" s="55"/>
      <c r="AB9" s="2"/>
      <c r="AC9" s="29"/>
      <c r="AD9" s="2"/>
      <c r="AE9" s="2"/>
      <c r="AF9" s="28"/>
      <c r="AG9" s="29"/>
      <c r="AH9" s="9">
        <f>COUNTA(Diciembre[[#This Row],[1]:[31]])</f>
        <v>0</v>
      </c>
    </row>
    <row r="10" spans="2:34" x14ac:dyDescent="0.25">
      <c r="B10" s="16" t="s">
        <v>62</v>
      </c>
      <c r="C10" s="2"/>
      <c r="D10" s="28"/>
      <c r="E10" s="2"/>
      <c r="F10" s="2"/>
      <c r="G10" s="2"/>
      <c r="H10" s="29"/>
      <c r="I10" s="2"/>
      <c r="J10" s="2"/>
      <c r="K10" s="28"/>
      <c r="L10" s="2"/>
      <c r="M10" s="2"/>
      <c r="N10" s="2"/>
      <c r="O10" s="29"/>
      <c r="P10" s="2"/>
      <c r="Q10" s="2"/>
      <c r="R10" s="28"/>
      <c r="S10" s="2"/>
      <c r="T10" s="2"/>
      <c r="U10" s="2"/>
      <c r="V10" s="29"/>
      <c r="W10" s="2"/>
      <c r="X10" s="2"/>
      <c r="Y10" s="28"/>
      <c r="Z10" s="2"/>
      <c r="AA10" s="55"/>
      <c r="AB10" s="2"/>
      <c r="AC10" s="29"/>
      <c r="AD10" s="2"/>
      <c r="AE10" s="2"/>
      <c r="AF10" s="28"/>
      <c r="AG10" s="29"/>
      <c r="AH10" s="9">
        <f>COUNTA(Diciembre[[#This Row],[1]:[31]])</f>
        <v>0</v>
      </c>
    </row>
    <row r="11" spans="2:34" x14ac:dyDescent="0.25">
      <c r="B11" s="16" t="s">
        <v>63</v>
      </c>
      <c r="C11" s="2"/>
      <c r="D11" s="28"/>
      <c r="E11" s="2"/>
      <c r="F11" s="2"/>
      <c r="G11" s="2"/>
      <c r="H11" s="29"/>
      <c r="I11" s="2"/>
      <c r="J11" s="2"/>
      <c r="K11" s="28"/>
      <c r="L11" s="2"/>
      <c r="M11" s="2"/>
      <c r="N11" s="2"/>
      <c r="O11" s="29"/>
      <c r="P11" s="2"/>
      <c r="Q11" s="2"/>
      <c r="R11" s="28"/>
      <c r="S11" s="2"/>
      <c r="T11" s="2"/>
      <c r="U11" s="2"/>
      <c r="V11" s="29"/>
      <c r="W11" s="2"/>
      <c r="X11" s="2"/>
      <c r="Y11" s="28"/>
      <c r="Z11" s="2"/>
      <c r="AA11" s="55"/>
      <c r="AB11" s="2"/>
      <c r="AC11" s="29"/>
      <c r="AD11" s="2"/>
      <c r="AE11" s="2"/>
      <c r="AF11" s="28"/>
      <c r="AG11" s="29"/>
      <c r="AH11" s="9">
        <f>COUNTA(Diciembre[[#This Row],[1]:[31]])</f>
        <v>0</v>
      </c>
    </row>
    <row r="12" spans="2:34" ht="15.75" thickBot="1" x14ac:dyDescent="0.3">
      <c r="B12" s="37" t="str">
        <f>MonthName&amp;" Total"</f>
        <v>Diciembre Total</v>
      </c>
      <c r="C12" s="40">
        <f>SUBTOTAL(103,Diciembre[1])</f>
        <v>0</v>
      </c>
      <c r="D12" s="38">
        <f>SUBTOTAL(103,Diciembre[2])</f>
        <v>0</v>
      </c>
      <c r="E12" s="41">
        <f>SUBTOTAL(103,Diciembre[3])</f>
        <v>0</v>
      </c>
      <c r="F12" s="41">
        <f>SUBTOTAL(103,Diciembre[4])</f>
        <v>0</v>
      </c>
      <c r="G12" s="41">
        <f>SUBTOTAL(103,Diciembre[5])</f>
        <v>0</v>
      </c>
      <c r="H12" s="39">
        <f>SUBTOTAL(103,Diciembre[6])</f>
        <v>0</v>
      </c>
      <c r="I12" s="40">
        <f>SUBTOTAL(103,Diciembre[7])</f>
        <v>0</v>
      </c>
      <c r="J12" s="40">
        <f>SUBTOTAL(103,Diciembre[8])</f>
        <v>0</v>
      </c>
      <c r="K12" s="38">
        <f>SUBTOTAL(103,Diciembre[9])</f>
        <v>0</v>
      </c>
      <c r="L12" s="41">
        <f>SUBTOTAL(103,Diciembre[10])</f>
        <v>0</v>
      </c>
      <c r="M12" s="41">
        <f>SUBTOTAL(103,Diciembre[11])</f>
        <v>0</v>
      </c>
      <c r="N12" s="41">
        <f>SUBTOTAL(103,Diciembre[12])</f>
        <v>0</v>
      </c>
      <c r="O12" s="39">
        <f>SUBTOTAL(103,Diciembre[13])</f>
        <v>0</v>
      </c>
      <c r="P12" s="40">
        <f>SUBTOTAL(103,Diciembre[14])</f>
        <v>0</v>
      </c>
      <c r="Q12" s="40">
        <f>SUBTOTAL(103,Diciembre[15])</f>
        <v>0</v>
      </c>
      <c r="R12" s="38">
        <f>SUBTOTAL(103,Diciembre[16])</f>
        <v>0</v>
      </c>
      <c r="S12" s="41">
        <f>SUBTOTAL(103,Diciembre[17])</f>
        <v>0</v>
      </c>
      <c r="T12" s="41">
        <f>SUBTOTAL(103,Diciembre[18])</f>
        <v>0</v>
      </c>
      <c r="U12" s="41">
        <f>SUBTOTAL(103,Diciembre[19])</f>
        <v>0</v>
      </c>
      <c r="V12" s="39">
        <f>SUBTOTAL(103,Diciembre[20])</f>
        <v>0</v>
      </c>
      <c r="W12" s="40">
        <f>SUBTOTAL(103,Diciembre[21])</f>
        <v>0</v>
      </c>
      <c r="X12" s="40">
        <f>SUBTOTAL(103,Diciembre[22])</f>
        <v>0</v>
      </c>
      <c r="Y12" s="38">
        <f>SUBTOTAL(103,Diciembre[23])</f>
        <v>0</v>
      </c>
      <c r="Z12" s="41">
        <f>SUBTOTAL(103,Diciembre[24])</f>
        <v>0</v>
      </c>
      <c r="AA12" s="56">
        <f>SUBTOTAL(103,Diciembre[25])</f>
        <v>0</v>
      </c>
      <c r="AB12" s="41">
        <f>SUBTOTAL(103,Diciembre[26])</f>
        <v>0</v>
      </c>
      <c r="AC12" s="39">
        <f>SUBTOTAL(103,Diciembre[27])</f>
        <v>0</v>
      </c>
      <c r="AD12" s="40">
        <f>SUBTOTAL(103,Diciembre[28])</f>
        <v>0</v>
      </c>
      <c r="AE12" s="40">
        <f>SUBTOTAL(103,Diciembre[29])</f>
        <v>0</v>
      </c>
      <c r="AF12" s="38">
        <f>SUBTOTAL(109,Diciembre[30])</f>
        <v>0</v>
      </c>
      <c r="AG12" s="39">
        <f>SUBTOTAL(109,Diciembre[31])</f>
        <v>0</v>
      </c>
      <c r="AH12" s="40">
        <f>SUBTOTAL(109,Diciembre[Número total de días])</f>
        <v>0</v>
      </c>
    </row>
    <row r="21" spans="22:22" x14ac:dyDescent="0.25">
      <c r="V21" s="21"/>
    </row>
  </sheetData>
  <mergeCells count="6">
    <mergeCell ref="C4:AG4"/>
    <mergeCell ref="D2:F2"/>
    <mergeCell ref="H2:J2"/>
    <mergeCell ref="L2:O2"/>
    <mergeCell ref="Q2:T2"/>
    <mergeCell ref="V2:Y2"/>
  </mergeCells>
  <conditionalFormatting sqref="C7:AG11">
    <cfRule type="expression" priority="1" stopIfTrue="1">
      <formula>C7=""</formula>
    </cfRule>
  </conditionalFormatting>
  <conditionalFormatting sqref="C7:AG11">
    <cfRule type="expression" dxfId="191" priority="2" stopIfTrue="1">
      <formula>C7=KeyCustom2</formula>
    </cfRule>
    <cfRule type="expression" dxfId="190" priority="3" stopIfTrue="1">
      <formula>C7=KeyCustom1</formula>
    </cfRule>
    <cfRule type="expression" dxfId="189" priority="4" stopIfTrue="1">
      <formula>C7=KeySick</formula>
    </cfRule>
    <cfRule type="expression" dxfId="188" priority="5" stopIfTrue="1">
      <formula>C7=KeyPersonal</formula>
    </cfRule>
    <cfRule type="expression" dxfId="187" priority="6" stopIfTrue="1">
      <formula>C7=KeyVacation</formula>
    </cfRule>
  </conditionalFormatting>
  <conditionalFormatting sqref="AH7:AH11">
    <cfRule type="dataBar" priority="3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dataValidations xWindow="29" yWindow="876" count="14">
    <dataValidation allowBlank="1" showInputMessage="1" showErrorMessage="1" prompt="Año actualizado de forma automática en función del año introducido en la hoja de cálculo de enero" sqref="AH4"/>
    <dataValidation allowBlank="1" showInputMessage="1" showErrorMessage="1" prompt="Cálculo automático del número total de días que un empleado ha estado ausente este mes en esta columna" sqref="AH6"/>
    <dataValidation allowBlank="1" showInputMessage="1" showErrorMessage="1" prompt="Realice un seguimiento de las ausencias de diciembre en esta hoja de cálculo." sqref="A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El título se actualiza automáticamente en esta celda. Para modificar el título, actualice la celda B1 en la hoja de cálculo de enero." sqref="B1"/>
    <dataValidation allowBlank="1" showInputMessage="1" showErrorMessage="1" prompt="La letra “V” indica una ausencia por vacaciones" sqref="C2"/>
    <dataValidation allowBlank="1" showInputMessage="1" showErrorMessage="1" prompt="La letra “P” indica una ausencia por motivos personales" sqref="G2"/>
    <dataValidation allowBlank="1" showInputMessage="1" showErrorMessage="1" prompt="La letra “E” indica una ausencia por enfermedad" sqref="K2"/>
    <dataValidation allowBlank="1" showInputMessage="1" showErrorMessage="1" prompt="Escriba una letra y personalice la etiqueta de la derecha para agregar otro elemento clave." sqref="P2 U2"/>
    <dataValidation allowBlank="1" showInputMessage="1" showErrorMessage="1" prompt="Escriba una etiqueta para describir la clave personalizada de la izquierda." sqref="Q2 V2"/>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s>
  <printOptions horizontalCentered="1"/>
  <pageMargins left="0.25" right="0.25" top="0.75" bottom="0.75" header="0.3" footer="0.3"/>
  <pageSetup paperSize="9" scale="7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29" yWindow="876" count="1">
        <x14:dataValidation type="list" allowBlank="1" showInputMessage="1" showErrorMessage="1">
          <x14:formula1>
            <xm:f>'Nombres de los empleados'!$B$4:$B$8</xm:f>
          </x14:formula1>
          <xm:sqref>B7:B11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B1:B8"/>
  <sheetViews>
    <sheetView showGridLines="0" zoomScale="90" zoomScaleNormal="90" workbookViewId="0"/>
  </sheetViews>
  <sheetFormatPr baseColWidth="10" defaultColWidth="9.140625" defaultRowHeight="15" x14ac:dyDescent="0.25"/>
  <cols>
    <col min="1" max="1" width="2.7109375" customWidth="1"/>
    <col min="2" max="2" width="30.7109375" customWidth="1"/>
    <col min="3" max="3" width="2.7109375" customWidth="1"/>
  </cols>
  <sheetData>
    <row r="1" spans="2:2" ht="33.75" x14ac:dyDescent="0.25">
      <c r="B1" s="20" t="s">
        <v>57</v>
      </c>
    </row>
    <row r="3" spans="2:2" x14ac:dyDescent="0.25">
      <c r="B3" t="s">
        <v>57</v>
      </c>
    </row>
    <row r="4" spans="2:2" x14ac:dyDescent="0.25">
      <c r="B4" s="24" t="s">
        <v>59</v>
      </c>
    </row>
    <row r="5" spans="2:2" x14ac:dyDescent="0.25">
      <c r="B5" s="24" t="s">
        <v>61</v>
      </c>
    </row>
    <row r="6" spans="2:2" x14ac:dyDescent="0.25">
      <c r="B6" s="24" t="s">
        <v>60</v>
      </c>
    </row>
    <row r="7" spans="2:2" x14ac:dyDescent="0.25">
      <c r="B7" s="24" t="s">
        <v>62</v>
      </c>
    </row>
    <row r="8" spans="2:2" x14ac:dyDescent="0.25">
      <c r="B8" s="24" t="s">
        <v>63</v>
      </c>
    </row>
  </sheetData>
  <dataValidations xWindow="30" yWindow="878" count="3">
    <dataValidation allowBlank="1" showInputMessage="1" showErrorMessage="1" prompt="Título de los nombres de los empleados" sqref="B1"/>
    <dataValidation allowBlank="1" showInputMessage="1" showErrorMessage="1" prompt="Escriba los nombres de los empleados en la tabla de nombres de los empleados en esta hoja de cálculo. Estos nombres se usan como opciones en la columna B de la tabla de ausencias de cada mes" sqref="A1"/>
    <dataValidation allowBlank="1" showInputMessage="1" showErrorMessage="1" prompt="Escriba los nombres de los empleados en esta columna." sqref="B3"/>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pageSetUpPr fitToPage="1"/>
  </sheetPr>
  <dimension ref="A1:AH21"/>
  <sheetViews>
    <sheetView showGridLines="0" zoomScaleNormal="100" workbookViewId="0">
      <selection activeCell="B11" sqref="B11"/>
    </sheetView>
  </sheetViews>
  <sheetFormatPr baseColWidth="10" defaultColWidth="9.140625" defaultRowHeight="30" customHeight="1"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2:34" ht="50.1" customHeight="1" x14ac:dyDescent="0.25">
      <c r="B1" s="13" t="str">
        <f>Employee_Absence_Title</f>
        <v>Programación Infraestructura</v>
      </c>
    </row>
    <row r="2" spans="2:34" ht="15" customHeight="1" x14ac:dyDescent="0.25">
      <c r="B2" s="17" t="s">
        <v>0</v>
      </c>
      <c r="C2" s="3" t="s">
        <v>3</v>
      </c>
      <c r="D2" s="60" t="s">
        <v>5</v>
      </c>
      <c r="E2" s="60"/>
      <c r="F2" s="60"/>
      <c r="G2" s="4" t="s">
        <v>8</v>
      </c>
      <c r="H2" s="60" t="s">
        <v>12</v>
      </c>
      <c r="I2" s="60"/>
      <c r="J2" s="60"/>
      <c r="K2" s="5" t="s">
        <v>10</v>
      </c>
      <c r="L2" s="60" t="s">
        <v>17</v>
      </c>
      <c r="M2" s="60"/>
      <c r="N2" s="60"/>
      <c r="O2" s="60"/>
      <c r="P2" s="6"/>
      <c r="Q2" s="60" t="s">
        <v>21</v>
      </c>
      <c r="R2" s="60"/>
      <c r="S2" s="60"/>
      <c r="T2" s="60"/>
      <c r="U2" s="7"/>
      <c r="V2" s="60" t="s">
        <v>26</v>
      </c>
      <c r="W2" s="60"/>
      <c r="X2" s="60"/>
      <c r="Y2" s="60"/>
    </row>
    <row r="3" spans="2:34" ht="15" customHeight="1" x14ac:dyDescent="0.25">
      <c r="B3"/>
    </row>
    <row r="4" spans="2:34" ht="30" customHeight="1" x14ac:dyDescent="0.25">
      <c r="B4" s="11" t="s">
        <v>44</v>
      </c>
      <c r="C4" s="59" t="s">
        <v>58</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2:34" ht="15" customHeight="1" x14ac:dyDescent="0.25">
      <c r="B5" s="11"/>
      <c r="C5" s="1" t="str">
        <f>TEXT(WEEKDAY(DATE(CalendarYear,1,1),1),"ddd")</f>
        <v>mar</v>
      </c>
      <c r="D5" s="1" t="str">
        <f>TEXT(WEEKDAY(DATE(CalendarYear,2,2),1),"ddd")</f>
        <v>sáb</v>
      </c>
      <c r="E5" s="1" t="str">
        <f>TEXT(WEEKDAY(DATE(CalendarYear,2,3),1),"ddd")</f>
        <v>dom</v>
      </c>
      <c r="F5" s="1" t="str">
        <f>TEXT(WEEKDAY(DATE(CalendarYear,2,4),1),"ddd")</f>
        <v>lun</v>
      </c>
      <c r="G5" s="1" t="str">
        <f>TEXT(WEEKDAY(DATE(CalendarYear,2,5),1),"ddd")</f>
        <v>mar</v>
      </c>
      <c r="H5" s="1" t="str">
        <f>TEXT(WEEKDAY(DATE(CalendarYear,2,6),1),"ddd")</f>
        <v>mié</v>
      </c>
      <c r="I5" s="1" t="str">
        <f>TEXT(WEEKDAY(DATE(CalendarYear,2,7),1),"ddd")</f>
        <v>jue</v>
      </c>
      <c r="J5" s="1" t="str">
        <f>TEXT(WEEKDAY(DATE(CalendarYear,2,8),1),"ddd")</f>
        <v>vie</v>
      </c>
      <c r="K5" s="1" t="str">
        <f>TEXT(WEEKDAY(DATE(CalendarYear,2,9),1),"ddd")</f>
        <v>sáb</v>
      </c>
      <c r="L5" s="1" t="str">
        <f>TEXT(WEEKDAY(DATE(CalendarYear,2,10),1),"ddd")</f>
        <v>dom</v>
      </c>
      <c r="M5" s="1" t="str">
        <f>TEXT(WEEKDAY(DATE(CalendarYear,2,11),1),"ddd")</f>
        <v>lun</v>
      </c>
      <c r="N5" s="1" t="str">
        <f>TEXT(WEEKDAY(DATE(CalendarYear,2,12),1),"ddd")</f>
        <v>mar</v>
      </c>
      <c r="O5" s="1" t="str">
        <f>TEXT(WEEKDAY(DATE(CalendarYear,2,13),1),"ddd")</f>
        <v>mié</v>
      </c>
      <c r="P5" s="1" t="str">
        <f>TEXT(WEEKDAY(DATE(CalendarYear,2,14),1),"ddd")</f>
        <v>jue</v>
      </c>
      <c r="Q5" s="1" t="str">
        <f>TEXT(WEEKDAY(DATE(CalendarYear,2,15),1),"ddd")</f>
        <v>vie</v>
      </c>
      <c r="R5" s="1" t="str">
        <f>TEXT(WEEKDAY(DATE(CalendarYear,2,16),1),"ddd")</f>
        <v>sáb</v>
      </c>
      <c r="S5" s="1" t="str">
        <f>TEXT(WEEKDAY(DATE(CalendarYear,2,17),1),"ddd")</f>
        <v>dom</v>
      </c>
      <c r="T5" s="1" t="str">
        <f>TEXT(WEEKDAY(DATE(CalendarYear,2,18),1),"ddd")</f>
        <v>lun</v>
      </c>
      <c r="U5" s="1" t="str">
        <f>TEXT(WEEKDAY(DATE(CalendarYear,2,19),1),"ddd")</f>
        <v>mar</v>
      </c>
      <c r="V5" s="1" t="str">
        <f>TEXT(WEEKDAY(DATE(CalendarYear,2,20),1),"ddd")</f>
        <v>mié</v>
      </c>
      <c r="W5" s="1" t="str">
        <f>TEXT(WEEKDAY(DATE(CalendarYear,2,21),1),"ddd")</f>
        <v>jue</v>
      </c>
      <c r="X5" s="1" t="str">
        <f>TEXT(WEEKDAY(DATE(CalendarYear,2,22),1),"ddd")</f>
        <v>vie</v>
      </c>
      <c r="Y5" s="1" t="str">
        <f>TEXT(WEEKDAY(DATE(CalendarYear,2,23),1),"ddd")</f>
        <v>sáb</v>
      </c>
      <c r="Z5" s="1" t="str">
        <f>TEXT(WEEKDAY(DATE(CalendarYear,2,24),1),"ddd")</f>
        <v>dom</v>
      </c>
      <c r="AA5" s="1" t="str">
        <f>TEXT(WEEKDAY(DATE(CalendarYear,2,25),1),"ddd")</f>
        <v>lun</v>
      </c>
      <c r="AB5" s="1" t="str">
        <f>TEXT(WEEKDAY(DATE(CalendarYear,2,26),1),"ddd")</f>
        <v>mar</v>
      </c>
      <c r="AC5" s="1" t="str">
        <f>TEXT(WEEKDAY(DATE(CalendarYear,2,27),1),"ddd")</f>
        <v>mié</v>
      </c>
      <c r="AD5" s="1" t="str">
        <f>TEXT(WEEKDAY(DATE(CalendarYear,2,28),1),"ddd")</f>
        <v>jue</v>
      </c>
      <c r="AE5" s="1" t="str">
        <f>TEXT(WEEKDAY(DATE(CalendarYear,2,29),1),"ddd")</f>
        <v>vie</v>
      </c>
      <c r="AF5" s="1"/>
      <c r="AG5" s="1"/>
      <c r="AH5" s="11"/>
    </row>
    <row r="6" spans="2:34" ht="15" customHeight="1" x14ac:dyDescent="0.25">
      <c r="B6" s="14" t="s">
        <v>2</v>
      </c>
      <c r="C6" s="2" t="s">
        <v>4</v>
      </c>
      <c r="D6" s="2" t="s">
        <v>6</v>
      </c>
      <c r="E6" s="2" t="s">
        <v>7</v>
      </c>
      <c r="F6" s="2" t="s">
        <v>9</v>
      </c>
      <c r="G6" s="2" t="s">
        <v>11</v>
      </c>
      <c r="H6" s="2" t="s">
        <v>13</v>
      </c>
      <c r="I6" s="2" t="s">
        <v>14</v>
      </c>
      <c r="J6" s="2" t="s">
        <v>15</v>
      </c>
      <c r="K6" s="2" t="s">
        <v>16</v>
      </c>
      <c r="L6" s="2" t="s">
        <v>18</v>
      </c>
      <c r="M6" s="2" t="s">
        <v>19</v>
      </c>
      <c r="N6" s="2" t="s">
        <v>20</v>
      </c>
      <c r="O6" s="2" t="s">
        <v>22</v>
      </c>
      <c r="P6" s="2" t="s">
        <v>23</v>
      </c>
      <c r="Q6" s="2" t="s">
        <v>24</v>
      </c>
      <c r="R6" s="2" t="s">
        <v>25</v>
      </c>
      <c r="S6" s="2" t="s">
        <v>27</v>
      </c>
      <c r="T6" s="2" t="s">
        <v>28</v>
      </c>
      <c r="U6" s="2" t="s">
        <v>29</v>
      </c>
      <c r="V6" s="2" t="s">
        <v>30</v>
      </c>
      <c r="W6" s="2" t="s">
        <v>31</v>
      </c>
      <c r="X6" s="2" t="s">
        <v>32</v>
      </c>
      <c r="Y6" s="2" t="s">
        <v>33</v>
      </c>
      <c r="Z6" s="2" t="s">
        <v>34</v>
      </c>
      <c r="AA6" s="2" t="s">
        <v>35</v>
      </c>
      <c r="AB6" s="2" t="s">
        <v>36</v>
      </c>
      <c r="AC6" s="2" t="s">
        <v>37</v>
      </c>
      <c r="AD6" s="2" t="s">
        <v>38</v>
      </c>
      <c r="AE6" s="2" t="s">
        <v>39</v>
      </c>
      <c r="AF6" s="2" t="s">
        <v>45</v>
      </c>
      <c r="AG6" s="2" t="s">
        <v>46</v>
      </c>
      <c r="AH6" s="15" t="s">
        <v>43</v>
      </c>
    </row>
    <row r="7" spans="2:34" ht="30" customHeight="1" x14ac:dyDescent="0.25">
      <c r="B7" s="16" t="s">
        <v>59</v>
      </c>
      <c r="C7" s="2"/>
      <c r="D7" s="2"/>
      <c r="E7" s="2" t="s">
        <v>3</v>
      </c>
      <c r="F7" s="2" t="s">
        <v>3</v>
      </c>
      <c r="G7" s="2" t="s">
        <v>3</v>
      </c>
      <c r="H7" s="2" t="s">
        <v>3</v>
      </c>
      <c r="I7" s="2"/>
      <c r="J7" s="2"/>
      <c r="K7" s="2"/>
      <c r="L7" s="2"/>
      <c r="M7" s="2"/>
      <c r="N7" s="2"/>
      <c r="O7" s="2" t="s">
        <v>3</v>
      </c>
      <c r="P7" s="2"/>
      <c r="Q7" s="2"/>
      <c r="R7" s="2"/>
      <c r="S7" s="2"/>
      <c r="T7" s="2"/>
      <c r="U7" s="2"/>
      <c r="V7" s="2"/>
      <c r="W7" s="2"/>
      <c r="X7" s="2"/>
      <c r="Y7" s="2"/>
      <c r="Z7" s="2"/>
      <c r="AA7" s="2"/>
      <c r="AB7" s="2"/>
      <c r="AC7" s="2"/>
      <c r="AD7" s="2"/>
      <c r="AE7" s="2"/>
      <c r="AF7" s="2"/>
      <c r="AG7" s="2"/>
      <c r="AH7" s="9">
        <f>COUNTA(Febrero[[#This Row],[1]:[29]])</f>
        <v>5</v>
      </c>
    </row>
    <row r="8" spans="2:34" ht="30" customHeight="1" x14ac:dyDescent="0.25">
      <c r="B8" s="16" t="s">
        <v>61</v>
      </c>
      <c r="C8" s="2"/>
      <c r="D8" s="2"/>
      <c r="E8" s="2"/>
      <c r="F8" s="2"/>
      <c r="G8" s="2" t="s">
        <v>10</v>
      </c>
      <c r="H8" s="2" t="s">
        <v>10</v>
      </c>
      <c r="I8" s="2"/>
      <c r="J8" s="2"/>
      <c r="K8" s="2"/>
      <c r="L8" s="2"/>
      <c r="M8" s="2" t="s">
        <v>8</v>
      </c>
      <c r="N8" s="2"/>
      <c r="O8" s="2"/>
      <c r="P8" s="2"/>
      <c r="Q8" s="2"/>
      <c r="R8" s="2"/>
      <c r="S8" s="2"/>
      <c r="T8" s="2"/>
      <c r="U8" s="2"/>
      <c r="V8" s="2" t="s">
        <v>10</v>
      </c>
      <c r="W8" s="2"/>
      <c r="X8" s="2"/>
      <c r="Y8" s="2"/>
      <c r="Z8" s="2"/>
      <c r="AA8" s="2" t="s">
        <v>3</v>
      </c>
      <c r="AB8" s="2" t="s">
        <v>3</v>
      </c>
      <c r="AC8" s="2" t="s">
        <v>3</v>
      </c>
      <c r="AD8" s="2"/>
      <c r="AE8" s="2"/>
      <c r="AF8" s="2"/>
      <c r="AG8" s="2"/>
      <c r="AH8" s="9">
        <f>COUNTA(Febrero[[#This Row],[1]:[29]])</f>
        <v>7</v>
      </c>
    </row>
    <row r="9" spans="2:34" ht="30" customHeight="1" x14ac:dyDescent="0.25">
      <c r="B9" s="16" t="s">
        <v>60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COUNTA(Febrero[[#This Row],[1]:[29]])</f>
        <v>0</v>
      </c>
    </row>
    <row r="10" spans="2:34" ht="30" customHeight="1" x14ac:dyDescent="0.25">
      <c r="B10" s="16" t="s">
        <v>62</v>
      </c>
      <c r="C10" s="2"/>
      <c r="D10" s="2"/>
      <c r="E10" s="2" t="s">
        <v>10</v>
      </c>
      <c r="F10" s="2"/>
      <c r="G10" s="2"/>
      <c r="H10" s="2"/>
      <c r="I10" s="2"/>
      <c r="J10" s="2"/>
      <c r="K10" s="2"/>
      <c r="L10" s="2"/>
      <c r="M10" s="2"/>
      <c r="N10" s="2"/>
      <c r="O10" s="2"/>
      <c r="P10" s="2" t="s">
        <v>10</v>
      </c>
      <c r="Q10" s="2"/>
      <c r="R10" s="2"/>
      <c r="S10" s="2"/>
      <c r="T10" s="2" t="s">
        <v>8</v>
      </c>
      <c r="U10" s="2"/>
      <c r="V10" s="2"/>
      <c r="W10" s="2"/>
      <c r="X10" s="2"/>
      <c r="Y10" s="2"/>
      <c r="Z10" s="2"/>
      <c r="AA10" s="2"/>
      <c r="AB10" s="2"/>
      <c r="AC10" s="2"/>
      <c r="AD10" s="2" t="s">
        <v>10</v>
      </c>
      <c r="AE10" s="2"/>
      <c r="AF10" s="2"/>
      <c r="AG10" s="2"/>
      <c r="AH10" s="9">
        <f>COUNTA(Febrero[[#This Row],[1]:[29]])</f>
        <v>4</v>
      </c>
    </row>
    <row r="11" spans="2:34" ht="30" customHeight="1" x14ac:dyDescent="0.25">
      <c r="B11" s="16" t="s">
        <v>63</v>
      </c>
      <c r="C11" s="2"/>
      <c r="D11" s="2"/>
      <c r="E11" s="2"/>
      <c r="F11" s="2"/>
      <c r="G11" s="2"/>
      <c r="H11" s="2"/>
      <c r="I11" s="2"/>
      <c r="J11" s="2" t="s">
        <v>3</v>
      </c>
      <c r="K11" s="2" t="s">
        <v>3</v>
      </c>
      <c r="L11" s="2" t="s">
        <v>3</v>
      </c>
      <c r="M11" s="2" t="s">
        <v>3</v>
      </c>
      <c r="N11" s="2"/>
      <c r="O11" s="2"/>
      <c r="P11" s="2"/>
      <c r="Q11" s="2"/>
      <c r="R11" s="2"/>
      <c r="S11" s="2"/>
      <c r="T11" s="2"/>
      <c r="U11" s="2"/>
      <c r="V11" s="2"/>
      <c r="W11" s="2"/>
      <c r="X11" s="2"/>
      <c r="Y11" s="2"/>
      <c r="Z11" s="2" t="s">
        <v>10</v>
      </c>
      <c r="AA11" s="2"/>
      <c r="AB11" s="2"/>
      <c r="AC11" s="2"/>
      <c r="AD11" s="2"/>
      <c r="AE11" s="2"/>
      <c r="AF11" s="2"/>
      <c r="AG11" s="2"/>
      <c r="AH11" s="9">
        <f>COUNTA(Febrero[[#This Row],[1]:[29]])</f>
        <v>5</v>
      </c>
    </row>
    <row r="12" spans="2:34" ht="30" customHeight="1" x14ac:dyDescent="0.25">
      <c r="B12" s="19" t="str">
        <f>MonthName&amp;" Total"</f>
        <v>Febrero Total</v>
      </c>
      <c r="C12" s="12">
        <f>SUBTOTAL(103,Febrero[1])</f>
        <v>0</v>
      </c>
      <c r="D12" s="12">
        <f>SUBTOTAL(103,Febrero[2])</f>
        <v>0</v>
      </c>
      <c r="E12" s="12">
        <f>SUBTOTAL(103,Febrero[3])</f>
        <v>2</v>
      </c>
      <c r="F12" s="12">
        <f>SUBTOTAL(103,Febrero[4])</f>
        <v>1</v>
      </c>
      <c r="G12" s="12">
        <f>SUBTOTAL(103,Febrero[5])</f>
        <v>2</v>
      </c>
      <c r="H12" s="12">
        <f>SUBTOTAL(103,Febrero[6])</f>
        <v>2</v>
      </c>
      <c r="I12" s="12">
        <f>SUBTOTAL(103,Febrero[7])</f>
        <v>0</v>
      </c>
      <c r="J12" s="12">
        <f>SUBTOTAL(103,Febrero[8])</f>
        <v>1</v>
      </c>
      <c r="K12" s="12">
        <f>SUBTOTAL(103,Febrero[9])</f>
        <v>1</v>
      </c>
      <c r="L12" s="12">
        <f>SUBTOTAL(103,Febrero[10])</f>
        <v>1</v>
      </c>
      <c r="M12" s="12">
        <f>SUBTOTAL(103,Febrero[11])</f>
        <v>2</v>
      </c>
      <c r="N12" s="12">
        <f>SUBTOTAL(103,Febrero[12])</f>
        <v>0</v>
      </c>
      <c r="O12" s="12">
        <f>SUBTOTAL(103,Febrero[13])</f>
        <v>1</v>
      </c>
      <c r="P12" s="12">
        <f>SUBTOTAL(103,Febrero[14])</f>
        <v>1</v>
      </c>
      <c r="Q12" s="12">
        <f>SUBTOTAL(103,Febrero[15])</f>
        <v>0</v>
      </c>
      <c r="R12" s="12">
        <f>SUBTOTAL(103,Febrero[16])</f>
        <v>0</v>
      </c>
      <c r="S12" s="12">
        <f>SUBTOTAL(103,Febrero[17])</f>
        <v>0</v>
      </c>
      <c r="T12" s="12">
        <f>SUBTOTAL(103,Febrero[18])</f>
        <v>1</v>
      </c>
      <c r="U12" s="12">
        <f>SUBTOTAL(103,Febrero[19])</f>
        <v>0</v>
      </c>
      <c r="V12" s="12">
        <f>SUBTOTAL(103,Febrero[20])</f>
        <v>1</v>
      </c>
      <c r="W12" s="12">
        <f>SUBTOTAL(103,Febrero[21])</f>
        <v>0</v>
      </c>
      <c r="X12" s="12">
        <f>SUBTOTAL(103,Febrero[22])</f>
        <v>0</v>
      </c>
      <c r="Y12" s="12">
        <f>SUBTOTAL(103,Febrero[23])</f>
        <v>0</v>
      </c>
      <c r="Z12" s="12">
        <f>SUBTOTAL(103,Febrero[24])</f>
        <v>1</v>
      </c>
      <c r="AA12" s="12">
        <f>SUBTOTAL(103,Febrero[25])</f>
        <v>1</v>
      </c>
      <c r="AB12" s="12">
        <f>SUBTOTAL(103,Febrero[26])</f>
        <v>1</v>
      </c>
      <c r="AC12" s="12">
        <f>SUBTOTAL(103,Febrero[27])</f>
        <v>1</v>
      </c>
      <c r="AD12" s="12">
        <f>SUBTOTAL(103,Febrero[28])</f>
        <v>1</v>
      </c>
      <c r="AE12" s="12">
        <f>SUBTOTAL(103,Febrero[29])</f>
        <v>0</v>
      </c>
      <c r="AF12" s="12"/>
      <c r="AG12" s="12"/>
      <c r="AH12" s="12">
        <f>SUBTOTAL(109,Febrero[Número total de días])</f>
        <v>21</v>
      </c>
    </row>
    <row r="21" spans="22:22" ht="30" customHeight="1" x14ac:dyDescent="0.25">
      <c r="V21" s="21"/>
    </row>
  </sheetData>
  <mergeCells count="6">
    <mergeCell ref="C4:AG4"/>
    <mergeCell ref="D2:F2"/>
    <mergeCell ref="H2:J2"/>
    <mergeCell ref="L2:O2"/>
    <mergeCell ref="Q2:T2"/>
    <mergeCell ref="V2:Y2"/>
  </mergeCells>
  <conditionalFormatting sqref="AE6">
    <cfRule type="expression" dxfId="253" priority="16">
      <formula>MONTH(DATE(CalendarYear,2,29))&lt;&gt;2</formula>
    </cfRule>
  </conditionalFormatting>
  <conditionalFormatting sqref="AE5">
    <cfRule type="expression" dxfId="252" priority="15">
      <formula>MONTH(DATE(CalendarYear,2,29))&lt;&gt;2</formula>
    </cfRule>
  </conditionalFormatting>
  <conditionalFormatting sqref="C7:AG11">
    <cfRule type="expression" priority="2" stopIfTrue="1">
      <formula>C7=""</formula>
    </cfRule>
    <cfRule type="expression" dxfId="251" priority="3" stopIfTrue="1">
      <formula>C7=KeyCustom2</formula>
    </cfRule>
  </conditionalFormatting>
  <conditionalFormatting sqref="C7:AG11">
    <cfRule type="expression" dxfId="250" priority="5" stopIfTrue="1">
      <formula>C7=KeyCustom1</formula>
    </cfRule>
    <cfRule type="expression" dxfId="249" priority="6" stopIfTrue="1">
      <formula>C7=KeySick</formula>
    </cfRule>
    <cfRule type="expression" dxfId="248" priority="7" stopIfTrue="1">
      <formula>C7=KeyPersonal</formula>
    </cfRule>
    <cfRule type="expression" dxfId="247" priority="8" stopIfTrue="1">
      <formula>C7=KeyVacation</formula>
    </cfRule>
  </conditionalFormatting>
  <conditionalFormatting sqref="AH7:AH11">
    <cfRule type="dataBar" priority="153">
      <dataBar>
        <cfvo type="min"/>
        <cfvo type="formula" val="DATEDIF(DATE(CalendarYear,2,1),DATE(CalendarYear,3,1),&quot;d&quot;)"/>
        <color theme="2" tint="-0.249977111117893"/>
      </dataBar>
      <extLst>
        <ext xmlns:x14="http://schemas.microsoft.com/office/spreadsheetml/2009/9/main" uri="{B025F937-C7B1-47D3-B67F-A62EFF666E3E}">
          <x14:id>{94738C71-AB78-40C3-A818-D083AE35CC38}</x14:id>
        </ext>
      </extLst>
    </cfRule>
  </conditionalFormatting>
  <dataValidations xWindow="232" yWindow="365" count="14">
    <dataValidation allowBlank="1" showInputMessage="1" showErrorMessage="1" prompt="Año actualizado de forma automática en función del año introducido en la hoja de cálculo de enero" sqref="AH4"/>
    <dataValidation allowBlank="1" showInputMessage="1" showErrorMessage="1" prompt="Realice un seguimiento de las ausencias de febrero en esta hoja de cálculo." sqref="A1"/>
    <dataValidation allowBlank="1" showInputMessage="1" showErrorMessage="1" prompt="Cálculo automático del número total de días que un empleado ha estado ausente este mes en esta columna" sqref="AH6"/>
    <dataValidation allowBlank="1" showInputMessage="1" showErrorMessage="1" prompt="El título se actualiza automáticamente en esta celda. Para modificar el título, actualice la celda B1 en la hoja de cálculo de enero." sqref="B1"/>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criba una etiqueta para describir la clave personalizada de la izquierda." sqref="Q2 V2"/>
    <dataValidation allowBlank="1" showInputMessage="1" showErrorMessage="1" prompt="Escriba una letra y personalice la etiqueta de la derecha para agregar otro elemento clave." sqref="P2 U2"/>
    <dataValidation allowBlank="1" showInputMessage="1" showErrorMessage="1" prompt="La letra “E” indica una ausencia por enfermedad" sqref="K2"/>
    <dataValidation allowBlank="1" showInputMessage="1" showErrorMessage="1" prompt="La letra “P” indica una ausencia por motivos personales" sqref="G2"/>
    <dataValidation allowBlank="1" showInputMessage="1" showErrorMessage="1" prompt="La letra “V” indica una ausencia por vacaciones" sqref="C2"/>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s>
  <printOptions horizontalCentered="1"/>
  <pageMargins left="0.25" right="0.25" top="0.75" bottom="0.75" header="0.3" footer="0.3"/>
  <pageSetup paperSize="9" scale="7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232" yWindow="365" count="1">
        <x14:dataValidation type="list" allowBlank="1" showInputMessage="1" showErrorMessage="1">
          <x14:formula1>
            <xm:f>'Nombres de los empleados'!$B$4:$B$8</xm:f>
          </x14:formula1>
          <xm:sqref>B7:B11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pageSetUpPr fitToPage="1"/>
  </sheetPr>
  <dimension ref="A1:AH21"/>
  <sheetViews>
    <sheetView showGridLines="0" zoomScaleNormal="100" workbookViewId="0">
      <selection activeCell="B11" sqref="B11"/>
    </sheetView>
  </sheetViews>
  <sheetFormatPr baseColWidth="10" defaultColWidth="9.140625" defaultRowHeight="30" customHeight="1"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2:34" ht="50.1" customHeight="1" x14ac:dyDescent="0.25">
      <c r="B1" s="13" t="str">
        <f>Employee_Absence_Title</f>
        <v>Programación Infraestructura</v>
      </c>
    </row>
    <row r="2" spans="2:34" ht="15" customHeight="1" x14ac:dyDescent="0.25">
      <c r="B2" s="17" t="s">
        <v>0</v>
      </c>
      <c r="C2" s="3" t="s">
        <v>3</v>
      </c>
      <c r="D2" s="60" t="s">
        <v>5</v>
      </c>
      <c r="E2" s="60"/>
      <c r="F2" s="60"/>
      <c r="G2" s="4" t="s">
        <v>8</v>
      </c>
      <c r="H2" s="60" t="s">
        <v>12</v>
      </c>
      <c r="I2" s="60"/>
      <c r="J2" s="60"/>
      <c r="K2" s="5" t="s">
        <v>10</v>
      </c>
      <c r="L2" s="60" t="s">
        <v>17</v>
      </c>
      <c r="M2" s="60"/>
      <c r="N2" s="60"/>
      <c r="O2" s="60"/>
      <c r="P2" s="6"/>
      <c r="Q2" s="60" t="s">
        <v>21</v>
      </c>
      <c r="R2" s="60"/>
      <c r="S2" s="60"/>
      <c r="T2" s="60"/>
      <c r="U2" s="7"/>
      <c r="V2" s="60" t="s">
        <v>26</v>
      </c>
      <c r="W2" s="60"/>
      <c r="X2" s="60"/>
      <c r="Y2" s="60"/>
    </row>
    <row r="3" spans="2:34" ht="15" customHeight="1" x14ac:dyDescent="0.25">
      <c r="B3" s="13"/>
    </row>
    <row r="4" spans="2:34" ht="30" customHeight="1" x14ac:dyDescent="0.25">
      <c r="B4" s="11" t="s">
        <v>47</v>
      </c>
      <c r="C4" s="59" t="s">
        <v>58</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2:34" ht="15" customHeight="1" x14ac:dyDescent="0.25">
      <c r="B5" s="11"/>
      <c r="C5" s="1" t="str">
        <f>TEXT(WEEKDAY(DATE(CalendarYear,1,1),1),"ddd")</f>
        <v>mar</v>
      </c>
      <c r="D5" s="1" t="str">
        <f>TEXT(WEEKDAY(DATE(CalendarYear,3,2),1),"ddd")</f>
        <v>sáb</v>
      </c>
      <c r="E5" s="1" t="str">
        <f>TEXT(WEEKDAY(DATE(CalendarYear,3,3),1),"ddd")</f>
        <v>dom</v>
      </c>
      <c r="F5" s="1" t="str">
        <f>TEXT(WEEKDAY(DATE(CalendarYear,3,4),1),"ddd")</f>
        <v>lun</v>
      </c>
      <c r="G5" s="1" t="str">
        <f>TEXT(WEEKDAY(DATE(CalendarYear,3,5),1),"ddd")</f>
        <v>mar</v>
      </c>
      <c r="H5" s="1" t="str">
        <f>TEXT(WEEKDAY(DATE(CalendarYear,3,6),1),"ddd")</f>
        <v>mié</v>
      </c>
      <c r="I5" s="1" t="str">
        <f>TEXT(WEEKDAY(DATE(CalendarYear,3,7),1),"ddd")</f>
        <v>jue</v>
      </c>
      <c r="J5" s="1" t="str">
        <f>TEXT(WEEKDAY(DATE(CalendarYear,3,8),1),"ddd")</f>
        <v>vie</v>
      </c>
      <c r="K5" s="1" t="str">
        <f>TEXT(WEEKDAY(DATE(CalendarYear,3,9),1),"ddd")</f>
        <v>sáb</v>
      </c>
      <c r="L5" s="1" t="str">
        <f>TEXT(WEEKDAY(DATE(CalendarYear,3,10),1),"ddd")</f>
        <v>dom</v>
      </c>
      <c r="M5" s="1" t="str">
        <f>TEXT(WEEKDAY(DATE(CalendarYear,3,11),1),"ddd")</f>
        <v>lun</v>
      </c>
      <c r="N5" s="1" t="str">
        <f>TEXT(WEEKDAY(DATE(CalendarYear,3,12),1),"ddd")</f>
        <v>mar</v>
      </c>
      <c r="O5" s="1" t="str">
        <f>TEXT(WEEKDAY(DATE(CalendarYear,3,13),1),"ddd")</f>
        <v>mié</v>
      </c>
      <c r="P5" s="1" t="str">
        <f>TEXT(WEEKDAY(DATE(CalendarYear,3,14),1),"ddd")</f>
        <v>jue</v>
      </c>
      <c r="Q5" s="1" t="str">
        <f>TEXT(WEEKDAY(DATE(CalendarYear,3,15),1),"ddd")</f>
        <v>vie</v>
      </c>
      <c r="R5" s="1" t="str">
        <f>TEXT(WEEKDAY(DATE(CalendarYear,3,16),1),"ddd")</f>
        <v>sáb</v>
      </c>
      <c r="S5" s="1" t="str">
        <f>TEXT(WEEKDAY(DATE(CalendarYear,3,17),1),"ddd")</f>
        <v>dom</v>
      </c>
      <c r="T5" s="1" t="str">
        <f>TEXT(WEEKDAY(DATE(CalendarYear,3,18),1),"ddd")</f>
        <v>lun</v>
      </c>
      <c r="U5" s="1" t="str">
        <f>TEXT(WEEKDAY(DATE(CalendarYear,3,19),1),"ddd")</f>
        <v>mar</v>
      </c>
      <c r="V5" s="1" t="str">
        <f>TEXT(WEEKDAY(DATE(CalendarYear,3,20),1),"ddd")</f>
        <v>mié</v>
      </c>
      <c r="W5" s="1" t="str">
        <f>TEXT(WEEKDAY(DATE(CalendarYear,3,21),1),"ddd")</f>
        <v>jue</v>
      </c>
      <c r="X5" s="1" t="str">
        <f>TEXT(WEEKDAY(DATE(CalendarYear,3,22),1),"ddd")</f>
        <v>vie</v>
      </c>
      <c r="Y5" s="1" t="str">
        <f>TEXT(WEEKDAY(DATE(CalendarYear,3,23),1),"ddd")</f>
        <v>sáb</v>
      </c>
      <c r="Z5" s="1" t="str">
        <f>TEXT(WEEKDAY(DATE(CalendarYear,3,24),1),"ddd")</f>
        <v>dom</v>
      </c>
      <c r="AA5" s="1" t="str">
        <f>TEXT(WEEKDAY(DATE(CalendarYear,3,25),1),"ddd")</f>
        <v>lun</v>
      </c>
      <c r="AB5" s="1" t="str">
        <f>TEXT(WEEKDAY(DATE(CalendarYear,3,26),1),"ddd")</f>
        <v>mar</v>
      </c>
      <c r="AC5" s="1" t="str">
        <f>TEXT(WEEKDAY(DATE(CalendarYear,3,27),1),"ddd")</f>
        <v>mié</v>
      </c>
      <c r="AD5" s="1" t="str">
        <f>TEXT(WEEKDAY(DATE(CalendarYear,3,28),1),"ddd")</f>
        <v>jue</v>
      </c>
      <c r="AE5" s="1" t="str">
        <f>TEXT(WEEKDAY(DATE(CalendarYear,3,29),1),"ddd")</f>
        <v>vie</v>
      </c>
      <c r="AF5" s="1" t="str">
        <f>TEXT(WEEKDAY(DATE(CalendarYear,3,30),1),"ddd")</f>
        <v>sáb</v>
      </c>
      <c r="AG5" s="1" t="str">
        <f>TEXT(WEEKDAY(DATE(CalendarYear,3,31),1),"ddd")</f>
        <v>dom</v>
      </c>
      <c r="AH5" s="11"/>
    </row>
    <row r="6" spans="2:34" ht="15" customHeight="1" x14ac:dyDescent="0.25">
      <c r="B6" s="14" t="s">
        <v>2</v>
      </c>
      <c r="C6" s="2" t="s">
        <v>4</v>
      </c>
      <c r="D6" s="2" t="s">
        <v>6</v>
      </c>
      <c r="E6" s="2" t="s">
        <v>7</v>
      </c>
      <c r="F6" s="2" t="s">
        <v>9</v>
      </c>
      <c r="G6" s="2" t="s">
        <v>11</v>
      </c>
      <c r="H6" s="2" t="s">
        <v>13</v>
      </c>
      <c r="I6" s="2" t="s">
        <v>14</v>
      </c>
      <c r="J6" s="2" t="s">
        <v>15</v>
      </c>
      <c r="K6" s="2" t="s">
        <v>16</v>
      </c>
      <c r="L6" s="2" t="s">
        <v>18</v>
      </c>
      <c r="M6" s="2" t="s">
        <v>19</v>
      </c>
      <c r="N6" s="2" t="s">
        <v>20</v>
      </c>
      <c r="O6" s="2" t="s">
        <v>22</v>
      </c>
      <c r="P6" s="2" t="s">
        <v>23</v>
      </c>
      <c r="Q6" s="2" t="s">
        <v>24</v>
      </c>
      <c r="R6" s="2" t="s">
        <v>25</v>
      </c>
      <c r="S6" s="2" t="s">
        <v>27</v>
      </c>
      <c r="T6" s="2" t="s">
        <v>28</v>
      </c>
      <c r="U6" s="2" t="s">
        <v>29</v>
      </c>
      <c r="V6" s="2" t="s">
        <v>30</v>
      </c>
      <c r="W6" s="2" t="s">
        <v>31</v>
      </c>
      <c r="X6" s="2" t="s">
        <v>32</v>
      </c>
      <c r="Y6" s="2" t="s">
        <v>33</v>
      </c>
      <c r="Z6" s="2" t="s">
        <v>34</v>
      </c>
      <c r="AA6" s="2" t="s">
        <v>35</v>
      </c>
      <c r="AB6" s="2" t="s">
        <v>36</v>
      </c>
      <c r="AC6" s="2" t="s">
        <v>37</v>
      </c>
      <c r="AD6" s="2" t="s">
        <v>38</v>
      </c>
      <c r="AE6" s="2" t="s">
        <v>39</v>
      </c>
      <c r="AF6" s="2" t="s">
        <v>40</v>
      </c>
      <c r="AG6" s="2" t="s">
        <v>41</v>
      </c>
      <c r="AH6" s="15" t="s">
        <v>43</v>
      </c>
    </row>
    <row r="7" spans="2:34" ht="30" customHeight="1" x14ac:dyDescent="0.25">
      <c r="B7" s="16" t="s">
        <v>59</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COUNTA(Marzo[[#This Row],[1]:[31]])</f>
        <v>0</v>
      </c>
    </row>
    <row r="8" spans="2:34" ht="30" customHeight="1" x14ac:dyDescent="0.25">
      <c r="B8" s="16" t="s">
        <v>61</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COUNTA(Marzo[[#This Row],[1]:[31]])</f>
        <v>0</v>
      </c>
    </row>
    <row r="9" spans="2:34" ht="30" customHeight="1" x14ac:dyDescent="0.25">
      <c r="B9" s="16" t="s">
        <v>60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COUNTA(Marzo[[#This Row],[1]:[31]])</f>
        <v>0</v>
      </c>
    </row>
    <row r="10" spans="2:34" ht="30" customHeight="1" x14ac:dyDescent="0.25">
      <c r="B10" s="16" t="s">
        <v>62</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COUNTA(Marzo[[#This Row],[1]:[31]])</f>
        <v>0</v>
      </c>
    </row>
    <row r="11" spans="2:34" ht="30" customHeight="1" x14ac:dyDescent="0.25">
      <c r="B11" s="16" t="s">
        <v>63</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COUNTA(Marzo[[#This Row],[1]:[31]])</f>
        <v>0</v>
      </c>
    </row>
    <row r="12" spans="2:34" ht="30" customHeight="1" x14ac:dyDescent="0.25">
      <c r="B12" s="19" t="str">
        <f>MonthName&amp;" Total"</f>
        <v>Marzo Total</v>
      </c>
      <c r="C12" s="12">
        <f>SUBTOTAL(103,Marzo[1])</f>
        <v>0</v>
      </c>
      <c r="D12" s="12">
        <f>SUBTOTAL(103,Marzo[2])</f>
        <v>0</v>
      </c>
      <c r="E12" s="12">
        <f>SUBTOTAL(103,Marzo[3])</f>
        <v>0</v>
      </c>
      <c r="F12" s="12">
        <f>SUBTOTAL(103,Marzo[4])</f>
        <v>0</v>
      </c>
      <c r="G12" s="12">
        <f>SUBTOTAL(103,Marzo[5])</f>
        <v>0</v>
      </c>
      <c r="H12" s="12">
        <f>SUBTOTAL(103,Marzo[6])</f>
        <v>0</v>
      </c>
      <c r="I12" s="12">
        <f>SUBTOTAL(103,Marzo[7])</f>
        <v>0</v>
      </c>
      <c r="J12" s="12">
        <f>SUBTOTAL(103,Marzo[8])</f>
        <v>0</v>
      </c>
      <c r="K12" s="12">
        <f>SUBTOTAL(103,Marzo[9])</f>
        <v>0</v>
      </c>
      <c r="L12" s="12">
        <f>SUBTOTAL(103,Marzo[10])</f>
        <v>0</v>
      </c>
      <c r="M12" s="12">
        <f>SUBTOTAL(103,Marzo[11])</f>
        <v>0</v>
      </c>
      <c r="N12" s="12">
        <f>SUBTOTAL(103,Marzo[12])</f>
        <v>0</v>
      </c>
      <c r="O12" s="12">
        <f>SUBTOTAL(103,Marzo[13])</f>
        <v>0</v>
      </c>
      <c r="P12" s="12">
        <f>SUBTOTAL(103,Marzo[14])</f>
        <v>0</v>
      </c>
      <c r="Q12" s="12">
        <f>SUBTOTAL(103,Marzo[15])</f>
        <v>0</v>
      </c>
      <c r="R12" s="12">
        <f>SUBTOTAL(103,Marzo[16])</f>
        <v>0</v>
      </c>
      <c r="S12" s="12">
        <f>SUBTOTAL(103,Marzo[17])</f>
        <v>0</v>
      </c>
      <c r="T12" s="12">
        <f>SUBTOTAL(103,Marzo[18])</f>
        <v>0</v>
      </c>
      <c r="U12" s="12">
        <f>SUBTOTAL(103,Marzo[19])</f>
        <v>0</v>
      </c>
      <c r="V12" s="12">
        <f>SUBTOTAL(103,Marzo[20])</f>
        <v>0</v>
      </c>
      <c r="W12" s="12">
        <f>SUBTOTAL(103,Marzo[21])</f>
        <v>0</v>
      </c>
      <c r="X12" s="12">
        <f>SUBTOTAL(103,Marzo[22])</f>
        <v>0</v>
      </c>
      <c r="Y12" s="12">
        <f>SUBTOTAL(103,Marzo[23])</f>
        <v>0</v>
      </c>
      <c r="Z12" s="12">
        <f>SUBTOTAL(103,Marzo[24])</f>
        <v>0</v>
      </c>
      <c r="AA12" s="12">
        <f>SUBTOTAL(103,Marzo[25])</f>
        <v>0</v>
      </c>
      <c r="AB12" s="12">
        <f>SUBTOTAL(103,Marzo[26])</f>
        <v>0</v>
      </c>
      <c r="AC12" s="12">
        <f>SUBTOTAL(103,Marzo[27])</f>
        <v>0</v>
      </c>
      <c r="AD12" s="12">
        <f>SUBTOTAL(103,Marzo[28])</f>
        <v>0</v>
      </c>
      <c r="AE12" s="12">
        <f>SUBTOTAL(103,Marzo[29])</f>
        <v>0</v>
      </c>
      <c r="AF12" s="12">
        <f>SUBTOTAL(109,Marzo[30])</f>
        <v>0</v>
      </c>
      <c r="AG12" s="12">
        <f>SUBTOTAL(109,Marzo[31])</f>
        <v>0</v>
      </c>
      <c r="AH12" s="12">
        <f>SUBTOTAL(109,Marzo[Número total de días])</f>
        <v>0</v>
      </c>
    </row>
    <row r="21" spans="22:22" ht="30" customHeight="1" x14ac:dyDescent="0.25">
      <c r="V21" s="21"/>
    </row>
  </sheetData>
  <mergeCells count="6">
    <mergeCell ref="C4:AG4"/>
    <mergeCell ref="D2:F2"/>
    <mergeCell ref="H2:J2"/>
    <mergeCell ref="L2:O2"/>
    <mergeCell ref="Q2:T2"/>
    <mergeCell ref="V2:Y2"/>
  </mergeCells>
  <conditionalFormatting sqref="C7:AG11">
    <cfRule type="expression" priority="1" stopIfTrue="1">
      <formula>C7=""</formula>
    </cfRule>
  </conditionalFormatting>
  <conditionalFormatting sqref="C7:AG11">
    <cfRule type="expression" dxfId="246" priority="2" stopIfTrue="1">
      <formula>C7=KeyCustom2</formula>
    </cfRule>
    <cfRule type="expression" dxfId="245" priority="3" stopIfTrue="1">
      <formula>C7=KeyCustom1</formula>
    </cfRule>
    <cfRule type="expression" dxfId="244" priority="4" stopIfTrue="1">
      <formula>C7=KeySick</formula>
    </cfRule>
    <cfRule type="expression" dxfId="243" priority="5" stopIfTrue="1">
      <formula>C7=KeyPersonal</formula>
    </cfRule>
    <cfRule type="expression" dxfId="242"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{7C2B6C3E-666E-4369-8C57-FD32A7D03A3C}</x14:id>
        </ext>
      </extLst>
    </cfRule>
  </conditionalFormatting>
  <dataValidations count="14">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criba una etiqueta para describir la clave personalizada de la izquierda." sqref="Q2 V2"/>
    <dataValidation allowBlank="1" showInputMessage="1" showErrorMessage="1" prompt="Escriba una letra y personalice la etiqueta de la derecha para agregar otro elemento clave." sqref="P2 U2"/>
    <dataValidation allowBlank="1" showInputMessage="1" showErrorMessage="1" prompt="La letra “E” indica una ausencia por enfermedad" sqref="K2"/>
    <dataValidation allowBlank="1" showInputMessage="1" showErrorMessage="1" prompt="La letra “P” indica una ausencia por motivos personales" sqref="G2"/>
    <dataValidation allowBlank="1" showInputMessage="1" showErrorMessage="1" prompt="La letra “V” indica una ausencia por vacaciones" sqref="C2"/>
    <dataValidation allowBlank="1" showInputMessage="1" showErrorMessage="1" prompt="El título se actualiza automáticamente en esta celda. Para modificar el título, actualice la celda B1 en la hoja de cálculo de enero." sqref="B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Realice un seguimiento de las ausencias de marzo en esta hoja de cálculo." sqref="A1"/>
    <dataValidation allowBlank="1" showInputMessage="1" showErrorMessage="1" prompt="Cálculo automático del número total de días que un empleado ha estado ausente este mes en esta columna" sqref="AH6"/>
    <dataValidation allowBlank="1" showInputMessage="1" showErrorMessage="1" prompt="Año actualizado de forma automática en función del año introducido en la hoja de cálculo de enero" sqref="AH4"/>
  </dataValidations>
  <printOptions horizontalCentered="1"/>
  <pageMargins left="0.25" right="0.25" top="0.75" bottom="0.75" header="0.3" footer="0.3"/>
  <pageSetup paperSize="9" scale="7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C2B6C3E-666E-4369-8C57-FD32A7D03A3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'Nombres de los empleados'!$B$4:$B$8</xm:f>
          </x14:formula1>
          <xm:sqref>B7:B11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249977111117893"/>
    <pageSetUpPr fitToPage="1"/>
  </sheetPr>
  <dimension ref="A1:AH20"/>
  <sheetViews>
    <sheetView showGridLines="0" zoomScale="90" zoomScaleNormal="90" workbookViewId="0">
      <selection activeCell="AC11" sqref="AC11"/>
    </sheetView>
  </sheetViews>
  <sheetFormatPr baseColWidth="10" defaultColWidth="9.140625" defaultRowHeight="15"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1:34" ht="33.75" x14ac:dyDescent="0.25">
      <c r="A1" s="21"/>
      <c r="B1" s="13" t="str">
        <f>Employee_Absence_Title</f>
        <v>Programación Infraestructura</v>
      </c>
    </row>
    <row r="2" spans="1:34" x14ac:dyDescent="0.25">
      <c r="B2" s="17" t="s">
        <v>0</v>
      </c>
      <c r="C2" s="3" t="s">
        <v>3</v>
      </c>
      <c r="D2" s="60" t="s">
        <v>5</v>
      </c>
      <c r="E2" s="60"/>
      <c r="F2" s="60"/>
      <c r="G2" s="4" t="s">
        <v>8</v>
      </c>
      <c r="H2" s="61" t="s">
        <v>68</v>
      </c>
      <c r="I2" s="60"/>
      <c r="J2" s="60"/>
      <c r="K2" s="5" t="s">
        <v>10</v>
      </c>
      <c r="L2" s="60" t="s">
        <v>17</v>
      </c>
      <c r="M2" s="60"/>
      <c r="N2" s="60"/>
      <c r="O2" s="60"/>
      <c r="P2" s="6" t="s">
        <v>66</v>
      </c>
      <c r="Q2" s="61" t="s">
        <v>64</v>
      </c>
      <c r="R2" s="60"/>
      <c r="S2" s="60"/>
      <c r="T2" s="60"/>
      <c r="U2" s="7" t="s">
        <v>67</v>
      </c>
      <c r="V2" s="61" t="s">
        <v>65</v>
      </c>
      <c r="W2" s="60"/>
      <c r="X2" s="60"/>
      <c r="Y2" s="60"/>
      <c r="Z2" s="58"/>
      <c r="AA2" s="10" t="s">
        <v>69</v>
      </c>
    </row>
    <row r="3" spans="1:34" ht="33.75" x14ac:dyDescent="0.25">
      <c r="B3" s="13"/>
    </row>
    <row r="4" spans="1:34" ht="24" thickBot="1" x14ac:dyDescent="0.3">
      <c r="B4" s="11" t="s">
        <v>48</v>
      </c>
      <c r="C4" s="59" t="s">
        <v>70</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1:34" ht="23.25" x14ac:dyDescent="0.25">
      <c r="B5" s="11"/>
      <c r="C5" s="1" t="str">
        <f>TEXT(WEEKDAY(DATE(CalendarYear,4,1),1),"ddd")</f>
        <v>lun</v>
      </c>
      <c r="D5" s="1" t="str">
        <f>TEXT(WEEKDAY(DATE(CalendarYear,4,2),1),"ddd")</f>
        <v>mar</v>
      </c>
      <c r="E5" s="1" t="str">
        <f>TEXT(WEEKDAY(DATE(CalendarYear,4,3),1),"ddd")</f>
        <v>mié</v>
      </c>
      <c r="F5" s="1" t="str">
        <f>TEXT(WEEKDAY(DATE(CalendarYear,4,4),1),"ddd")</f>
        <v>jue</v>
      </c>
      <c r="G5" s="1" t="str">
        <f>TEXT(WEEKDAY(DATE(CalendarYear,4,5),1),"ddd")</f>
        <v>vie</v>
      </c>
      <c r="H5" s="1" t="str">
        <f>TEXT(WEEKDAY(DATE(CalendarYear,4,6),1),"ddd")</f>
        <v>sáb</v>
      </c>
      <c r="I5" s="1" t="str">
        <f>TEXT(WEEKDAY(DATE(CalendarYear,4,7),1),"ddd")</f>
        <v>dom</v>
      </c>
      <c r="J5" s="1" t="str">
        <f>TEXT(WEEKDAY(DATE(CalendarYear,4,8),1),"ddd")</f>
        <v>lun</v>
      </c>
      <c r="K5" s="1" t="str">
        <f>TEXT(WEEKDAY(DATE(CalendarYear,4,9),1),"ddd")</f>
        <v>mar</v>
      </c>
      <c r="L5" s="1" t="str">
        <f>TEXT(WEEKDAY(DATE(CalendarYear,4,10),1),"ddd")</f>
        <v>mié</v>
      </c>
      <c r="M5" s="1" t="str">
        <f>TEXT(WEEKDAY(DATE(CalendarYear,4,11),1),"ddd")</f>
        <v>jue</v>
      </c>
      <c r="N5" s="1" t="str">
        <f>TEXT(WEEKDAY(DATE(CalendarYear,4,12),1),"ddd")</f>
        <v>vie</v>
      </c>
      <c r="O5" s="1" t="str">
        <f>TEXT(WEEKDAY(DATE(CalendarYear,4,13),1),"ddd")</f>
        <v>sáb</v>
      </c>
      <c r="P5" s="1" t="str">
        <f>TEXT(WEEKDAY(DATE(CalendarYear,4,14),1),"ddd")</f>
        <v>dom</v>
      </c>
      <c r="Q5" s="1" t="str">
        <f>TEXT(WEEKDAY(DATE(CalendarYear,4,15),1),"ddd")</f>
        <v>lun</v>
      </c>
      <c r="R5" s="1" t="str">
        <f>TEXT(WEEKDAY(DATE(CalendarYear,4,16),1),"ddd")</f>
        <v>mar</v>
      </c>
      <c r="S5" s="1" t="str">
        <f>TEXT(WEEKDAY(DATE(CalendarYear,4,17),1),"ddd")</f>
        <v>mié</v>
      </c>
      <c r="T5" s="1" t="str">
        <f>TEXT(WEEKDAY(DATE(CalendarYear,4,18),1),"ddd")</f>
        <v>jue</v>
      </c>
      <c r="U5" s="1" t="str">
        <f>TEXT(WEEKDAY(DATE(CalendarYear,4,19),1),"ddd")</f>
        <v>vie</v>
      </c>
      <c r="V5" s="1" t="str">
        <f>TEXT(WEEKDAY(DATE(CalendarYear,4,20),1),"ddd")</f>
        <v>sáb</v>
      </c>
      <c r="W5" s="1" t="str">
        <f>TEXT(WEEKDAY(DATE(CalendarYear,4,21),1),"ddd")</f>
        <v>dom</v>
      </c>
      <c r="X5" s="25" t="str">
        <f>TEXT(WEEKDAY(DATE(CalendarYear,4,22),1),"ddd")</f>
        <v>lun</v>
      </c>
      <c r="Y5" s="26" t="str">
        <f>TEXT(WEEKDAY(DATE(CalendarYear,4,23),1),"ddd")</f>
        <v>mar</v>
      </c>
      <c r="Z5" s="26" t="str">
        <f>TEXT(WEEKDAY(DATE(CalendarYear,4,24),1),"ddd")</f>
        <v>mié</v>
      </c>
      <c r="AA5" s="26" t="str">
        <f>TEXT(WEEKDAY(DATE(CalendarYear,4,25),1),"ddd")</f>
        <v>jue</v>
      </c>
      <c r="AB5" s="27" t="str">
        <f>TEXT(WEEKDAY(DATE(CalendarYear,4,26),1),"ddd")</f>
        <v>vie</v>
      </c>
      <c r="AC5" s="1" t="str">
        <f>TEXT(WEEKDAY(DATE(CalendarYear,4,27),1),"ddd")</f>
        <v>sáb</v>
      </c>
      <c r="AD5" s="1" t="str">
        <f>TEXT(WEEKDAY(DATE(CalendarYear,4,28),1),"ddd")</f>
        <v>dom</v>
      </c>
      <c r="AE5" s="25" t="str">
        <f>TEXT(WEEKDAY(DATE(CalendarYear,4,29),1),"ddd")</f>
        <v>lun</v>
      </c>
      <c r="AF5" s="27" t="str">
        <f>TEXT(WEEKDAY(DATE(CalendarYear,4,30),1),"ddd")</f>
        <v>mar</v>
      </c>
      <c r="AG5" s="1"/>
      <c r="AH5" s="11"/>
    </row>
    <row r="6" spans="1:34" x14ac:dyDescent="0.25">
      <c r="B6" s="14" t="s">
        <v>2</v>
      </c>
      <c r="C6" s="44" t="s">
        <v>4</v>
      </c>
      <c r="D6" s="44" t="s">
        <v>6</v>
      </c>
      <c r="E6" s="44" t="s">
        <v>7</v>
      </c>
      <c r="F6" s="44" t="s">
        <v>9</v>
      </c>
      <c r="G6" s="44" t="s">
        <v>11</v>
      </c>
      <c r="H6" s="44" t="s">
        <v>13</v>
      </c>
      <c r="I6" s="44" t="s">
        <v>14</v>
      </c>
      <c r="J6" s="44" t="s">
        <v>15</v>
      </c>
      <c r="K6" s="44" t="s">
        <v>16</v>
      </c>
      <c r="L6" s="44" t="s">
        <v>18</v>
      </c>
      <c r="M6" s="44" t="s">
        <v>19</v>
      </c>
      <c r="N6" s="44" t="s">
        <v>20</v>
      </c>
      <c r="O6" s="44" t="s">
        <v>22</v>
      </c>
      <c r="P6" s="44" t="s">
        <v>23</v>
      </c>
      <c r="Q6" s="44" t="s">
        <v>24</v>
      </c>
      <c r="R6" s="44" t="s">
        <v>25</v>
      </c>
      <c r="S6" s="44" t="s">
        <v>27</v>
      </c>
      <c r="T6" s="44" t="s">
        <v>28</v>
      </c>
      <c r="U6" s="44" t="s">
        <v>29</v>
      </c>
      <c r="V6" s="44" t="s">
        <v>30</v>
      </c>
      <c r="W6" s="44" t="s">
        <v>31</v>
      </c>
      <c r="X6" s="45" t="s">
        <v>32</v>
      </c>
      <c r="Y6" s="44" t="s">
        <v>33</v>
      </c>
      <c r="Z6" s="44" t="s">
        <v>34</v>
      </c>
      <c r="AA6" s="44" t="s">
        <v>35</v>
      </c>
      <c r="AB6" s="46" t="s">
        <v>36</v>
      </c>
      <c r="AC6" s="44" t="s">
        <v>37</v>
      </c>
      <c r="AD6" s="44" t="s">
        <v>38</v>
      </c>
      <c r="AE6" s="45" t="s">
        <v>39</v>
      </c>
      <c r="AF6" s="46" t="s">
        <v>40</v>
      </c>
      <c r="AG6" s="44" t="s">
        <v>41</v>
      </c>
      <c r="AH6" s="15" t="s">
        <v>43</v>
      </c>
    </row>
    <row r="7" spans="1:34" x14ac:dyDescent="0.25">
      <c r="B7" s="16" t="s">
        <v>59</v>
      </c>
      <c r="D7" s="2"/>
      <c r="E7" s="2"/>
      <c r="F7" s="2"/>
      <c r="G7" s="2"/>
      <c r="H7" s="2"/>
      <c r="I7" s="2"/>
      <c r="J7" s="2"/>
      <c r="K7" s="2"/>
      <c r="L7" s="2"/>
      <c r="M7" s="2"/>
      <c r="N7" s="2"/>
      <c r="O7" s="2"/>
      <c r="P7" s="2"/>
      <c r="Q7" s="2"/>
      <c r="R7" s="2"/>
      <c r="S7" s="2"/>
      <c r="T7" s="2"/>
      <c r="U7" s="2"/>
      <c r="V7" s="2"/>
      <c r="W7" s="2"/>
      <c r="X7" s="28" t="s">
        <v>67</v>
      </c>
      <c r="Y7" s="2" t="s">
        <v>67</v>
      </c>
      <c r="Z7" s="2" t="s">
        <v>67</v>
      </c>
      <c r="AA7" s="2" t="s">
        <v>67</v>
      </c>
      <c r="AB7" s="29" t="s">
        <v>67</v>
      </c>
      <c r="AC7" s="2"/>
      <c r="AD7" s="2" t="s">
        <v>8</v>
      </c>
      <c r="AE7" s="28" t="s">
        <v>66</v>
      </c>
      <c r="AF7" s="29" t="s">
        <v>66</v>
      </c>
      <c r="AG7" s="2"/>
      <c r="AH7" s="9">
        <f>COUNTA(Abril[[#This Row],[1]:[31]])</f>
        <v>8</v>
      </c>
    </row>
    <row r="8" spans="1:34" x14ac:dyDescent="0.25">
      <c r="B8" s="16" t="s">
        <v>61</v>
      </c>
      <c r="C8" s="2"/>
      <c r="D8" s="2"/>
      <c r="E8" s="2"/>
      <c r="F8" s="2"/>
      <c r="G8" s="2"/>
      <c r="H8" s="2"/>
      <c r="I8" s="2"/>
      <c r="J8" s="2"/>
      <c r="K8" s="2"/>
      <c r="L8" s="2"/>
      <c r="M8" s="2"/>
      <c r="N8" s="2"/>
      <c r="O8" s="2"/>
      <c r="P8" s="2"/>
      <c r="Q8" s="2"/>
      <c r="R8" s="2"/>
      <c r="S8" s="2"/>
      <c r="T8" s="2"/>
      <c r="U8" s="2"/>
      <c r="V8" s="2"/>
      <c r="W8" s="2"/>
      <c r="X8" s="28" t="s">
        <v>66</v>
      </c>
      <c r="Y8" s="2" t="s">
        <v>66</v>
      </c>
      <c r="Z8" s="2" t="s">
        <v>66</v>
      </c>
      <c r="AA8" s="2" t="s">
        <v>66</v>
      </c>
      <c r="AB8" s="29" t="s">
        <v>66</v>
      </c>
      <c r="AC8" s="2"/>
      <c r="AD8" s="2"/>
      <c r="AE8" s="28" t="s">
        <v>67</v>
      </c>
      <c r="AF8" s="29" t="s">
        <v>67</v>
      </c>
      <c r="AG8" s="2"/>
      <c r="AH8" s="9">
        <f>COUNTA(Abril[[#This Row],[1]:[31]])</f>
        <v>7</v>
      </c>
    </row>
    <row r="9" spans="1:34" x14ac:dyDescent="0.25">
      <c r="B9" s="16" t="s">
        <v>60</v>
      </c>
      <c r="C9" s="2"/>
      <c r="D9" s="2"/>
      <c r="E9" s="2"/>
      <c r="F9" s="2"/>
      <c r="G9" s="2"/>
      <c r="H9" s="2"/>
      <c r="I9" s="2"/>
      <c r="J9" s="2"/>
      <c r="K9" s="2"/>
      <c r="L9" s="2"/>
      <c r="M9" s="2"/>
      <c r="N9" s="2"/>
      <c r="O9" s="2"/>
      <c r="P9" s="2"/>
      <c r="Q9" s="2"/>
      <c r="R9" s="2"/>
      <c r="S9" s="2"/>
      <c r="T9" s="2"/>
      <c r="U9" s="2"/>
      <c r="V9" s="2"/>
      <c r="W9" s="2"/>
      <c r="X9" s="28" t="s">
        <v>67</v>
      </c>
      <c r="Y9" s="2" t="s">
        <v>67</v>
      </c>
      <c r="Z9" s="2" t="s">
        <v>67</v>
      </c>
      <c r="AA9" s="2" t="s">
        <v>67</v>
      </c>
      <c r="AB9" s="29" t="s">
        <v>67</v>
      </c>
      <c r="AC9" s="2"/>
      <c r="AD9" s="2"/>
      <c r="AE9" s="28" t="s">
        <v>66</v>
      </c>
      <c r="AF9" s="29" t="s">
        <v>66</v>
      </c>
      <c r="AG9" s="2"/>
      <c r="AH9" s="9">
        <f>COUNTA(Abril[[#This Row],[1]:[31]])</f>
        <v>7</v>
      </c>
    </row>
    <row r="10" spans="1:34" x14ac:dyDescent="0.25">
      <c r="B10" s="16" t="s">
        <v>62</v>
      </c>
      <c r="C10" s="2"/>
      <c r="D10" s="2"/>
      <c r="E10" s="2"/>
      <c r="F10" s="2"/>
      <c r="G10" s="2"/>
      <c r="H10" s="2"/>
      <c r="I10" s="2"/>
      <c r="J10" s="2"/>
      <c r="K10" s="2"/>
      <c r="L10" s="2"/>
      <c r="M10" s="2"/>
      <c r="N10" s="2"/>
      <c r="O10" s="2"/>
      <c r="P10" s="2"/>
      <c r="Q10" s="2"/>
      <c r="R10" s="2"/>
      <c r="S10" s="2"/>
      <c r="T10" s="2"/>
      <c r="U10" s="2"/>
      <c r="V10" s="2"/>
      <c r="W10" s="2"/>
      <c r="X10" s="28" t="s">
        <v>66</v>
      </c>
      <c r="Y10" s="2" t="s">
        <v>66</v>
      </c>
      <c r="Z10" s="2" t="s">
        <v>66</v>
      </c>
      <c r="AA10" s="2" t="s">
        <v>66</v>
      </c>
      <c r="AB10" s="29" t="s">
        <v>66</v>
      </c>
      <c r="AC10" s="2"/>
      <c r="AD10" s="2"/>
      <c r="AE10" s="28" t="s">
        <v>67</v>
      </c>
      <c r="AF10" s="29" t="s">
        <v>67</v>
      </c>
      <c r="AG10" s="2"/>
      <c r="AH10" s="9">
        <f>COUNTA(Abril[[#This Row],[1]:[31]])</f>
        <v>7</v>
      </c>
    </row>
    <row r="11" spans="1:34" x14ac:dyDescent="0.25">
      <c r="B11" s="16" t="s">
        <v>63</v>
      </c>
      <c r="C11" s="2"/>
      <c r="D11" s="2"/>
      <c r="E11" s="2"/>
      <c r="F11" s="2"/>
      <c r="G11" s="2"/>
      <c r="H11" s="2"/>
      <c r="I11" s="2"/>
      <c r="J11" s="2"/>
      <c r="K11" s="2"/>
      <c r="L11" s="2"/>
      <c r="M11" s="2"/>
      <c r="N11" s="2"/>
      <c r="O11" s="2"/>
      <c r="P11" s="2"/>
      <c r="Q11" s="2"/>
      <c r="R11" s="2"/>
      <c r="S11" s="2"/>
      <c r="T11" s="2"/>
      <c r="U11" s="2"/>
      <c r="V11" s="2"/>
      <c r="W11" s="2"/>
      <c r="X11" s="28" t="s">
        <v>67</v>
      </c>
      <c r="Y11" s="2" t="s">
        <v>67</v>
      </c>
      <c r="Z11" s="2" t="s">
        <v>67</v>
      </c>
      <c r="AA11" s="2" t="s">
        <v>67</v>
      </c>
      <c r="AB11" s="29" t="s">
        <v>67</v>
      </c>
      <c r="AC11" s="2" t="s">
        <v>8</v>
      </c>
      <c r="AD11" s="2"/>
      <c r="AE11" s="28" t="s">
        <v>66</v>
      </c>
      <c r="AF11" s="29" t="s">
        <v>66</v>
      </c>
      <c r="AG11" s="2"/>
      <c r="AH11" s="9">
        <f>COUNTA(Abril[[#This Row],[1]:[31]])</f>
        <v>8</v>
      </c>
    </row>
    <row r="12" spans="1:34" s="22" customFormat="1" ht="15.75" thickBot="1" x14ac:dyDescent="0.3">
      <c r="A12" s="21"/>
      <c r="B12" s="19" t="str">
        <f>MonthName&amp;" Total"</f>
        <v>Abril Total</v>
      </c>
      <c r="C12" s="12">
        <f>SUBTOTAL(103,Abril[1])</f>
        <v>0</v>
      </c>
      <c r="D12" s="12">
        <f>SUBTOTAL(103,Abril[2])</f>
        <v>0</v>
      </c>
      <c r="E12" s="12">
        <f>SUBTOTAL(103,Abril[3])</f>
        <v>0</v>
      </c>
      <c r="F12" s="12">
        <f>SUBTOTAL(103,Abril[4])</f>
        <v>0</v>
      </c>
      <c r="G12" s="12">
        <f>SUBTOTAL(103,Abril[5])</f>
        <v>0</v>
      </c>
      <c r="H12" s="12">
        <f>SUBTOTAL(103,Abril[6])</f>
        <v>0</v>
      </c>
      <c r="I12" s="12">
        <f>SUBTOTAL(103,Abril[7])</f>
        <v>0</v>
      </c>
      <c r="J12" s="12">
        <f>SUBTOTAL(103,Abril[8])</f>
        <v>0</v>
      </c>
      <c r="K12" s="12">
        <f>SUBTOTAL(103,Abril[9])</f>
        <v>0</v>
      </c>
      <c r="L12" s="12">
        <f>SUBTOTAL(103,Abril[10])</f>
        <v>0</v>
      </c>
      <c r="M12" s="12">
        <f>SUBTOTAL(103,Abril[11])</f>
        <v>0</v>
      </c>
      <c r="N12" s="12">
        <f>SUBTOTAL(103,Abril[12])</f>
        <v>0</v>
      </c>
      <c r="O12" s="12">
        <f>SUBTOTAL(103,Abril[13])</f>
        <v>0</v>
      </c>
      <c r="P12" s="12">
        <f>SUBTOTAL(103,Abril[14])</f>
        <v>0</v>
      </c>
      <c r="Q12" s="12">
        <f>SUBTOTAL(103,Abril[15])</f>
        <v>0</v>
      </c>
      <c r="R12" s="12">
        <f>SUBTOTAL(103,Abril[16])</f>
        <v>0</v>
      </c>
      <c r="S12" s="12">
        <f>SUBTOTAL(103,Abril[17])</f>
        <v>0</v>
      </c>
      <c r="T12" s="12">
        <f>SUBTOTAL(103,Abril[18])</f>
        <v>0</v>
      </c>
      <c r="U12" s="12">
        <f>SUBTOTAL(103,Abril[19])</f>
        <v>0</v>
      </c>
      <c r="V12" s="12">
        <f>SUBTOTAL(103,Abril[20])</f>
        <v>0</v>
      </c>
      <c r="W12" s="12">
        <f>SUBTOTAL(103,Abril[21])</f>
        <v>0</v>
      </c>
      <c r="X12" s="31">
        <f>SUBTOTAL(103,Abril[22])</f>
        <v>5</v>
      </c>
      <c r="Y12" s="32">
        <f>SUBTOTAL(103,Abril[23])</f>
        <v>5</v>
      </c>
      <c r="Z12" s="32">
        <f>SUBTOTAL(103,Abril[24])</f>
        <v>5</v>
      </c>
      <c r="AA12" s="32">
        <f>SUBTOTAL(103,Abril[25])</f>
        <v>5</v>
      </c>
      <c r="AB12" s="33">
        <f>SUBTOTAL(103,Abril[26])</f>
        <v>5</v>
      </c>
      <c r="AC12" s="12">
        <f>SUBTOTAL(103,Abril[27])</f>
        <v>1</v>
      </c>
      <c r="AD12" s="12">
        <f>SUBTOTAL(103,Abril[28])</f>
        <v>1</v>
      </c>
      <c r="AE12" s="31">
        <f>SUBTOTAL(103,Abril[29])</f>
        <v>5</v>
      </c>
      <c r="AF12" s="33">
        <f>SUBTOTAL(109,Abril[30])</f>
        <v>0</v>
      </c>
      <c r="AG12" s="12">
        <f>SUBTOTAL(109,Abril[31])</f>
        <v>0</v>
      </c>
      <c r="AH12" s="12">
        <f>SUBTOTAL(109,Abril[Número total de días])</f>
        <v>37</v>
      </c>
    </row>
    <row r="20" spans="22:22" x14ac:dyDescent="0.25">
      <c r="V20" s="21"/>
    </row>
  </sheetData>
  <mergeCells count="6">
    <mergeCell ref="C4:AG4"/>
    <mergeCell ref="D2:F2"/>
    <mergeCell ref="H2:J2"/>
    <mergeCell ref="L2:O2"/>
    <mergeCell ref="Q2:T2"/>
    <mergeCell ref="V2:Y2"/>
  </mergeCells>
  <conditionalFormatting sqref="C8:AG11 D7:AG7">
    <cfRule type="expression" priority="1" stopIfTrue="1">
      <formula>C7=""</formula>
    </cfRule>
  </conditionalFormatting>
  <conditionalFormatting sqref="C8:AG11 D7:AG7">
    <cfRule type="expression" dxfId="241" priority="2" stopIfTrue="1">
      <formula>C7=KeyCustom2</formula>
    </cfRule>
    <cfRule type="expression" dxfId="240" priority="3" stopIfTrue="1">
      <formula>C7=KeyCustom1</formula>
    </cfRule>
    <cfRule type="expression" dxfId="239" priority="4" stopIfTrue="1">
      <formula>C7=KeySick</formula>
    </cfRule>
    <cfRule type="expression" dxfId="238" priority="5" stopIfTrue="1">
      <formula>C7=KeyPersonal</formula>
    </cfRule>
    <cfRule type="expression" dxfId="237"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{0C86709F-D813-4066-A3F1-C30F11214F4B}</x14:id>
        </ext>
      </extLst>
    </cfRule>
  </conditionalFormatting>
  <dataValidations xWindow="33" yWindow="869" count="14">
    <dataValidation allowBlank="1" showInputMessage="1" showErrorMessage="1" prompt="Año actualizado de forma automática en función del año introducido en la hoja de cálculo de enero" sqref="AH4"/>
    <dataValidation allowBlank="1" showInputMessage="1" showErrorMessage="1" prompt="Cálculo automático del número total de días que un empleado ha estado ausente este mes en esta columna" sqref="AH6"/>
    <dataValidation allowBlank="1" showInputMessage="1" showErrorMessage="1" prompt="Realice un seguimiento de las ausencias de abril en esta hoja de cálculo." sqref="A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El título se actualiza automáticamente en esta celda. Para modificar el título, actualice la celda B1 en la hoja de cálculo de enero." sqref="B1"/>
    <dataValidation allowBlank="1" showInputMessage="1" showErrorMessage="1" prompt="La letra “V” indica una ausencia por vacaciones" sqref="C2"/>
    <dataValidation allowBlank="1" showInputMessage="1" showErrorMessage="1" prompt="La letra “P” indica una ausencia por motivos personales" sqref="G2"/>
    <dataValidation allowBlank="1" showInputMessage="1" showErrorMessage="1" prompt="La letra “E” indica una ausencia por enfermedad" sqref="K2"/>
    <dataValidation allowBlank="1" showInputMessage="1" showErrorMessage="1" prompt="Escriba una letra y personalice la etiqueta de la derecha para agregar otro elemento clave." sqref="P2 U2"/>
    <dataValidation allowBlank="1" showInputMessage="1" showErrorMessage="1" prompt="Escriba una etiqueta para describir la clave personalizada de la izquierda." sqref="Q2 V2"/>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s>
  <printOptions horizontalCentered="1"/>
  <pageMargins left="0.25" right="0.25" top="0.75" bottom="0.75" header="0.3" footer="0.3"/>
  <pageSetup paperSize="9" scale="70" fitToHeight="0" orientation="landscape" r:id="rId1"/>
  <headerFooter differentFirst="1">
    <oddFooter>Page &amp;P of &amp;N</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C86709F-D813-4066-A3F1-C30F11214F4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33" yWindow="869" count="1">
        <x14:dataValidation type="list" allowBlank="1" showInputMessage="1" showErrorMessage="1">
          <x14:formula1>
            <xm:f>'Nombres de los empleados'!$B$4:$B$8</xm:f>
          </x14:formula1>
          <xm:sqref>B7:B11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pageSetUpPr fitToPage="1"/>
  </sheetPr>
  <dimension ref="A1:AS29"/>
  <sheetViews>
    <sheetView showGridLines="0" tabSelected="1" zoomScale="90" zoomScaleNormal="90" workbookViewId="0">
      <selection activeCell="B31" sqref="B31"/>
    </sheetView>
  </sheetViews>
  <sheetFormatPr baseColWidth="10" defaultColWidth="9.140625" defaultRowHeight="15" x14ac:dyDescent="0.25"/>
  <cols>
    <col min="1" max="1" width="2.7109375" style="10" customWidth="1"/>
    <col min="2" max="2" width="32" style="10" customWidth="1"/>
    <col min="3" max="33" width="4.7109375" style="10" customWidth="1"/>
    <col min="34" max="34" width="2.7109375" customWidth="1"/>
    <col min="35" max="42" width="4.7109375" customWidth="1"/>
  </cols>
  <sheetData>
    <row r="1" spans="2:45" ht="33.75" x14ac:dyDescent="0.25">
      <c r="B1" s="13" t="str">
        <f>Employee_Absence_Title</f>
        <v>Programación Infraestructura</v>
      </c>
    </row>
    <row r="2" spans="2:45" x14ac:dyDescent="0.25">
      <c r="B2" s="17" t="s">
        <v>0</v>
      </c>
      <c r="C2" s="3" t="s">
        <v>3</v>
      </c>
      <c r="D2" s="60" t="s">
        <v>5</v>
      </c>
      <c r="E2" s="60"/>
      <c r="F2" s="60"/>
      <c r="G2" s="4" t="s">
        <v>8</v>
      </c>
      <c r="H2" s="61" t="s">
        <v>68</v>
      </c>
      <c r="I2" s="60"/>
      <c r="J2" s="60"/>
      <c r="K2" s="5" t="s">
        <v>10</v>
      </c>
      <c r="L2" s="60" t="s">
        <v>17</v>
      </c>
      <c r="M2" s="60"/>
      <c r="N2" s="60"/>
      <c r="O2" s="60"/>
      <c r="P2" s="6" t="s">
        <v>66</v>
      </c>
      <c r="Q2" s="61" t="s">
        <v>64</v>
      </c>
      <c r="R2" s="60"/>
      <c r="S2" s="60"/>
      <c r="T2" s="60"/>
      <c r="U2" s="7" t="s">
        <v>67</v>
      </c>
      <c r="V2" s="61" t="s">
        <v>65</v>
      </c>
      <c r="W2" s="60"/>
      <c r="X2" s="60"/>
      <c r="Y2" s="60"/>
      <c r="Z2" s="58"/>
      <c r="AA2" s="65" t="s">
        <v>71</v>
      </c>
      <c r="AB2" s="66"/>
      <c r="AC2" s="66"/>
      <c r="AD2" s="66"/>
      <c r="AE2" s="70"/>
      <c r="AF2" s="65" t="s">
        <v>74</v>
      </c>
      <c r="AG2" s="66"/>
      <c r="AH2" s="66"/>
      <c r="AI2" s="66"/>
      <c r="AJ2" s="69"/>
      <c r="AK2" s="65" t="s">
        <v>75</v>
      </c>
      <c r="AL2" s="66"/>
      <c r="AM2" s="66"/>
      <c r="AN2" s="66"/>
      <c r="AO2" s="76"/>
      <c r="AP2" s="65" t="s">
        <v>76</v>
      </c>
      <c r="AQ2" s="66"/>
      <c r="AR2" s="66"/>
      <c r="AS2" s="66"/>
    </row>
    <row r="3" spans="2:45" ht="33.75" x14ac:dyDescent="0.25">
      <c r="B3" s="13"/>
    </row>
    <row r="4" spans="2:45" ht="24" thickBot="1" x14ac:dyDescent="0.3">
      <c r="B4" s="11" t="s">
        <v>49</v>
      </c>
      <c r="C4" s="59" t="s">
        <v>70</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row>
    <row r="5" spans="2:45" ht="24" thickBot="1" x14ac:dyDescent="0.3">
      <c r="B5" s="11"/>
      <c r="C5" s="50" t="str">
        <f>TEXT(WEEKDAY(DATE(CalendarYear,5,1),1),"ddd")</f>
        <v>mié</v>
      </c>
      <c r="D5" s="26" t="str">
        <f>TEXT(WEEKDAY(DATE(CalendarYear,5,2),1),"ddd")</f>
        <v>jue</v>
      </c>
      <c r="E5" s="27" t="str">
        <f>TEXT(WEEKDAY(DATE(CalendarYear,5,3),1),"ddd")</f>
        <v>vie</v>
      </c>
      <c r="F5" s="1" t="str">
        <f>TEXT(WEEKDAY(DATE(CalendarYear,5,4),1),"ddd")</f>
        <v>sáb</v>
      </c>
      <c r="G5" s="1" t="str">
        <f>TEXT(WEEKDAY(DATE(CalendarYear,5,5),1),"ddd")</f>
        <v>dom</v>
      </c>
      <c r="H5" s="25" t="str">
        <f>TEXT(WEEKDAY(DATE(CalendarYear,5,6),1),"ddd")</f>
        <v>lun</v>
      </c>
      <c r="I5" s="26" t="str">
        <f>TEXT(WEEKDAY(DATE(CalendarYear,5,7),1),"ddd")</f>
        <v>mar</v>
      </c>
      <c r="J5" s="26" t="str">
        <f>TEXT(WEEKDAY(DATE(CalendarYear,5,8),1),"ddd")</f>
        <v>mié</v>
      </c>
      <c r="K5" s="26" t="str">
        <f>TEXT(WEEKDAY(DATE(CalendarYear,5,9),1),"ddd")</f>
        <v>jue</v>
      </c>
      <c r="L5" s="74" t="str">
        <f>TEXT(WEEKDAY(DATE(CalendarYear,5,10),1),"ddd")</f>
        <v>vie</v>
      </c>
      <c r="M5" s="1" t="str">
        <f>TEXT(WEEKDAY(DATE(CalendarYear,5,11),1),"ddd")</f>
        <v>sáb</v>
      </c>
      <c r="N5" s="1" t="str">
        <f>TEXT(WEEKDAY(DATE(CalendarYear,5,12),1),"ddd")</f>
        <v>dom</v>
      </c>
      <c r="O5" s="25" t="str">
        <f>TEXT(WEEKDAY(DATE(CalendarYear,5,13),1),"ddd")</f>
        <v>lun</v>
      </c>
      <c r="P5" s="26" t="str">
        <f>TEXT(WEEKDAY(DATE(CalendarYear,5,14),1),"ddd")</f>
        <v>mar</v>
      </c>
      <c r="Q5" s="26" t="str">
        <f>TEXT(WEEKDAY(DATE(CalendarYear,5,15),1),"ddd")</f>
        <v>mié</v>
      </c>
      <c r="R5" s="26" t="str">
        <f>TEXT(WEEKDAY(DATE(CalendarYear,5,16),1),"ddd")</f>
        <v>jue</v>
      </c>
      <c r="S5" s="27" t="str">
        <f>TEXT(WEEKDAY(DATE(CalendarYear,5,17),1),"ddd")</f>
        <v>vie</v>
      </c>
      <c r="T5" s="1" t="str">
        <f>TEXT(WEEKDAY(DATE(CalendarYear,5,18),1),"ddd")</f>
        <v>sáb</v>
      </c>
      <c r="U5" s="1" t="str">
        <f>TEXT(WEEKDAY(DATE(CalendarYear,5,19),1),"ddd")</f>
        <v>dom</v>
      </c>
      <c r="V5" s="25" t="str">
        <f>TEXT(WEEKDAY(DATE(CalendarYear,5,20),1),"ddd")</f>
        <v>lun</v>
      </c>
      <c r="W5" s="26" t="str">
        <f>TEXT(WEEKDAY(DATE(CalendarYear,5,21),1),"ddd")</f>
        <v>mar</v>
      </c>
      <c r="X5" s="26" t="str">
        <f>TEXT(WEEKDAY(DATE(CalendarYear,5,22),1),"ddd")</f>
        <v>mié</v>
      </c>
      <c r="Y5" s="26" t="str">
        <f>TEXT(WEEKDAY(DATE(CalendarYear,5,23),1),"ddd")</f>
        <v>jue</v>
      </c>
      <c r="Z5" s="71" t="str">
        <f>TEXT(WEEKDAY(DATE(CalendarYear,5,24),1),"ddd")</f>
        <v>vie</v>
      </c>
      <c r="AA5" s="1" t="str">
        <f>TEXT(WEEKDAY(DATE(CalendarYear,5,25),1),"ddd")</f>
        <v>sáb</v>
      </c>
      <c r="AB5" s="1" t="str">
        <f>TEXT(WEEKDAY(DATE(CalendarYear,5,26),1),"ddd")</f>
        <v>dom</v>
      </c>
      <c r="AC5" s="25" t="str">
        <f>TEXT(WEEKDAY(DATE(CalendarYear,5,27),1),"ddd")</f>
        <v>lun</v>
      </c>
      <c r="AD5" s="26" t="str">
        <f>TEXT(WEEKDAY(DATE(CalendarYear,5,28),1),"ddd")</f>
        <v>mar</v>
      </c>
      <c r="AE5" s="26" t="str">
        <f>TEXT(WEEKDAY(DATE(CalendarYear,5,29),1),"ddd")</f>
        <v>mié</v>
      </c>
      <c r="AF5" s="26" t="str">
        <f>TEXT(WEEKDAY(DATE(CalendarYear,5,30),1),"ddd")</f>
        <v>jue</v>
      </c>
      <c r="AG5" s="27" t="str">
        <f>TEXT(WEEKDAY(DATE(CalendarYear,5,31),1),"ddd")</f>
        <v>vie</v>
      </c>
    </row>
    <row r="6" spans="2:45" x14ac:dyDescent="0.25">
      <c r="B6" s="14" t="s">
        <v>2</v>
      </c>
      <c r="C6" s="53" t="s">
        <v>4</v>
      </c>
      <c r="D6" s="47" t="s">
        <v>6</v>
      </c>
      <c r="E6" s="48" t="s">
        <v>7</v>
      </c>
      <c r="F6" s="44" t="s">
        <v>9</v>
      </c>
      <c r="G6" s="44" t="s">
        <v>11</v>
      </c>
      <c r="H6" s="45" t="s">
        <v>13</v>
      </c>
      <c r="I6" s="44" t="s">
        <v>14</v>
      </c>
      <c r="J6" s="44" t="s">
        <v>15</v>
      </c>
      <c r="K6" s="44" t="s">
        <v>16</v>
      </c>
      <c r="L6" s="75" t="s">
        <v>18</v>
      </c>
      <c r="M6" s="44" t="s">
        <v>19</v>
      </c>
      <c r="N6" s="44" t="s">
        <v>20</v>
      </c>
      <c r="O6" s="45" t="s">
        <v>22</v>
      </c>
      <c r="P6" s="44" t="s">
        <v>23</v>
      </c>
      <c r="Q6" s="44" t="s">
        <v>24</v>
      </c>
      <c r="R6" s="44" t="s">
        <v>25</v>
      </c>
      <c r="S6" s="46" t="s">
        <v>27</v>
      </c>
      <c r="T6" s="44" t="s">
        <v>28</v>
      </c>
      <c r="U6" s="44" t="s">
        <v>29</v>
      </c>
      <c r="V6" s="45" t="s">
        <v>30</v>
      </c>
      <c r="W6" s="44" t="s">
        <v>31</v>
      </c>
      <c r="X6" s="44" t="s">
        <v>32</v>
      </c>
      <c r="Y6" s="44" t="s">
        <v>33</v>
      </c>
      <c r="Z6" s="72" t="s">
        <v>34</v>
      </c>
      <c r="AA6" s="44" t="s">
        <v>35</v>
      </c>
      <c r="AB6" s="44" t="s">
        <v>36</v>
      </c>
      <c r="AC6" s="45" t="s">
        <v>37</v>
      </c>
      <c r="AD6" s="44" t="s">
        <v>38</v>
      </c>
      <c r="AE6" s="44" t="s">
        <v>39</v>
      </c>
      <c r="AF6" s="44" t="s">
        <v>40</v>
      </c>
      <c r="AG6" s="46" t="s">
        <v>41</v>
      </c>
    </row>
    <row r="7" spans="2:45" x14ac:dyDescent="0.25">
      <c r="B7" s="16" t="s">
        <v>59</v>
      </c>
      <c r="C7" s="73"/>
      <c r="D7" s="2" t="s">
        <v>67</v>
      </c>
      <c r="E7" s="29" t="s">
        <v>67</v>
      </c>
      <c r="F7" s="2"/>
      <c r="G7" s="2"/>
      <c r="H7" s="28" t="s">
        <v>66</v>
      </c>
      <c r="I7" s="2" t="s">
        <v>66</v>
      </c>
      <c r="J7" s="2" t="s">
        <v>66</v>
      </c>
      <c r="K7" s="2" t="s">
        <v>66</v>
      </c>
      <c r="L7" s="29" t="s">
        <v>66</v>
      </c>
      <c r="M7" s="2"/>
      <c r="N7" s="2"/>
      <c r="O7" s="28" t="s">
        <v>67</v>
      </c>
      <c r="P7" s="2" t="s">
        <v>67</v>
      </c>
      <c r="Q7" s="2" t="s">
        <v>67</v>
      </c>
      <c r="R7" s="2" t="s">
        <v>67</v>
      </c>
      <c r="S7" s="29" t="s">
        <v>67</v>
      </c>
      <c r="T7" s="2"/>
      <c r="U7" s="2"/>
      <c r="V7" s="28" t="s">
        <v>66</v>
      </c>
      <c r="W7" s="2" t="s">
        <v>66</v>
      </c>
      <c r="X7" s="2" t="s">
        <v>66</v>
      </c>
      <c r="Y7" s="2" t="s">
        <v>66</v>
      </c>
      <c r="Z7" s="67" t="s">
        <v>66</v>
      </c>
      <c r="AA7" s="2" t="s">
        <v>8</v>
      </c>
      <c r="AB7" s="2" t="s">
        <v>8</v>
      </c>
      <c r="AC7" s="28" t="s">
        <v>67</v>
      </c>
      <c r="AD7" s="2" t="s">
        <v>67</v>
      </c>
      <c r="AE7" s="2" t="s">
        <v>67</v>
      </c>
      <c r="AF7" s="2" t="s">
        <v>67</v>
      </c>
      <c r="AG7" s="29" t="s">
        <v>67</v>
      </c>
    </row>
    <row r="8" spans="2:45" x14ac:dyDescent="0.25">
      <c r="B8" s="16" t="s">
        <v>61</v>
      </c>
      <c r="C8" s="28"/>
      <c r="D8" s="2" t="s">
        <v>66</v>
      </c>
      <c r="E8" s="29" t="s">
        <v>66</v>
      </c>
      <c r="F8" s="2"/>
      <c r="G8" s="2"/>
      <c r="H8" s="28" t="s">
        <v>67</v>
      </c>
      <c r="I8" s="2" t="s">
        <v>67</v>
      </c>
      <c r="J8" s="2" t="s">
        <v>67</v>
      </c>
      <c r="K8" s="2" t="s">
        <v>67</v>
      </c>
      <c r="L8" s="29" t="s">
        <v>67</v>
      </c>
      <c r="M8" s="2" t="s">
        <v>8</v>
      </c>
      <c r="N8" s="2" t="s">
        <v>8</v>
      </c>
      <c r="O8" s="28" t="s">
        <v>66</v>
      </c>
      <c r="P8" s="2" t="s">
        <v>66</v>
      </c>
      <c r="Q8" s="2" t="s">
        <v>66</v>
      </c>
      <c r="R8" s="2" t="s">
        <v>66</v>
      </c>
      <c r="S8" s="29" t="s">
        <v>66</v>
      </c>
      <c r="T8" s="2"/>
      <c r="U8" s="2"/>
      <c r="V8" s="28" t="s">
        <v>67</v>
      </c>
      <c r="W8" s="2" t="s">
        <v>67</v>
      </c>
      <c r="X8" s="2" t="s">
        <v>67</v>
      </c>
      <c r="Y8" s="2" t="s">
        <v>67</v>
      </c>
      <c r="Z8" s="67" t="s">
        <v>67</v>
      </c>
      <c r="AA8" s="2" t="s">
        <v>8</v>
      </c>
      <c r="AB8" s="2" t="s">
        <v>8</v>
      </c>
      <c r="AC8" s="28" t="s">
        <v>66</v>
      </c>
      <c r="AD8" s="2" t="s">
        <v>66</v>
      </c>
      <c r="AE8" s="2" t="s">
        <v>66</v>
      </c>
      <c r="AF8" s="2" t="s">
        <v>66</v>
      </c>
      <c r="AG8" s="29" t="s">
        <v>66</v>
      </c>
    </row>
    <row r="9" spans="2:45" x14ac:dyDescent="0.25">
      <c r="B9" s="16" t="s">
        <v>60</v>
      </c>
      <c r="C9" s="28"/>
      <c r="D9" s="2" t="s">
        <v>67</v>
      </c>
      <c r="E9" s="29" t="s">
        <v>67</v>
      </c>
      <c r="F9" s="2"/>
      <c r="G9" s="2"/>
      <c r="H9" s="28" t="s">
        <v>66</v>
      </c>
      <c r="I9" s="2" t="s">
        <v>66</v>
      </c>
      <c r="J9" s="2" t="s">
        <v>66</v>
      </c>
      <c r="K9" s="2" t="s">
        <v>66</v>
      </c>
      <c r="L9" s="29" t="s">
        <v>66</v>
      </c>
      <c r="M9" s="2"/>
      <c r="N9" s="2"/>
      <c r="O9" s="28" t="s">
        <v>67</v>
      </c>
      <c r="P9" s="2" t="s">
        <v>67</v>
      </c>
      <c r="Q9" s="2" t="s">
        <v>67</v>
      </c>
      <c r="R9" s="2" t="s">
        <v>67</v>
      </c>
      <c r="S9" s="29" t="s">
        <v>67</v>
      </c>
      <c r="T9" s="2" t="s">
        <v>8</v>
      </c>
      <c r="U9" s="2" t="s">
        <v>8</v>
      </c>
      <c r="V9" s="28" t="s">
        <v>66</v>
      </c>
      <c r="W9" s="2" t="s">
        <v>66</v>
      </c>
      <c r="X9" s="2" t="s">
        <v>66</v>
      </c>
      <c r="Y9" s="2" t="s">
        <v>66</v>
      </c>
      <c r="Z9" s="67" t="s">
        <v>66</v>
      </c>
      <c r="AA9" s="2" t="s">
        <v>8</v>
      </c>
      <c r="AB9" s="2" t="s">
        <v>8</v>
      </c>
      <c r="AC9" s="28" t="s">
        <v>67</v>
      </c>
      <c r="AD9" s="2" t="s">
        <v>67</v>
      </c>
      <c r="AE9" s="2" t="s">
        <v>67</v>
      </c>
      <c r="AF9" s="2" t="s">
        <v>67</v>
      </c>
      <c r="AG9" s="29" t="s">
        <v>67</v>
      </c>
    </row>
    <row r="10" spans="2:45" x14ac:dyDescent="0.25">
      <c r="B10" s="16" t="s">
        <v>62</v>
      </c>
      <c r="C10" s="28"/>
      <c r="D10" s="2" t="s">
        <v>66</v>
      </c>
      <c r="E10" s="29" t="s">
        <v>66</v>
      </c>
      <c r="F10" s="2" t="s">
        <v>8</v>
      </c>
      <c r="G10" s="2" t="s">
        <v>8</v>
      </c>
      <c r="H10" s="28" t="s">
        <v>67</v>
      </c>
      <c r="I10" s="2" t="s">
        <v>67</v>
      </c>
      <c r="J10" s="2" t="s">
        <v>67</v>
      </c>
      <c r="K10" s="2" t="s">
        <v>67</v>
      </c>
      <c r="L10" s="29" t="s">
        <v>67</v>
      </c>
      <c r="M10" s="2"/>
      <c r="N10" s="2"/>
      <c r="O10" s="28" t="s">
        <v>66</v>
      </c>
      <c r="P10" s="2" t="s">
        <v>66</v>
      </c>
      <c r="Q10" s="2" t="s">
        <v>66</v>
      </c>
      <c r="R10" s="2" t="s">
        <v>66</v>
      </c>
      <c r="S10" s="29" t="s">
        <v>66</v>
      </c>
      <c r="T10" s="2"/>
      <c r="U10" s="2"/>
      <c r="V10" s="28" t="s">
        <v>67</v>
      </c>
      <c r="W10" s="2" t="s">
        <v>67</v>
      </c>
      <c r="X10" s="2" t="s">
        <v>67</v>
      </c>
      <c r="Y10" s="2" t="s">
        <v>67</v>
      </c>
      <c r="Z10" s="67" t="s">
        <v>67</v>
      </c>
      <c r="AA10" s="2" t="s">
        <v>8</v>
      </c>
      <c r="AB10" s="2" t="s">
        <v>8</v>
      </c>
      <c r="AC10" s="28" t="s">
        <v>66</v>
      </c>
      <c r="AD10" s="2" t="s">
        <v>66</v>
      </c>
      <c r="AE10" s="2" t="s">
        <v>66</v>
      </c>
      <c r="AF10" s="2" t="s">
        <v>66</v>
      </c>
      <c r="AG10" s="29" t="s">
        <v>66</v>
      </c>
    </row>
    <row r="11" spans="2:45" ht="15.75" thickBot="1" x14ac:dyDescent="0.3">
      <c r="B11" s="16" t="s">
        <v>63</v>
      </c>
      <c r="C11" s="64"/>
      <c r="D11" s="62" t="s">
        <v>67</v>
      </c>
      <c r="E11" s="63" t="s">
        <v>67</v>
      </c>
      <c r="F11" s="2"/>
      <c r="G11" s="2"/>
      <c r="H11" s="64" t="s">
        <v>66</v>
      </c>
      <c r="I11" s="62" t="s">
        <v>66</v>
      </c>
      <c r="J11" s="62" t="s">
        <v>66</v>
      </c>
      <c r="K11" s="62" t="s">
        <v>66</v>
      </c>
      <c r="L11" s="63" t="s">
        <v>66</v>
      </c>
      <c r="M11" s="2"/>
      <c r="N11" s="2"/>
      <c r="O11" s="64" t="s">
        <v>67</v>
      </c>
      <c r="P11" s="62" t="s">
        <v>67</v>
      </c>
      <c r="Q11" s="62" t="s">
        <v>67</v>
      </c>
      <c r="R11" s="62" t="s">
        <v>67</v>
      </c>
      <c r="S11" s="63" t="s">
        <v>67</v>
      </c>
      <c r="T11" s="2"/>
      <c r="U11" s="2"/>
      <c r="V11" s="64" t="s">
        <v>66</v>
      </c>
      <c r="W11" s="62" t="s">
        <v>66</v>
      </c>
      <c r="X11" s="62" t="s">
        <v>66</v>
      </c>
      <c r="Y11" s="62" t="s">
        <v>66</v>
      </c>
      <c r="Z11" s="68" t="s">
        <v>66</v>
      </c>
      <c r="AA11" s="2" t="s">
        <v>8</v>
      </c>
      <c r="AB11" s="2" t="s">
        <v>8</v>
      </c>
      <c r="AC11" s="64" t="s">
        <v>67</v>
      </c>
      <c r="AD11" s="62" t="s">
        <v>67</v>
      </c>
      <c r="AE11" s="62" t="s">
        <v>67</v>
      </c>
      <c r="AF11" s="62" t="s">
        <v>67</v>
      </c>
      <c r="AG11" s="63" t="s">
        <v>67</v>
      </c>
    </row>
    <row r="13" spans="2:45" ht="24" thickBot="1" x14ac:dyDescent="0.3">
      <c r="B13" s="43" t="s">
        <v>49</v>
      </c>
      <c r="C13" s="59" t="s">
        <v>72</v>
      </c>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row>
    <row r="14" spans="2:45" ht="24" thickBot="1" x14ac:dyDescent="0.3">
      <c r="B14" s="43"/>
      <c r="C14" s="50" t="str">
        <f>TEXT(WEEKDAY(DATE(CalendarYear,5,1),1),"ddd")</f>
        <v>mié</v>
      </c>
      <c r="D14" s="26" t="str">
        <f>TEXT(WEEKDAY(DATE(CalendarYear,5,2),1),"ddd")</f>
        <v>jue</v>
      </c>
      <c r="E14" s="27" t="str">
        <f>TEXT(WEEKDAY(DATE(CalendarYear,5,3),1),"ddd")</f>
        <v>vie</v>
      </c>
      <c r="F14" s="1" t="str">
        <f>TEXT(WEEKDAY(DATE(CalendarYear,5,4),1),"ddd")</f>
        <v>sáb</v>
      </c>
      <c r="G14" s="1" t="str">
        <f>TEXT(WEEKDAY(DATE(CalendarYear,5,5),1),"ddd")</f>
        <v>dom</v>
      </c>
      <c r="H14" s="25" t="str">
        <f>TEXT(WEEKDAY(DATE(CalendarYear,5,6),1),"ddd")</f>
        <v>lun</v>
      </c>
      <c r="I14" s="26" t="str">
        <f>TEXT(WEEKDAY(DATE(CalendarYear,5,7),1),"ddd")</f>
        <v>mar</v>
      </c>
      <c r="J14" s="26" t="str">
        <f>TEXT(WEEKDAY(DATE(CalendarYear,5,8),1),"ddd")</f>
        <v>mié</v>
      </c>
      <c r="K14" s="26" t="str">
        <f>TEXT(WEEKDAY(DATE(CalendarYear,5,9),1),"ddd")</f>
        <v>jue</v>
      </c>
      <c r="L14" s="74" t="str">
        <f>TEXT(WEEKDAY(DATE(CalendarYear,5,10),1),"ddd")</f>
        <v>vie</v>
      </c>
      <c r="M14" s="1" t="str">
        <f>TEXT(WEEKDAY(DATE(CalendarYear,5,11),1),"ddd")</f>
        <v>sáb</v>
      </c>
      <c r="N14" s="1" t="str">
        <f>TEXT(WEEKDAY(DATE(CalendarYear,5,12),1),"ddd")</f>
        <v>dom</v>
      </c>
      <c r="O14" s="25" t="str">
        <f>TEXT(WEEKDAY(DATE(CalendarYear,5,13),1),"ddd")</f>
        <v>lun</v>
      </c>
      <c r="P14" s="26" t="str">
        <f>TEXT(WEEKDAY(DATE(CalendarYear,5,14),1),"ddd")</f>
        <v>mar</v>
      </c>
      <c r="Q14" s="26" t="str">
        <f>TEXT(WEEKDAY(DATE(CalendarYear,5,15),1),"ddd")</f>
        <v>mié</v>
      </c>
      <c r="R14" s="26" t="str">
        <f>TEXT(WEEKDAY(DATE(CalendarYear,5,16),1),"ddd")</f>
        <v>jue</v>
      </c>
      <c r="S14" s="27" t="str">
        <f>TEXT(WEEKDAY(DATE(CalendarYear,5,17),1),"ddd")</f>
        <v>vie</v>
      </c>
      <c r="T14" s="1" t="str">
        <f>TEXT(WEEKDAY(DATE(CalendarYear,5,18),1),"ddd")</f>
        <v>sáb</v>
      </c>
      <c r="U14" s="1" t="str">
        <f>TEXT(WEEKDAY(DATE(CalendarYear,5,19),1),"ddd")</f>
        <v>dom</v>
      </c>
      <c r="V14" s="25" t="str">
        <f>TEXT(WEEKDAY(DATE(CalendarYear,5,20),1),"ddd")</f>
        <v>lun</v>
      </c>
      <c r="W14" s="26" t="str">
        <f>TEXT(WEEKDAY(DATE(CalendarYear,5,21),1),"ddd")</f>
        <v>mar</v>
      </c>
      <c r="X14" s="26" t="str">
        <f>TEXT(WEEKDAY(DATE(CalendarYear,5,22),1),"ddd")</f>
        <v>mié</v>
      </c>
      <c r="Y14" s="26" t="str">
        <f>TEXT(WEEKDAY(DATE(CalendarYear,5,23),1),"ddd")</f>
        <v>jue</v>
      </c>
      <c r="Z14" s="71" t="str">
        <f>TEXT(WEEKDAY(DATE(CalendarYear,5,24),1),"ddd")</f>
        <v>vie</v>
      </c>
      <c r="AA14" s="1" t="str">
        <f>TEXT(WEEKDAY(DATE(CalendarYear,5,25),1),"ddd")</f>
        <v>sáb</v>
      </c>
      <c r="AB14" s="1" t="str">
        <f>TEXT(WEEKDAY(DATE(CalendarYear,5,26),1),"ddd")</f>
        <v>dom</v>
      </c>
      <c r="AC14" s="25" t="str">
        <f>TEXT(WEEKDAY(DATE(CalendarYear,5,27),1),"ddd")</f>
        <v>lun</v>
      </c>
      <c r="AD14" s="26" t="str">
        <f>TEXT(WEEKDAY(DATE(CalendarYear,5,28),1),"ddd")</f>
        <v>mar</v>
      </c>
      <c r="AE14" s="26" t="str">
        <f>TEXT(WEEKDAY(DATE(CalendarYear,5,29),1),"ddd")</f>
        <v>mié</v>
      </c>
      <c r="AF14" s="26" t="str">
        <f>TEXT(WEEKDAY(DATE(CalendarYear,5,30),1),"ddd")</f>
        <v>jue</v>
      </c>
      <c r="AG14" s="27" t="str">
        <f>TEXT(WEEKDAY(DATE(CalendarYear,5,31),1),"ddd")</f>
        <v>vie</v>
      </c>
    </row>
    <row r="15" spans="2:45" x14ac:dyDescent="0.25">
      <c r="B15" s="14" t="s">
        <v>2</v>
      </c>
      <c r="C15" s="53" t="s">
        <v>4</v>
      </c>
      <c r="D15" s="47" t="s">
        <v>6</v>
      </c>
      <c r="E15" s="48" t="s">
        <v>7</v>
      </c>
      <c r="F15" s="44" t="s">
        <v>9</v>
      </c>
      <c r="G15" s="44" t="s">
        <v>11</v>
      </c>
      <c r="H15" s="45" t="s">
        <v>13</v>
      </c>
      <c r="I15" s="44" t="s">
        <v>14</v>
      </c>
      <c r="J15" s="44" t="s">
        <v>15</v>
      </c>
      <c r="K15" s="44" t="s">
        <v>16</v>
      </c>
      <c r="L15" s="75" t="s">
        <v>18</v>
      </c>
      <c r="M15" s="44" t="s">
        <v>19</v>
      </c>
      <c r="N15" s="44" t="s">
        <v>20</v>
      </c>
      <c r="O15" s="45" t="s">
        <v>22</v>
      </c>
      <c r="P15" s="44" t="s">
        <v>23</v>
      </c>
      <c r="Q15" s="44" t="s">
        <v>24</v>
      </c>
      <c r="R15" s="44" t="s">
        <v>25</v>
      </c>
      <c r="S15" s="46" t="s">
        <v>27</v>
      </c>
      <c r="T15" s="44" t="s">
        <v>28</v>
      </c>
      <c r="U15" s="44" t="s">
        <v>29</v>
      </c>
      <c r="V15" s="45" t="s">
        <v>30</v>
      </c>
      <c r="W15" s="44" t="s">
        <v>31</v>
      </c>
      <c r="X15" s="44" t="s">
        <v>32</v>
      </c>
      <c r="Y15" s="44" t="s">
        <v>33</v>
      </c>
      <c r="Z15" s="72" t="s">
        <v>34</v>
      </c>
      <c r="AA15" s="44" t="s">
        <v>35</v>
      </c>
      <c r="AB15" s="44" t="s">
        <v>36</v>
      </c>
      <c r="AC15" s="45" t="s">
        <v>37</v>
      </c>
      <c r="AD15" s="44" t="s">
        <v>38</v>
      </c>
      <c r="AE15" s="44" t="s">
        <v>39</v>
      </c>
      <c r="AF15" s="44" t="s">
        <v>40</v>
      </c>
      <c r="AG15" s="44" t="s">
        <v>41</v>
      </c>
    </row>
    <row r="16" spans="2:45" x14ac:dyDescent="0.25">
      <c r="B16" s="16" t="s">
        <v>59</v>
      </c>
      <c r="C16" s="73"/>
      <c r="D16" s="2"/>
      <c r="E16" s="29"/>
      <c r="F16" s="2"/>
      <c r="G16" s="2"/>
      <c r="H16" s="28"/>
      <c r="I16" s="2"/>
      <c r="J16" s="2"/>
      <c r="K16" s="2"/>
      <c r="L16" s="29"/>
      <c r="M16" s="2"/>
      <c r="N16" s="2"/>
      <c r="O16" s="28"/>
      <c r="P16" s="2"/>
      <c r="Q16" s="2"/>
      <c r="R16" s="2"/>
      <c r="S16" s="29"/>
      <c r="T16" s="2"/>
      <c r="U16" s="2"/>
      <c r="V16" s="28"/>
      <c r="W16" s="2"/>
      <c r="X16" s="2"/>
      <c r="Y16" s="2"/>
      <c r="Z16" s="29"/>
      <c r="AA16" s="2"/>
      <c r="AB16" s="2"/>
      <c r="AC16" s="28"/>
      <c r="AD16" s="2"/>
      <c r="AE16" s="2"/>
      <c r="AF16" s="2"/>
      <c r="AG16" s="29"/>
    </row>
    <row r="17" spans="2:33" x14ac:dyDescent="0.25">
      <c r="B17" s="16" t="s">
        <v>61</v>
      </c>
      <c r="C17" s="28"/>
      <c r="D17" s="2"/>
      <c r="E17" s="29"/>
      <c r="F17" s="2"/>
      <c r="G17" s="2"/>
      <c r="H17" s="28"/>
      <c r="I17" s="2"/>
      <c r="J17" s="2"/>
      <c r="K17" s="2"/>
      <c r="L17" s="29"/>
      <c r="M17" s="2"/>
      <c r="N17" s="2"/>
      <c r="O17" s="28"/>
      <c r="P17" s="2"/>
      <c r="Q17" s="2"/>
      <c r="R17" s="2"/>
      <c r="S17" s="29"/>
      <c r="T17" s="2"/>
      <c r="U17" s="2"/>
      <c r="V17" s="28"/>
      <c r="W17" s="2"/>
      <c r="X17" s="2"/>
      <c r="Y17" s="2"/>
      <c r="Z17" s="29"/>
      <c r="AA17" s="2"/>
      <c r="AB17" s="2"/>
      <c r="AC17" s="28"/>
      <c r="AD17" s="2"/>
      <c r="AE17" s="2"/>
      <c r="AF17" s="2"/>
      <c r="AG17" s="29"/>
    </row>
    <row r="18" spans="2:33" x14ac:dyDescent="0.25">
      <c r="B18" s="16" t="s">
        <v>60</v>
      </c>
      <c r="C18" s="28"/>
      <c r="D18" s="2">
        <v>7</v>
      </c>
      <c r="E18" s="29">
        <v>7</v>
      </c>
      <c r="F18" s="2"/>
      <c r="G18" s="2"/>
      <c r="H18" s="28">
        <v>7</v>
      </c>
      <c r="I18" s="2">
        <v>7</v>
      </c>
      <c r="J18" s="2">
        <v>7</v>
      </c>
      <c r="K18" s="2">
        <v>7</v>
      </c>
      <c r="L18" s="29">
        <v>7</v>
      </c>
      <c r="M18" s="2"/>
      <c r="N18" s="2"/>
      <c r="O18" s="28"/>
      <c r="P18" s="2"/>
      <c r="Q18" s="2"/>
      <c r="R18" s="2"/>
      <c r="S18" s="29"/>
      <c r="T18" s="2"/>
      <c r="U18" s="2"/>
      <c r="V18" s="28"/>
      <c r="W18" s="2"/>
      <c r="X18" s="2"/>
      <c r="Y18" s="2"/>
      <c r="Z18" s="29"/>
      <c r="AA18" s="2"/>
      <c r="AB18" s="2"/>
      <c r="AC18" s="28"/>
      <c r="AD18" s="2"/>
      <c r="AE18" s="2"/>
      <c r="AF18" s="2"/>
      <c r="AG18" s="29"/>
    </row>
    <row r="19" spans="2:33" x14ac:dyDescent="0.25">
      <c r="B19" s="16" t="s">
        <v>62</v>
      </c>
      <c r="C19" s="28"/>
      <c r="D19" s="2"/>
      <c r="E19" s="29"/>
      <c r="F19" s="2"/>
      <c r="G19" s="2"/>
      <c r="H19" s="28"/>
      <c r="I19" s="2"/>
      <c r="J19" s="2"/>
      <c r="K19" s="2"/>
      <c r="L19" s="29"/>
      <c r="M19" s="2"/>
      <c r="N19" s="2"/>
      <c r="O19" s="28"/>
      <c r="P19" s="2"/>
      <c r="Q19" s="2"/>
      <c r="R19" s="2"/>
      <c r="S19" s="29"/>
      <c r="T19" s="2"/>
      <c r="U19" s="2"/>
      <c r="V19" s="28"/>
      <c r="W19" s="2"/>
      <c r="X19" s="2"/>
      <c r="Y19" s="2"/>
      <c r="Z19" s="29"/>
      <c r="AA19" s="2"/>
      <c r="AB19" s="2"/>
      <c r="AC19" s="28"/>
      <c r="AD19" s="2"/>
      <c r="AE19" s="2"/>
      <c r="AF19" s="2"/>
      <c r="AG19" s="29"/>
    </row>
    <row r="20" spans="2:33" ht="15.75" thickBot="1" x14ac:dyDescent="0.3">
      <c r="B20" s="16" t="s">
        <v>63</v>
      </c>
      <c r="C20" s="64"/>
      <c r="D20" s="62"/>
      <c r="E20" s="63"/>
      <c r="F20" s="2"/>
      <c r="G20" s="2"/>
      <c r="H20" s="64"/>
      <c r="I20" s="62"/>
      <c r="J20" s="62"/>
      <c r="K20" s="62"/>
      <c r="L20" s="63"/>
      <c r="M20" s="2"/>
      <c r="N20" s="2"/>
      <c r="O20" s="64"/>
      <c r="P20" s="62"/>
      <c r="Q20" s="62"/>
      <c r="R20" s="62"/>
      <c r="S20" s="63"/>
      <c r="T20" s="2"/>
      <c r="U20" s="2"/>
      <c r="V20" s="64"/>
      <c r="W20" s="62"/>
      <c r="X20" s="62"/>
      <c r="Y20" s="62"/>
      <c r="Z20" s="63"/>
      <c r="AA20" s="2"/>
      <c r="AB20" s="2"/>
      <c r="AC20" s="64"/>
      <c r="AD20" s="62"/>
      <c r="AE20" s="62"/>
      <c r="AF20" s="62"/>
      <c r="AG20" s="63"/>
    </row>
    <row r="22" spans="2:33" ht="24" thickBot="1" x14ac:dyDescent="0.3">
      <c r="B22" s="43" t="s">
        <v>49</v>
      </c>
      <c r="C22" s="59" t="s">
        <v>73</v>
      </c>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row>
    <row r="23" spans="2:33" ht="24" thickBot="1" x14ac:dyDescent="0.3">
      <c r="B23" s="43"/>
      <c r="C23" s="50" t="str">
        <f>TEXT(WEEKDAY(DATE(CalendarYear,5,1),1),"ddd")</f>
        <v>mié</v>
      </c>
      <c r="D23" s="26" t="str">
        <f>TEXT(WEEKDAY(DATE(CalendarYear,5,2),1),"ddd")</f>
        <v>jue</v>
      </c>
      <c r="E23" s="27" t="str">
        <f>TEXT(WEEKDAY(DATE(CalendarYear,5,3),1),"ddd")</f>
        <v>vie</v>
      </c>
      <c r="F23" s="1" t="str">
        <f>TEXT(WEEKDAY(DATE(CalendarYear,5,4),1),"ddd")</f>
        <v>sáb</v>
      </c>
      <c r="G23" s="1" t="str">
        <f>TEXT(WEEKDAY(DATE(CalendarYear,5,5),1),"ddd")</f>
        <v>dom</v>
      </c>
      <c r="H23" s="25" t="str">
        <f>TEXT(WEEKDAY(DATE(CalendarYear,5,6),1),"ddd")</f>
        <v>lun</v>
      </c>
      <c r="I23" s="26" t="str">
        <f>TEXT(WEEKDAY(DATE(CalendarYear,5,7),1),"ddd")</f>
        <v>mar</v>
      </c>
      <c r="J23" s="26" t="str">
        <f>TEXT(WEEKDAY(DATE(CalendarYear,5,8),1),"ddd")</f>
        <v>mié</v>
      </c>
      <c r="K23" s="26" t="str">
        <f>TEXT(WEEKDAY(DATE(CalendarYear,5,9),1),"ddd")</f>
        <v>jue</v>
      </c>
      <c r="L23" s="74" t="str">
        <f>TEXT(WEEKDAY(DATE(CalendarYear,5,10),1),"ddd")</f>
        <v>vie</v>
      </c>
      <c r="M23" s="1" t="str">
        <f>TEXT(WEEKDAY(DATE(CalendarYear,5,11),1),"ddd")</f>
        <v>sáb</v>
      </c>
      <c r="N23" s="1" t="str">
        <f>TEXT(WEEKDAY(DATE(CalendarYear,5,12),1),"ddd")</f>
        <v>dom</v>
      </c>
      <c r="O23" s="25" t="str">
        <f>TEXT(WEEKDAY(DATE(CalendarYear,5,13),1),"ddd")</f>
        <v>lun</v>
      </c>
      <c r="P23" s="26" t="str">
        <f>TEXT(WEEKDAY(DATE(CalendarYear,5,14),1),"ddd")</f>
        <v>mar</v>
      </c>
      <c r="Q23" s="26" t="str">
        <f>TEXT(WEEKDAY(DATE(CalendarYear,5,15),1),"ddd")</f>
        <v>mié</v>
      </c>
      <c r="R23" s="26" t="str">
        <f>TEXT(WEEKDAY(DATE(CalendarYear,5,16),1),"ddd")</f>
        <v>jue</v>
      </c>
      <c r="S23" s="27" t="str">
        <f>TEXT(WEEKDAY(DATE(CalendarYear,5,17),1),"ddd")</f>
        <v>vie</v>
      </c>
      <c r="T23" s="1" t="str">
        <f>TEXT(WEEKDAY(DATE(CalendarYear,5,18),1),"ddd")</f>
        <v>sáb</v>
      </c>
      <c r="U23" s="1" t="str">
        <f>TEXT(WEEKDAY(DATE(CalendarYear,5,19),1),"ddd")</f>
        <v>dom</v>
      </c>
      <c r="V23" s="25" t="str">
        <f>TEXT(WEEKDAY(DATE(CalendarYear,5,20),1),"ddd")</f>
        <v>lun</v>
      </c>
      <c r="W23" s="26" t="str">
        <f>TEXT(WEEKDAY(DATE(CalendarYear,5,21),1),"ddd")</f>
        <v>mar</v>
      </c>
      <c r="X23" s="26" t="str">
        <f>TEXT(WEEKDAY(DATE(CalendarYear,5,22),1),"ddd")</f>
        <v>mié</v>
      </c>
      <c r="Y23" s="26" t="str">
        <f>TEXT(WEEKDAY(DATE(CalendarYear,5,23),1),"ddd")</f>
        <v>jue</v>
      </c>
      <c r="Z23" s="71" t="str">
        <f>TEXT(WEEKDAY(DATE(CalendarYear,5,24),1),"ddd")</f>
        <v>vie</v>
      </c>
      <c r="AA23" s="1" t="str">
        <f>TEXT(WEEKDAY(DATE(CalendarYear,5,25),1),"ddd")</f>
        <v>sáb</v>
      </c>
      <c r="AB23" s="1" t="str">
        <f>TEXT(WEEKDAY(DATE(CalendarYear,5,26),1),"ddd")</f>
        <v>dom</v>
      </c>
      <c r="AC23" s="25" t="str">
        <f>TEXT(WEEKDAY(DATE(CalendarYear,5,27),1),"ddd")</f>
        <v>lun</v>
      </c>
      <c r="AD23" s="26" t="str">
        <f>TEXT(WEEKDAY(DATE(CalendarYear,5,28),1),"ddd")</f>
        <v>mar</v>
      </c>
      <c r="AE23" s="26" t="str">
        <f>TEXT(WEEKDAY(DATE(CalendarYear,5,29),1),"ddd")</f>
        <v>mié</v>
      </c>
      <c r="AF23" s="26" t="str">
        <f>TEXT(WEEKDAY(DATE(CalendarYear,5,30),1),"ddd")</f>
        <v>jue</v>
      </c>
      <c r="AG23" s="27" t="str">
        <f>TEXT(WEEKDAY(DATE(CalendarYear,5,31),1),"ddd")</f>
        <v>vie</v>
      </c>
    </row>
    <row r="24" spans="2:33" x14ac:dyDescent="0.25">
      <c r="B24" s="14" t="s">
        <v>2</v>
      </c>
      <c r="C24" s="53" t="s">
        <v>4</v>
      </c>
      <c r="D24" s="47" t="s">
        <v>6</v>
      </c>
      <c r="E24" s="48" t="s">
        <v>7</v>
      </c>
      <c r="F24" s="44" t="s">
        <v>9</v>
      </c>
      <c r="G24" s="44" t="s">
        <v>11</v>
      </c>
      <c r="H24" s="45" t="s">
        <v>13</v>
      </c>
      <c r="I24" s="44" t="s">
        <v>14</v>
      </c>
      <c r="J24" s="44" t="s">
        <v>15</v>
      </c>
      <c r="K24" s="44" t="s">
        <v>16</v>
      </c>
      <c r="L24" s="75" t="s">
        <v>18</v>
      </c>
      <c r="M24" s="44" t="s">
        <v>19</v>
      </c>
      <c r="N24" s="44" t="s">
        <v>20</v>
      </c>
      <c r="O24" s="45" t="s">
        <v>22</v>
      </c>
      <c r="P24" s="44" t="s">
        <v>23</v>
      </c>
      <c r="Q24" s="44" t="s">
        <v>24</v>
      </c>
      <c r="R24" s="44" t="s">
        <v>25</v>
      </c>
      <c r="S24" s="46" t="s">
        <v>27</v>
      </c>
      <c r="T24" s="44" t="s">
        <v>28</v>
      </c>
      <c r="U24" s="44" t="s">
        <v>29</v>
      </c>
      <c r="V24" s="45" t="s">
        <v>30</v>
      </c>
      <c r="W24" s="44" t="s">
        <v>31</v>
      </c>
      <c r="X24" s="44" t="s">
        <v>32</v>
      </c>
      <c r="Y24" s="44" t="s">
        <v>33</v>
      </c>
      <c r="Z24" s="72" t="s">
        <v>34</v>
      </c>
      <c r="AA24" s="44" t="s">
        <v>35</v>
      </c>
      <c r="AB24" s="44" t="s">
        <v>36</v>
      </c>
      <c r="AC24" s="45" t="s">
        <v>37</v>
      </c>
      <c r="AD24" s="44" t="s">
        <v>38</v>
      </c>
      <c r="AE24" s="44" t="s">
        <v>39</v>
      </c>
      <c r="AF24" s="44" t="s">
        <v>40</v>
      </c>
      <c r="AG24" s="46" t="s">
        <v>41</v>
      </c>
    </row>
    <row r="25" spans="2:33" x14ac:dyDescent="0.25">
      <c r="B25" s="16" t="s">
        <v>59</v>
      </c>
      <c r="C25" s="73"/>
      <c r="D25" s="2"/>
      <c r="E25" s="29"/>
      <c r="F25" s="2"/>
      <c r="G25" s="2"/>
      <c r="H25" s="28"/>
      <c r="I25" s="2"/>
      <c r="J25" s="2"/>
      <c r="K25" s="2"/>
      <c r="L25" s="29"/>
      <c r="M25" s="2"/>
      <c r="N25" s="2"/>
      <c r="O25" s="28"/>
      <c r="P25" s="2"/>
      <c r="Q25" s="2"/>
      <c r="R25" s="2"/>
      <c r="S25" s="29"/>
      <c r="T25" s="2"/>
      <c r="U25" s="2"/>
      <c r="V25" s="28"/>
      <c r="W25" s="2"/>
      <c r="X25" s="2"/>
      <c r="Y25" s="2"/>
      <c r="Z25" s="29"/>
      <c r="AA25" s="2"/>
      <c r="AB25" s="2"/>
      <c r="AC25" s="28"/>
      <c r="AD25" s="2"/>
      <c r="AE25" s="2"/>
      <c r="AF25" s="2"/>
      <c r="AG25" s="29"/>
    </row>
    <row r="26" spans="2:33" x14ac:dyDescent="0.25">
      <c r="B26" s="16" t="s">
        <v>61</v>
      </c>
      <c r="C26" s="28"/>
      <c r="D26" s="2">
        <v>9</v>
      </c>
      <c r="E26" s="29">
        <v>9</v>
      </c>
      <c r="F26" s="2"/>
      <c r="G26" s="2"/>
      <c r="H26" s="28">
        <v>9</v>
      </c>
      <c r="I26" s="2">
        <v>9</v>
      </c>
      <c r="J26" s="2">
        <v>9</v>
      </c>
      <c r="K26" s="2">
        <v>9</v>
      </c>
      <c r="L26" s="29">
        <v>9</v>
      </c>
      <c r="M26" s="2"/>
      <c r="N26" s="2"/>
      <c r="O26" s="28"/>
      <c r="P26" s="2"/>
      <c r="Q26" s="2"/>
      <c r="R26" s="2"/>
      <c r="S26" s="29"/>
      <c r="T26" s="2"/>
      <c r="U26" s="2"/>
      <c r="V26" s="28"/>
      <c r="W26" s="2"/>
      <c r="X26" s="2"/>
      <c r="Y26" s="2"/>
      <c r="Z26" s="29"/>
      <c r="AA26" s="2"/>
      <c r="AB26" s="2"/>
      <c r="AC26" s="28"/>
      <c r="AD26" s="2"/>
      <c r="AE26" s="2"/>
      <c r="AF26" s="2"/>
      <c r="AG26" s="29"/>
    </row>
    <row r="27" spans="2:33" x14ac:dyDescent="0.25">
      <c r="B27" s="16" t="s">
        <v>60</v>
      </c>
      <c r="C27" s="28"/>
      <c r="D27" s="2"/>
      <c r="E27" s="29"/>
      <c r="F27" s="2"/>
      <c r="G27" s="2"/>
      <c r="H27" s="28"/>
      <c r="I27" s="2"/>
      <c r="J27" s="2"/>
      <c r="K27" s="2"/>
      <c r="L27" s="29"/>
      <c r="M27" s="2"/>
      <c r="N27" s="2"/>
      <c r="O27" s="28"/>
      <c r="P27" s="2"/>
      <c r="Q27" s="2"/>
      <c r="R27" s="2"/>
      <c r="S27" s="29"/>
      <c r="T27" s="2"/>
      <c r="U27" s="2"/>
      <c r="V27" s="28"/>
      <c r="W27" s="2"/>
      <c r="X27" s="2"/>
      <c r="Y27" s="2"/>
      <c r="Z27" s="29"/>
      <c r="AA27" s="2"/>
      <c r="AB27" s="2"/>
      <c r="AC27" s="28"/>
      <c r="AD27" s="2"/>
      <c r="AE27" s="2"/>
      <c r="AF27" s="2"/>
      <c r="AG27" s="29"/>
    </row>
    <row r="28" spans="2:33" x14ac:dyDescent="0.25">
      <c r="B28" s="16" t="s">
        <v>62</v>
      </c>
      <c r="C28" s="28"/>
      <c r="D28" s="2">
        <v>9</v>
      </c>
      <c r="E28" s="29">
        <v>9</v>
      </c>
      <c r="F28" s="2"/>
      <c r="G28" s="2"/>
      <c r="H28" s="28">
        <v>9</v>
      </c>
      <c r="I28" s="2">
        <v>9</v>
      </c>
      <c r="J28" s="2">
        <v>9</v>
      </c>
      <c r="K28" s="2">
        <v>9</v>
      </c>
      <c r="L28" s="29">
        <v>9</v>
      </c>
      <c r="M28" s="2"/>
      <c r="N28" s="2"/>
      <c r="O28" s="28"/>
      <c r="P28" s="2"/>
      <c r="Q28" s="2"/>
      <c r="R28" s="2"/>
      <c r="S28" s="29"/>
      <c r="T28" s="2"/>
      <c r="U28" s="2"/>
      <c r="V28" s="28"/>
      <c r="W28" s="2"/>
      <c r="X28" s="2"/>
      <c r="Y28" s="2"/>
      <c r="Z28" s="29"/>
      <c r="AA28" s="2"/>
      <c r="AB28" s="2"/>
      <c r="AC28" s="28"/>
      <c r="AD28" s="2"/>
      <c r="AE28" s="2"/>
      <c r="AF28" s="2"/>
      <c r="AG28" s="29"/>
    </row>
    <row r="29" spans="2:33" ht="15.75" thickBot="1" x14ac:dyDescent="0.3">
      <c r="B29" s="16" t="s">
        <v>63</v>
      </c>
      <c r="C29" s="64"/>
      <c r="D29" s="62"/>
      <c r="E29" s="63"/>
      <c r="F29" s="2"/>
      <c r="G29" s="2"/>
      <c r="H29" s="64"/>
      <c r="I29" s="62"/>
      <c r="J29" s="62"/>
      <c r="K29" s="62"/>
      <c r="L29" s="63"/>
      <c r="M29" s="2"/>
      <c r="N29" s="2"/>
      <c r="O29" s="64"/>
      <c r="P29" s="62"/>
      <c r="Q29" s="62"/>
      <c r="R29" s="62"/>
      <c r="S29" s="63"/>
      <c r="T29" s="2"/>
      <c r="U29" s="2"/>
      <c r="V29" s="64"/>
      <c r="W29" s="62"/>
      <c r="X29" s="62"/>
      <c r="Y29" s="62"/>
      <c r="Z29" s="63"/>
      <c r="AA29" s="2"/>
      <c r="AB29" s="2"/>
      <c r="AC29" s="64"/>
      <c r="AD29" s="62"/>
      <c r="AE29" s="62"/>
      <c r="AF29" s="62"/>
      <c r="AG29" s="63"/>
    </row>
  </sheetData>
  <mergeCells count="8">
    <mergeCell ref="C13:AG13"/>
    <mergeCell ref="C22:AG22"/>
    <mergeCell ref="C4:AG4"/>
    <mergeCell ref="D2:F2"/>
    <mergeCell ref="H2:J2"/>
    <mergeCell ref="L2:O2"/>
    <mergeCell ref="Q2:T2"/>
    <mergeCell ref="V2:Y2"/>
  </mergeCells>
  <conditionalFormatting sqref="D7:AG7 C8:AG11">
    <cfRule type="expression" priority="13" stopIfTrue="1">
      <formula>C7=""</formula>
    </cfRule>
  </conditionalFormatting>
  <conditionalFormatting sqref="D7:AG7 C8:AG11">
    <cfRule type="expression" dxfId="236" priority="14" stopIfTrue="1">
      <formula>C7=KeyCustom2</formula>
    </cfRule>
    <cfRule type="expression" dxfId="235" priority="15" stopIfTrue="1">
      <formula>C7=KeyCustom1</formula>
    </cfRule>
    <cfRule type="expression" dxfId="234" priority="16" stopIfTrue="1">
      <formula>C7=KeySick</formula>
    </cfRule>
    <cfRule type="expression" dxfId="233" priority="17" stopIfTrue="1">
      <formula>C7=KeyPersonal</formula>
    </cfRule>
    <cfRule type="expression" dxfId="232" priority="18" stopIfTrue="1">
      <formula>C7=KeyVacation</formula>
    </cfRule>
  </conditionalFormatting>
  <conditionalFormatting sqref="D16:AG16 C17:AG20">
    <cfRule type="expression" priority="7" stopIfTrue="1">
      <formula>C16=""</formula>
    </cfRule>
  </conditionalFormatting>
  <conditionalFormatting sqref="D16:AG16 C17:AG20">
    <cfRule type="expression" dxfId="186" priority="8" stopIfTrue="1">
      <formula>C16=KeyCustom2</formula>
    </cfRule>
    <cfRule type="expression" dxfId="185" priority="9" stopIfTrue="1">
      <formula>C16=KeyCustom1</formula>
    </cfRule>
    <cfRule type="expression" dxfId="184" priority="10" stopIfTrue="1">
      <formula>C16=KeySick</formula>
    </cfRule>
    <cfRule type="expression" dxfId="183" priority="11" stopIfTrue="1">
      <formula>C16=KeyPersonal</formula>
    </cfRule>
    <cfRule type="expression" dxfId="182" priority="12" stopIfTrue="1">
      <formula>C16=KeyVacation</formula>
    </cfRule>
  </conditionalFormatting>
  <conditionalFormatting sqref="D25:AG25 C26:AG29">
    <cfRule type="expression" priority="1" stopIfTrue="1">
      <formula>C25=""</formula>
    </cfRule>
  </conditionalFormatting>
  <conditionalFormatting sqref="D25:AG25 C26:AG29">
    <cfRule type="expression" dxfId="134" priority="2" stopIfTrue="1">
      <formula>C25=KeyCustom2</formula>
    </cfRule>
    <cfRule type="expression" dxfId="133" priority="3" stopIfTrue="1">
      <formula>C25=KeyCustom1</formula>
    </cfRule>
    <cfRule type="expression" dxfId="132" priority="4" stopIfTrue="1">
      <formula>C25=KeySick</formula>
    </cfRule>
    <cfRule type="expression" dxfId="131" priority="5" stopIfTrue="1">
      <formula>C25=KeyPersonal</formula>
    </cfRule>
    <cfRule type="expression" dxfId="130" priority="6" stopIfTrue="1">
      <formula>C25=KeyVacation</formula>
    </cfRule>
  </conditionalFormatting>
  <dataValidations xWindow="37" yWindow="866" count="12">
    <dataValidation allowBlank="1" showInputMessage="1" showErrorMessage="1" prompt="Los días del mes se generan de forma automática en esta fila. Escriba la ausencia y el tipo de ausencia de un empleado en cada columna para cada día del mes. En blanco significa que no hay ausencia" sqref="C6 C15 C24"/>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B13 B22"/>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criba una etiqueta para describir la clave personalizada de la izquierda." sqref="Q2 V2"/>
    <dataValidation allowBlank="1" showInputMessage="1" showErrorMessage="1" prompt="Escriba una letra y personalice la etiqueta de la derecha para agregar otro elemento clave." sqref="P2 U2"/>
    <dataValidation allowBlank="1" showInputMessage="1" showErrorMessage="1" prompt="La letra “E” indica una ausencia por enfermedad" sqref="K2"/>
    <dataValidation allowBlank="1" showInputMessage="1" showErrorMessage="1" prompt="La letra “P” indica una ausencia por motivos personales" sqref="G2"/>
    <dataValidation allowBlank="1" showInputMessage="1" showErrorMessage="1" prompt="La letra “V” indica una ausencia por vacaciones" sqref="C2"/>
    <dataValidation allowBlank="1" showInputMessage="1" showErrorMessage="1" prompt="El título se actualiza automáticamente en esta celda. Para modificar el título, actualice la celda B1 en la hoja de cálculo de enero." sqref="B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B15 B24"/>
    <dataValidation allowBlank="1" showInputMessage="1" showErrorMessage="1" prompt="Realice un seguimiento de las ausencias de mayo en esta hoja de cálculo." sqref="A1"/>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C14 C23"/>
  </dataValidations>
  <printOptions horizontalCentered="1"/>
  <pageMargins left="0.25" right="0.25" top="0.75" bottom="0.75" header="0.3" footer="0.3"/>
  <pageSetup paperSize="9" scale="70" fitToHeight="0" orientation="landscape" r:id="rId1"/>
  <headerFooter differentFirst="1">
    <oddFooter>Page &amp;P of &amp;N</oddFooter>
  </headerFooter>
  <legacyDrawing r:id="rId2"/>
  <tableParts count="3">
    <tablePart r:id="rId3"/>
    <tablePart r:id="rId4"/>
    <tablePart r:id="rId5"/>
  </tableParts>
  <extLst>
    <ext xmlns:x14="http://schemas.microsoft.com/office/spreadsheetml/2009/9/main" uri="{CCE6A557-97BC-4b89-ADB6-D9C93CAAB3DF}">
      <x14:dataValidations xmlns:xm="http://schemas.microsoft.com/office/excel/2006/main" xWindow="37" yWindow="866" count="1">
        <x14:dataValidation type="list" allowBlank="1" showInputMessage="1" showErrorMessage="1">
          <x14:formula1>
            <xm:f>'Nombres de los empleados'!$B$4:$B$8</xm:f>
          </x14:formula1>
          <xm:sqref>B7:B11 B16:B20 B25:B29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pageSetUpPr fitToPage="1"/>
  </sheetPr>
  <dimension ref="A1:AH20"/>
  <sheetViews>
    <sheetView showGridLines="0" zoomScale="90" zoomScaleNormal="90" workbookViewId="0"/>
  </sheetViews>
  <sheetFormatPr baseColWidth="10" defaultColWidth="9.140625" defaultRowHeight="15"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2:34" ht="33.75" x14ac:dyDescent="0.25">
      <c r="B1" s="13" t="str">
        <f>Employee_Absence_Title</f>
        <v>Programación Infraestructura</v>
      </c>
    </row>
    <row r="2" spans="2:34" x14ac:dyDescent="0.25">
      <c r="B2" s="17" t="s">
        <v>0</v>
      </c>
      <c r="C2" s="3" t="s">
        <v>3</v>
      </c>
      <c r="D2" s="60" t="s">
        <v>5</v>
      </c>
      <c r="E2" s="60"/>
      <c r="F2" s="60"/>
      <c r="G2" s="4" t="s">
        <v>8</v>
      </c>
      <c r="H2" s="61" t="s">
        <v>68</v>
      </c>
      <c r="I2" s="60"/>
      <c r="J2" s="60"/>
      <c r="K2" s="5" t="s">
        <v>10</v>
      </c>
      <c r="L2" s="60" t="s">
        <v>17</v>
      </c>
      <c r="M2" s="60"/>
      <c r="N2" s="60"/>
      <c r="O2" s="60"/>
      <c r="P2" s="6" t="s">
        <v>66</v>
      </c>
      <c r="Q2" s="61" t="s">
        <v>64</v>
      </c>
      <c r="R2" s="60"/>
      <c r="S2" s="60"/>
      <c r="T2" s="60"/>
      <c r="U2" s="7" t="s">
        <v>67</v>
      </c>
      <c r="V2" s="61" t="s">
        <v>65</v>
      </c>
      <c r="W2" s="60"/>
      <c r="X2" s="60"/>
      <c r="Y2" s="60"/>
      <c r="Z2" s="58"/>
      <c r="AA2" s="10" t="s">
        <v>69</v>
      </c>
    </row>
    <row r="3" spans="2:34" ht="33.75" x14ac:dyDescent="0.25">
      <c r="B3" s="13"/>
    </row>
    <row r="4" spans="2:34" ht="24" thickBot="1" x14ac:dyDescent="0.3">
      <c r="B4" s="11" t="s">
        <v>50</v>
      </c>
      <c r="C4" s="59" t="s">
        <v>58</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2:34" ht="23.25" x14ac:dyDescent="0.25">
      <c r="B5" s="11"/>
      <c r="C5" s="1" t="str">
        <f>TEXT(WEEKDAY(DATE(CalendarYear,6,1),1),"ddd")</f>
        <v>sáb</v>
      </c>
      <c r="D5" s="1" t="str">
        <f>TEXT(WEEKDAY(DATE(CalendarYear,6,2),1),"ddd")</f>
        <v>dom</v>
      </c>
      <c r="E5" s="50" t="str">
        <f>TEXT(WEEKDAY(DATE(CalendarYear,6,3),1),"ddd")</f>
        <v>lun</v>
      </c>
      <c r="F5" s="26" t="str">
        <f>TEXT(WEEKDAY(DATE(CalendarYear,6,4),1),"ddd")</f>
        <v>mar</v>
      </c>
      <c r="G5" s="26" t="str">
        <f>TEXT(WEEKDAY(DATE(CalendarYear,6,5),1),"ddd")</f>
        <v>mié</v>
      </c>
      <c r="H5" s="26" t="str">
        <f>TEXT(WEEKDAY(DATE(CalendarYear,6,6),1),"ddd")</f>
        <v>jue</v>
      </c>
      <c r="I5" s="27" t="str">
        <f>TEXT(WEEKDAY(DATE(CalendarYear,6,7),1),"ddd")</f>
        <v>vie</v>
      </c>
      <c r="J5" s="1" t="str">
        <f>TEXT(WEEKDAY(DATE(CalendarYear,6,8),1),"ddd")</f>
        <v>sáb</v>
      </c>
      <c r="K5" s="1" t="str">
        <f>TEXT(WEEKDAY(DATE(CalendarYear,6,9),1),"ddd")</f>
        <v>dom</v>
      </c>
      <c r="L5" s="25" t="str">
        <f>TEXT(WEEKDAY(DATE(CalendarYear,6,10),1),"ddd")</f>
        <v>lun</v>
      </c>
      <c r="M5" s="26" t="str">
        <f>TEXT(WEEKDAY(DATE(CalendarYear,6,11),1),"ddd")</f>
        <v>mar</v>
      </c>
      <c r="N5" s="26" t="str">
        <f>TEXT(WEEKDAY(DATE(CalendarYear,6,12),1),"ddd")</f>
        <v>mié</v>
      </c>
      <c r="O5" s="26" t="str">
        <f>TEXT(WEEKDAY(DATE(CalendarYear,6,13),1),"ddd")</f>
        <v>jue</v>
      </c>
      <c r="P5" s="27" t="str">
        <f>TEXT(WEEKDAY(DATE(CalendarYear,6,14),1),"ddd")</f>
        <v>vie</v>
      </c>
      <c r="Q5" s="1" t="str">
        <f>TEXT(WEEKDAY(DATE(CalendarYear,6,15),1),"ddd")</f>
        <v>sáb</v>
      </c>
      <c r="R5" s="1" t="str">
        <f>TEXT(WEEKDAY(DATE(CalendarYear,6,16),1),"ddd")</f>
        <v>dom</v>
      </c>
      <c r="S5" s="25" t="str">
        <f>TEXT(WEEKDAY(DATE(CalendarYear,6,17),1),"ddd")</f>
        <v>lun</v>
      </c>
      <c r="T5" s="26" t="str">
        <f>TEXT(WEEKDAY(DATE(CalendarYear,6,18),1),"ddd")</f>
        <v>mar</v>
      </c>
      <c r="U5" s="26" t="str">
        <f>TEXT(WEEKDAY(DATE(CalendarYear,6,19),1),"ddd")</f>
        <v>mié</v>
      </c>
      <c r="V5" s="26" t="str">
        <f>TEXT(WEEKDAY(DATE(CalendarYear,6,20),1),"ddd")</f>
        <v>jue</v>
      </c>
      <c r="W5" s="27" t="str">
        <f>TEXT(WEEKDAY(DATE(CalendarYear,6,21),1),"ddd")</f>
        <v>vie</v>
      </c>
      <c r="X5" s="1" t="str">
        <f>TEXT(WEEKDAY(DATE(CalendarYear,6,22),1),"ddd")</f>
        <v>sáb</v>
      </c>
      <c r="Y5" s="1" t="str">
        <f>TEXT(WEEKDAY(DATE(CalendarYear,6,23),1),"ddd")</f>
        <v>dom</v>
      </c>
      <c r="Z5" s="50" t="str">
        <f>TEXT(WEEKDAY(DATE(CalendarYear,6,24),1),"ddd")</f>
        <v>lun</v>
      </c>
      <c r="AA5" s="26" t="str">
        <f>TEXT(WEEKDAY(DATE(CalendarYear,6,25),1),"ddd")</f>
        <v>mar</v>
      </c>
      <c r="AB5" s="26" t="str">
        <f>TEXT(WEEKDAY(DATE(CalendarYear,6,26),1),"ddd")</f>
        <v>mié</v>
      </c>
      <c r="AC5" s="26" t="str">
        <f>TEXT(WEEKDAY(DATE(CalendarYear,6,27),1),"ddd")</f>
        <v>jue</v>
      </c>
      <c r="AD5" s="27" t="str">
        <f>TEXT(WEEKDAY(DATE(CalendarYear,6,28),1),"ddd")</f>
        <v>vie</v>
      </c>
      <c r="AE5" s="1" t="str">
        <f>TEXT(WEEKDAY(DATE(CalendarYear,6,29),1),"ddd")</f>
        <v>sáb</v>
      </c>
      <c r="AF5" s="1" t="str">
        <f>TEXT(WEEKDAY(DATE(CalendarYear,6,30),1),"ddd")</f>
        <v>dom</v>
      </c>
      <c r="AG5" s="1"/>
      <c r="AH5" s="11"/>
    </row>
    <row r="6" spans="2:34" x14ac:dyDescent="0.25">
      <c r="B6" s="14" t="s">
        <v>2</v>
      </c>
      <c r="C6" s="44" t="s">
        <v>4</v>
      </c>
      <c r="D6" s="44" t="s">
        <v>6</v>
      </c>
      <c r="E6" s="51" t="s">
        <v>7</v>
      </c>
      <c r="F6" s="44" t="s">
        <v>9</v>
      </c>
      <c r="G6" s="44" t="s">
        <v>11</v>
      </c>
      <c r="H6" s="44" t="s">
        <v>13</v>
      </c>
      <c r="I6" s="46" t="s">
        <v>14</v>
      </c>
      <c r="J6" s="44" t="s">
        <v>15</v>
      </c>
      <c r="K6" s="44" t="s">
        <v>16</v>
      </c>
      <c r="L6" s="45" t="s">
        <v>18</v>
      </c>
      <c r="M6" s="44" t="s">
        <v>19</v>
      </c>
      <c r="N6" s="44" t="s">
        <v>20</v>
      </c>
      <c r="O6" s="44" t="s">
        <v>22</v>
      </c>
      <c r="P6" s="46" t="s">
        <v>23</v>
      </c>
      <c r="Q6" s="44" t="s">
        <v>24</v>
      </c>
      <c r="R6" s="44" t="s">
        <v>25</v>
      </c>
      <c r="S6" s="45" t="s">
        <v>27</v>
      </c>
      <c r="T6" s="44" t="s">
        <v>28</v>
      </c>
      <c r="U6" s="44" t="s">
        <v>29</v>
      </c>
      <c r="V6" s="44" t="s">
        <v>30</v>
      </c>
      <c r="W6" s="46" t="s">
        <v>31</v>
      </c>
      <c r="X6" s="44" t="s">
        <v>32</v>
      </c>
      <c r="Y6" s="44" t="s">
        <v>33</v>
      </c>
      <c r="Z6" s="51" t="s">
        <v>34</v>
      </c>
      <c r="AA6" s="44" t="s">
        <v>35</v>
      </c>
      <c r="AB6" s="44" t="s">
        <v>36</v>
      </c>
      <c r="AC6" s="44" t="s">
        <v>37</v>
      </c>
      <c r="AD6" s="46" t="s">
        <v>38</v>
      </c>
      <c r="AE6" s="44" t="s">
        <v>39</v>
      </c>
      <c r="AF6" s="44" t="s">
        <v>40</v>
      </c>
      <c r="AG6" s="44" t="s">
        <v>41</v>
      </c>
      <c r="AH6" s="15" t="s">
        <v>43</v>
      </c>
    </row>
    <row r="7" spans="2:34" x14ac:dyDescent="0.25">
      <c r="B7" s="16" t="s">
        <v>59</v>
      </c>
      <c r="D7" s="2"/>
      <c r="E7" s="51"/>
      <c r="F7" s="2" t="s">
        <v>66</v>
      </c>
      <c r="G7" s="2" t="s">
        <v>66</v>
      </c>
      <c r="H7" s="2" t="s">
        <v>66</v>
      </c>
      <c r="I7" s="29" t="s">
        <v>66</v>
      </c>
      <c r="J7" s="2"/>
      <c r="K7" s="2"/>
      <c r="L7" s="28" t="s">
        <v>67</v>
      </c>
      <c r="M7" s="2" t="s">
        <v>67</v>
      </c>
      <c r="N7" s="2" t="s">
        <v>67</v>
      </c>
      <c r="O7" s="2" t="s">
        <v>67</v>
      </c>
      <c r="P7" s="29" t="s">
        <v>67</v>
      </c>
      <c r="Q7" s="2"/>
      <c r="R7" s="2"/>
      <c r="S7" s="28" t="s">
        <v>66</v>
      </c>
      <c r="T7" s="2" t="s">
        <v>66</v>
      </c>
      <c r="U7" s="2" t="s">
        <v>66</v>
      </c>
      <c r="V7" s="2" t="s">
        <v>66</v>
      </c>
      <c r="W7" s="29" t="s">
        <v>66</v>
      </c>
      <c r="X7" s="2"/>
      <c r="Y7" s="2"/>
      <c r="Z7" s="51"/>
      <c r="AA7" s="2" t="s">
        <v>67</v>
      </c>
      <c r="AB7" s="2" t="s">
        <v>67</v>
      </c>
      <c r="AC7" s="2" t="s">
        <v>67</v>
      </c>
      <c r="AD7" s="29" t="s">
        <v>67</v>
      </c>
      <c r="AE7" s="2"/>
      <c r="AF7" s="2"/>
      <c r="AG7" s="2"/>
      <c r="AH7" s="9">
        <f>COUNTA(Junio[[#This Row],[1]:[31]])</f>
        <v>18</v>
      </c>
    </row>
    <row r="8" spans="2:34" x14ac:dyDescent="0.25">
      <c r="B8" s="16" t="s">
        <v>61</v>
      </c>
      <c r="C8" s="2"/>
      <c r="D8" s="2"/>
      <c r="E8" s="51"/>
      <c r="F8" s="2" t="s">
        <v>67</v>
      </c>
      <c r="G8" s="2" t="s">
        <v>67</v>
      </c>
      <c r="H8" s="2" t="s">
        <v>67</v>
      </c>
      <c r="I8" s="29" t="s">
        <v>67</v>
      </c>
      <c r="J8" s="2"/>
      <c r="K8" s="2"/>
      <c r="L8" s="28" t="s">
        <v>66</v>
      </c>
      <c r="M8" s="2" t="s">
        <v>66</v>
      </c>
      <c r="N8" s="2" t="s">
        <v>66</v>
      </c>
      <c r="O8" s="2" t="s">
        <v>66</v>
      </c>
      <c r="P8" s="29" t="s">
        <v>66</v>
      </c>
      <c r="Q8" s="2"/>
      <c r="R8" s="2"/>
      <c r="S8" s="28" t="s">
        <v>67</v>
      </c>
      <c r="T8" s="2" t="s">
        <v>67</v>
      </c>
      <c r="U8" s="2" t="s">
        <v>67</v>
      </c>
      <c r="V8" s="2" t="s">
        <v>67</v>
      </c>
      <c r="W8" s="29" t="s">
        <v>67</v>
      </c>
      <c r="X8" s="2"/>
      <c r="Y8" s="2"/>
      <c r="Z8" s="51"/>
      <c r="AA8" s="2" t="s">
        <v>66</v>
      </c>
      <c r="AB8" s="2" t="s">
        <v>66</v>
      </c>
      <c r="AC8" s="2" t="s">
        <v>66</v>
      </c>
      <c r="AD8" s="29" t="s">
        <v>66</v>
      </c>
      <c r="AE8" s="2"/>
      <c r="AF8" s="2"/>
      <c r="AG8" s="2"/>
      <c r="AH8" s="9">
        <f>COUNTA(Junio[[#This Row],[1]:[31]])</f>
        <v>18</v>
      </c>
    </row>
    <row r="9" spans="2:34" x14ac:dyDescent="0.25">
      <c r="B9" s="16" t="s">
        <v>60</v>
      </c>
      <c r="C9" s="2"/>
      <c r="D9" s="2"/>
      <c r="E9" s="51"/>
      <c r="F9" s="2" t="s">
        <v>66</v>
      </c>
      <c r="G9" s="2" t="s">
        <v>66</v>
      </c>
      <c r="H9" s="2" t="s">
        <v>66</v>
      </c>
      <c r="I9" s="29" t="s">
        <v>66</v>
      </c>
      <c r="J9" s="2"/>
      <c r="K9" s="2"/>
      <c r="L9" s="28" t="s">
        <v>67</v>
      </c>
      <c r="M9" s="2" t="s">
        <v>67</v>
      </c>
      <c r="N9" s="2" t="s">
        <v>67</v>
      </c>
      <c r="O9" s="2" t="s">
        <v>67</v>
      </c>
      <c r="P9" s="29" t="s">
        <v>67</v>
      </c>
      <c r="Q9" s="2"/>
      <c r="R9" s="2"/>
      <c r="S9" s="28" t="s">
        <v>66</v>
      </c>
      <c r="T9" s="2" t="s">
        <v>66</v>
      </c>
      <c r="U9" s="2" t="s">
        <v>66</v>
      </c>
      <c r="V9" s="2" t="s">
        <v>66</v>
      </c>
      <c r="W9" s="29" t="s">
        <v>66</v>
      </c>
      <c r="X9" s="2"/>
      <c r="Y9" s="2"/>
      <c r="Z9" s="51"/>
      <c r="AA9" s="2" t="s">
        <v>67</v>
      </c>
      <c r="AB9" s="2" t="s">
        <v>67</v>
      </c>
      <c r="AC9" s="2" t="s">
        <v>67</v>
      </c>
      <c r="AD9" s="29" t="s">
        <v>67</v>
      </c>
      <c r="AE9" s="2"/>
      <c r="AF9" s="2"/>
      <c r="AG9" s="2"/>
      <c r="AH9" s="9">
        <f>COUNTA(Junio[[#This Row],[1]:[31]])</f>
        <v>18</v>
      </c>
    </row>
    <row r="10" spans="2:34" x14ac:dyDescent="0.25">
      <c r="B10" s="16" t="s">
        <v>62</v>
      </c>
      <c r="C10" s="2"/>
      <c r="D10" s="2"/>
      <c r="E10" s="51"/>
      <c r="F10" s="2" t="s">
        <v>67</v>
      </c>
      <c r="G10" s="2" t="s">
        <v>67</v>
      </c>
      <c r="H10" s="2" t="s">
        <v>67</v>
      </c>
      <c r="I10" s="29" t="s">
        <v>67</v>
      </c>
      <c r="J10" s="2"/>
      <c r="K10" s="2"/>
      <c r="L10" s="28" t="s">
        <v>66</v>
      </c>
      <c r="M10" s="2" t="s">
        <v>66</v>
      </c>
      <c r="N10" s="2" t="s">
        <v>66</v>
      </c>
      <c r="O10" s="2" t="s">
        <v>66</v>
      </c>
      <c r="P10" s="29" t="s">
        <v>66</v>
      </c>
      <c r="Q10" s="2"/>
      <c r="R10" s="2"/>
      <c r="S10" s="28" t="s">
        <v>67</v>
      </c>
      <c r="T10" s="2" t="s">
        <v>67</v>
      </c>
      <c r="U10" s="2" t="s">
        <v>67</v>
      </c>
      <c r="V10" s="2" t="s">
        <v>67</v>
      </c>
      <c r="W10" s="29" t="s">
        <v>67</v>
      </c>
      <c r="X10" s="2"/>
      <c r="Y10" s="2"/>
      <c r="Z10" s="51"/>
      <c r="AA10" s="2" t="s">
        <v>66</v>
      </c>
      <c r="AB10" s="2" t="s">
        <v>66</v>
      </c>
      <c r="AC10" s="2" t="s">
        <v>66</v>
      </c>
      <c r="AD10" s="29" t="s">
        <v>66</v>
      </c>
      <c r="AE10" s="2"/>
      <c r="AF10" s="2"/>
      <c r="AG10" s="2"/>
      <c r="AH10" s="9">
        <f>COUNTA(Junio[[#This Row],[1]:[31]])</f>
        <v>18</v>
      </c>
    </row>
    <row r="11" spans="2:34" x14ac:dyDescent="0.25">
      <c r="B11" s="16" t="s">
        <v>63</v>
      </c>
      <c r="C11" s="2"/>
      <c r="D11" s="2"/>
      <c r="E11" s="51"/>
      <c r="F11" s="2" t="s">
        <v>66</v>
      </c>
      <c r="G11" s="2" t="s">
        <v>66</v>
      </c>
      <c r="H11" s="2" t="s">
        <v>66</v>
      </c>
      <c r="I11" s="29" t="s">
        <v>66</v>
      </c>
      <c r="J11" s="2"/>
      <c r="K11" s="2"/>
      <c r="L11" s="28" t="s">
        <v>67</v>
      </c>
      <c r="M11" s="2" t="s">
        <v>67</v>
      </c>
      <c r="N11" s="2" t="s">
        <v>67</v>
      </c>
      <c r="O11" s="2" t="s">
        <v>67</v>
      </c>
      <c r="P11" s="29" t="s">
        <v>67</v>
      </c>
      <c r="Q11" s="2"/>
      <c r="R11" s="2"/>
      <c r="S11" s="28" t="s">
        <v>66</v>
      </c>
      <c r="T11" s="2" t="s">
        <v>66</v>
      </c>
      <c r="U11" s="2" t="s">
        <v>66</v>
      </c>
      <c r="V11" s="2" t="s">
        <v>66</v>
      </c>
      <c r="W11" s="29" t="s">
        <v>66</v>
      </c>
      <c r="X11" s="2"/>
      <c r="Y11" s="2"/>
      <c r="Z11" s="51"/>
      <c r="AA11" s="2" t="s">
        <v>67</v>
      </c>
      <c r="AB11" s="2" t="s">
        <v>67</v>
      </c>
      <c r="AC11" s="2" t="s">
        <v>67</v>
      </c>
      <c r="AD11" s="29" t="s">
        <v>67</v>
      </c>
      <c r="AE11" s="2"/>
      <c r="AF11" s="2"/>
      <c r="AG11" s="2"/>
      <c r="AH11" s="9">
        <f>COUNTA(Junio[[#This Row],[1]:[31]])</f>
        <v>18</v>
      </c>
    </row>
    <row r="12" spans="2:34" ht="15.75" thickBot="1" x14ac:dyDescent="0.3">
      <c r="B12" s="19" t="str">
        <f>MonthName&amp;" Total"</f>
        <v>Junio Total</v>
      </c>
      <c r="C12" s="12">
        <f>SUBTOTAL(103,Junio[1])</f>
        <v>0</v>
      </c>
      <c r="D12" s="12">
        <f>SUBTOTAL(103,Junio[2])</f>
        <v>0</v>
      </c>
      <c r="E12" s="52">
        <f>SUBTOTAL(103,Junio[3])</f>
        <v>0</v>
      </c>
      <c r="F12" s="32">
        <f>SUBTOTAL(103,Junio[4])</f>
        <v>5</v>
      </c>
      <c r="G12" s="32">
        <f>SUBTOTAL(103,Junio[5])</f>
        <v>5</v>
      </c>
      <c r="H12" s="32">
        <f>SUBTOTAL(103,Junio[6])</f>
        <v>5</v>
      </c>
      <c r="I12" s="33">
        <f>SUBTOTAL(103,Junio[7])</f>
        <v>5</v>
      </c>
      <c r="J12" s="12">
        <f>SUBTOTAL(103,Junio[8])</f>
        <v>0</v>
      </c>
      <c r="K12" s="12">
        <f>SUBTOTAL(103,Junio[9])</f>
        <v>0</v>
      </c>
      <c r="L12" s="31">
        <f>SUBTOTAL(103,Junio[10])</f>
        <v>5</v>
      </c>
      <c r="M12" s="32">
        <f>SUBTOTAL(103,Junio[11])</f>
        <v>5</v>
      </c>
      <c r="N12" s="32">
        <f>SUBTOTAL(103,Junio[12])</f>
        <v>5</v>
      </c>
      <c r="O12" s="32">
        <f>SUBTOTAL(103,Junio[13])</f>
        <v>5</v>
      </c>
      <c r="P12" s="33">
        <f>SUBTOTAL(103,Junio[14])</f>
        <v>5</v>
      </c>
      <c r="Q12" s="12">
        <f>SUBTOTAL(103,Junio[15])</f>
        <v>0</v>
      </c>
      <c r="R12" s="12">
        <f>SUBTOTAL(103,Junio[16])</f>
        <v>0</v>
      </c>
      <c r="S12" s="31">
        <f>SUBTOTAL(103,Junio[17])</f>
        <v>5</v>
      </c>
      <c r="T12" s="32">
        <f>SUBTOTAL(103,Junio[18])</f>
        <v>5</v>
      </c>
      <c r="U12" s="32">
        <f>SUBTOTAL(103,Junio[19])</f>
        <v>5</v>
      </c>
      <c r="V12" s="32">
        <f>SUBTOTAL(103,Junio[20])</f>
        <v>5</v>
      </c>
      <c r="W12" s="33">
        <f>SUBTOTAL(103,Junio[21])</f>
        <v>5</v>
      </c>
      <c r="X12" s="12">
        <f>SUBTOTAL(103,Junio[22])</f>
        <v>0</v>
      </c>
      <c r="Y12" s="12">
        <f>SUBTOTAL(103,Junio[23])</f>
        <v>0</v>
      </c>
      <c r="Z12" s="52">
        <f>SUBTOTAL(103,Junio[24])</f>
        <v>0</v>
      </c>
      <c r="AA12" s="32">
        <f>SUBTOTAL(103,Junio[25])</f>
        <v>5</v>
      </c>
      <c r="AB12" s="32">
        <f>SUBTOTAL(103,Junio[26])</f>
        <v>5</v>
      </c>
      <c r="AC12" s="32">
        <f>SUBTOTAL(103,Junio[27])</f>
        <v>5</v>
      </c>
      <c r="AD12" s="33">
        <f>SUBTOTAL(103,Junio[28])</f>
        <v>5</v>
      </c>
      <c r="AE12" s="12">
        <f>SUBTOTAL(103,Junio[29])</f>
        <v>0</v>
      </c>
      <c r="AF12" s="12">
        <f>SUBTOTAL(109,Junio[30])</f>
        <v>0</v>
      </c>
      <c r="AG12" s="12">
        <f>SUBTOTAL(109,Junio[31])</f>
        <v>0</v>
      </c>
      <c r="AH12" s="12">
        <f>SUBTOTAL(109,Junio[Número total de días])</f>
        <v>90</v>
      </c>
    </row>
    <row r="20" spans="22:22" x14ac:dyDescent="0.25">
      <c r="V20" s="21"/>
    </row>
  </sheetData>
  <mergeCells count="6">
    <mergeCell ref="C4:AG4"/>
    <mergeCell ref="D2:F2"/>
    <mergeCell ref="H2:J2"/>
    <mergeCell ref="L2:O2"/>
    <mergeCell ref="Q2:T2"/>
    <mergeCell ref="V2:Y2"/>
  </mergeCells>
  <conditionalFormatting sqref="C8:AG11 D7:AG7">
    <cfRule type="expression" priority="1" stopIfTrue="1">
      <formula>C7=""</formula>
    </cfRule>
  </conditionalFormatting>
  <conditionalFormatting sqref="C8:AG11 D7:AG7">
    <cfRule type="expression" dxfId="231" priority="2" stopIfTrue="1">
      <formula>C7=KeyCustom2</formula>
    </cfRule>
    <cfRule type="expression" dxfId="230" priority="3" stopIfTrue="1">
      <formula>C7=KeyCustom1</formula>
    </cfRule>
    <cfRule type="expression" dxfId="229" priority="4" stopIfTrue="1">
      <formula>C7=KeySick</formula>
    </cfRule>
    <cfRule type="expression" dxfId="228" priority="5" stopIfTrue="1">
      <formula>C7=KeyPersonal</formula>
    </cfRule>
    <cfRule type="expression" dxfId="227"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{5E94D469-7B22-408B-924D-8DC8A136AD3B}</x14:id>
        </ext>
      </extLst>
    </cfRule>
  </conditionalFormatting>
  <dataValidations xWindow="31" yWindow="876" count="14">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 allowBlank="1" showInputMessage="1" showErrorMessage="1" prompt="Año actualizado de forma automática en función del año introducido en la hoja de cálculo de enero" sqref="AH4"/>
    <dataValidation allowBlank="1" showInputMessage="1" showErrorMessage="1" prompt="Cálculo automático del número total de días que un empleado ha estado ausente este mes en esta columna" sqref="AH6"/>
    <dataValidation allowBlank="1" showInputMessage="1" showErrorMessage="1" prompt="Realice un seguimiento de las ausencias de junio en esta hoja de cálculo." sqref="A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El título se actualiza automáticamente en esta celda. Para modificar el título, actualice la celda B1 en la hoja de cálculo de enero." sqref="B1"/>
    <dataValidation allowBlank="1" showInputMessage="1" showErrorMessage="1" prompt="La letra “V” indica una ausencia por vacaciones" sqref="C2"/>
    <dataValidation allowBlank="1" showInputMessage="1" showErrorMessage="1" prompt="La letra “P” indica una ausencia por motivos personales" sqref="G2"/>
    <dataValidation allowBlank="1" showInputMessage="1" showErrorMessage="1" prompt="La letra “E” indica una ausencia por enfermedad" sqref="K2"/>
    <dataValidation allowBlank="1" showInputMessage="1" showErrorMessage="1" prompt="Escriba una letra y personalice la etiqueta de la derecha para agregar otro elemento clave." sqref="P2 U2"/>
    <dataValidation allowBlank="1" showInputMessage="1" showErrorMessage="1" prompt="Escriba una etiqueta para describir la clave personalizada de la izquierda." sqref="Q2 V2"/>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s>
  <printOptions horizontalCentered="1"/>
  <pageMargins left="0.25" right="0.25" top="0.75" bottom="0.75" header="0.3" footer="0.3"/>
  <pageSetup paperSize="9" scale="70" fitToHeight="0" orientation="landscape" r:id="rId1"/>
  <headerFooter differentFirst="1">
    <oddFooter>Page &amp;P of &amp;N</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5E94D469-7B22-408B-924D-8DC8A136AD3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31" yWindow="876" count="1">
        <x14:dataValidation type="list" allowBlank="1" showInputMessage="1" showErrorMessage="1">
          <x14:formula1>
            <xm:f>'Nombres de los empleados'!$B$4:$B$8</xm:f>
          </x14:formula1>
          <xm:sqref>B7:B11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pageSetUpPr fitToPage="1"/>
  </sheetPr>
  <dimension ref="A1:AH20"/>
  <sheetViews>
    <sheetView showGridLines="0" zoomScale="90" zoomScaleNormal="90" workbookViewId="0"/>
  </sheetViews>
  <sheetFormatPr baseColWidth="10" defaultColWidth="9.140625" defaultRowHeight="15"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2:34" ht="33.75" x14ac:dyDescent="0.25">
      <c r="B1" s="13" t="str">
        <f>Employee_Absence_Title</f>
        <v>Programación Infraestructura</v>
      </c>
    </row>
    <row r="2" spans="2:34" x14ac:dyDescent="0.25">
      <c r="B2" s="17" t="s">
        <v>0</v>
      </c>
      <c r="C2" s="3" t="s">
        <v>3</v>
      </c>
      <c r="D2" s="60" t="s">
        <v>5</v>
      </c>
      <c r="E2" s="60"/>
      <c r="F2" s="60"/>
      <c r="G2" s="4" t="s">
        <v>8</v>
      </c>
      <c r="H2" s="61" t="s">
        <v>68</v>
      </c>
      <c r="I2" s="60"/>
      <c r="J2" s="60"/>
      <c r="K2" s="5" t="s">
        <v>10</v>
      </c>
      <c r="L2" s="60" t="s">
        <v>17</v>
      </c>
      <c r="M2" s="60"/>
      <c r="N2" s="60"/>
      <c r="O2" s="60"/>
      <c r="P2" s="6" t="s">
        <v>66</v>
      </c>
      <c r="Q2" s="61" t="s">
        <v>64</v>
      </c>
      <c r="R2" s="60"/>
      <c r="S2" s="60"/>
      <c r="T2" s="60"/>
      <c r="U2" s="7" t="s">
        <v>67</v>
      </c>
      <c r="V2" s="61" t="s">
        <v>65</v>
      </c>
      <c r="W2" s="60"/>
      <c r="X2" s="60"/>
      <c r="Y2" s="60"/>
      <c r="Z2" s="58"/>
      <c r="AA2" s="10" t="s">
        <v>69</v>
      </c>
    </row>
    <row r="3" spans="2:34" ht="33.75" x14ac:dyDescent="0.25">
      <c r="B3" s="13"/>
    </row>
    <row r="4" spans="2:34" ht="24" thickBot="1" x14ac:dyDescent="0.3">
      <c r="B4" s="11" t="s">
        <v>51</v>
      </c>
      <c r="C4" s="59" t="s">
        <v>70</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2:34" ht="23.25" x14ac:dyDescent="0.25">
      <c r="B5" s="11"/>
      <c r="C5" s="50" t="str">
        <f>TEXT(WEEKDAY(DATE(CalendarYear,7,1),1),"ddd")</f>
        <v>lun</v>
      </c>
      <c r="D5" s="26" t="str">
        <f>TEXT(WEEKDAY(DATE(CalendarYear,7,2),1),"ddd")</f>
        <v>mar</v>
      </c>
      <c r="E5" s="26" t="str">
        <f>TEXT(WEEKDAY(DATE(CalendarYear,7,3),1),"ddd")</f>
        <v>mié</v>
      </c>
      <c r="F5" s="26" t="str">
        <f>TEXT(WEEKDAY(DATE(CalendarYear,7,4),1),"ddd")</f>
        <v>jue</v>
      </c>
      <c r="G5" s="27" t="str">
        <f>TEXT(WEEKDAY(DATE(CalendarYear,7,5),1),"ddd")</f>
        <v>vie</v>
      </c>
      <c r="H5" s="1" t="str">
        <f>TEXT(WEEKDAY(DATE(CalendarYear,7,6),1),"ddd")</f>
        <v>sáb</v>
      </c>
      <c r="I5" s="1" t="str">
        <f>TEXT(WEEKDAY(DATE(CalendarYear,7,7),1),"ddd")</f>
        <v>dom</v>
      </c>
      <c r="J5" s="25" t="str">
        <f>TEXT(WEEKDAY(DATE(CalendarYear,7,8),1),"ddd")</f>
        <v>lun</v>
      </c>
      <c r="K5" s="26" t="str">
        <f>TEXT(WEEKDAY(DATE(CalendarYear,7,9),1),"ddd")</f>
        <v>mar</v>
      </c>
      <c r="L5" s="26" t="str">
        <f>TEXT(WEEKDAY(DATE(CalendarYear,7,10),1),"ddd")</f>
        <v>mié</v>
      </c>
      <c r="M5" s="26" t="str">
        <f>TEXT(WEEKDAY(DATE(CalendarYear,7,11),1),"ddd")</f>
        <v>jue</v>
      </c>
      <c r="N5" s="27" t="str">
        <f>TEXT(WEEKDAY(DATE(CalendarYear,7,12),1),"ddd")</f>
        <v>vie</v>
      </c>
      <c r="O5" s="1" t="str">
        <f>TEXT(WEEKDAY(DATE(CalendarYear,7,13),1),"ddd")</f>
        <v>sáb</v>
      </c>
      <c r="P5" s="1" t="str">
        <f>TEXT(WEEKDAY(DATE(CalendarYear,7,14),1),"ddd")</f>
        <v>dom</v>
      </c>
      <c r="Q5" s="25" t="str">
        <f>TEXT(WEEKDAY(DATE(CalendarYear,7,15),1),"ddd")</f>
        <v>lun</v>
      </c>
      <c r="R5" s="26" t="str">
        <f>TEXT(WEEKDAY(DATE(CalendarYear,7,16),1),"ddd")</f>
        <v>mar</v>
      </c>
      <c r="S5" s="26" t="str">
        <f>TEXT(WEEKDAY(DATE(CalendarYear,7,17),1),"ddd")</f>
        <v>mié</v>
      </c>
      <c r="T5" s="26" t="str">
        <f>TEXT(WEEKDAY(DATE(CalendarYear,7,18),1),"ddd")</f>
        <v>jue</v>
      </c>
      <c r="U5" s="27" t="str">
        <f>TEXT(WEEKDAY(DATE(CalendarYear,7,19),1),"ddd")</f>
        <v>vie</v>
      </c>
      <c r="V5" s="1" t="str">
        <f>TEXT(WEEKDAY(DATE(CalendarYear,7,20),1),"ddd")</f>
        <v>sáb</v>
      </c>
      <c r="W5" s="1" t="str">
        <f>TEXT(WEEKDAY(DATE(CalendarYear,7,21),1),"ddd")</f>
        <v>dom</v>
      </c>
      <c r="X5" s="25" t="str">
        <f>TEXT(WEEKDAY(DATE(CalendarYear,7,22),1),"ddd")</f>
        <v>lun</v>
      </c>
      <c r="Y5" s="26" t="str">
        <f>TEXT(WEEKDAY(DATE(CalendarYear,7,23),1),"ddd")</f>
        <v>mar</v>
      </c>
      <c r="Z5" s="26" t="str">
        <f>TEXT(WEEKDAY(DATE(CalendarYear,7,24),1),"ddd")</f>
        <v>mié</v>
      </c>
      <c r="AA5" s="26" t="str">
        <f>TEXT(WEEKDAY(DATE(CalendarYear,7,25),1),"ddd")</f>
        <v>jue</v>
      </c>
      <c r="AB5" s="27" t="str">
        <f>TEXT(WEEKDAY(DATE(CalendarYear,7,26),1),"ddd")</f>
        <v>vie</v>
      </c>
      <c r="AC5" s="1" t="str">
        <f>TEXT(WEEKDAY(DATE(CalendarYear,7,27),1),"ddd")</f>
        <v>sáb</v>
      </c>
      <c r="AD5" s="1" t="str">
        <f>TEXT(WEEKDAY(DATE(CalendarYear,7,28),1),"ddd")</f>
        <v>dom</v>
      </c>
      <c r="AE5" s="25" t="str">
        <f>TEXT(WEEKDAY(DATE(CalendarYear,7,29),1),"ddd")</f>
        <v>lun</v>
      </c>
      <c r="AF5" s="26" t="str">
        <f>TEXT(WEEKDAY(DATE(CalendarYear,7,30),1),"ddd")</f>
        <v>mar</v>
      </c>
      <c r="AG5" s="27" t="str">
        <f>TEXT(WEEKDAY(DATE(CalendarYear,7,31),1),"ddd")</f>
        <v>mié</v>
      </c>
      <c r="AH5" s="11"/>
    </row>
    <row r="6" spans="2:34" x14ac:dyDescent="0.25">
      <c r="B6" s="14" t="s">
        <v>2</v>
      </c>
      <c r="C6" s="51" t="s">
        <v>4</v>
      </c>
      <c r="D6" s="44" t="s">
        <v>6</v>
      </c>
      <c r="E6" s="44" t="s">
        <v>7</v>
      </c>
      <c r="F6" s="44" t="s">
        <v>9</v>
      </c>
      <c r="G6" s="46" t="s">
        <v>11</v>
      </c>
      <c r="H6" s="44" t="s">
        <v>13</v>
      </c>
      <c r="I6" s="44" t="s">
        <v>14</v>
      </c>
      <c r="J6" s="45" t="s">
        <v>15</v>
      </c>
      <c r="K6" s="44" t="s">
        <v>16</v>
      </c>
      <c r="L6" s="44" t="s">
        <v>18</v>
      </c>
      <c r="M6" s="44" t="s">
        <v>19</v>
      </c>
      <c r="N6" s="46" t="s">
        <v>20</v>
      </c>
      <c r="O6" s="44" t="s">
        <v>22</v>
      </c>
      <c r="P6" s="44" t="s">
        <v>23</v>
      </c>
      <c r="Q6" s="45" t="s">
        <v>24</v>
      </c>
      <c r="R6" s="44" t="s">
        <v>25</v>
      </c>
      <c r="S6" s="44" t="s">
        <v>27</v>
      </c>
      <c r="T6" s="44" t="s">
        <v>28</v>
      </c>
      <c r="U6" s="46" t="s">
        <v>29</v>
      </c>
      <c r="V6" s="44" t="s">
        <v>30</v>
      </c>
      <c r="W6" s="44" t="s">
        <v>31</v>
      </c>
      <c r="X6" s="45" t="s">
        <v>32</v>
      </c>
      <c r="Y6" s="44" t="s">
        <v>33</v>
      </c>
      <c r="Z6" s="44" t="s">
        <v>34</v>
      </c>
      <c r="AA6" s="44" t="s">
        <v>35</v>
      </c>
      <c r="AB6" s="46" t="s">
        <v>36</v>
      </c>
      <c r="AC6" s="44" t="s">
        <v>37</v>
      </c>
      <c r="AD6" s="44" t="s">
        <v>38</v>
      </c>
      <c r="AE6" s="45" t="s">
        <v>39</v>
      </c>
      <c r="AF6" s="44" t="s">
        <v>40</v>
      </c>
      <c r="AG6" s="46" t="s">
        <v>41</v>
      </c>
      <c r="AH6" s="15" t="s">
        <v>43</v>
      </c>
    </row>
    <row r="7" spans="2:34" x14ac:dyDescent="0.25">
      <c r="B7" s="16" t="s">
        <v>59</v>
      </c>
      <c r="C7" s="51"/>
      <c r="D7" s="2" t="s">
        <v>66</v>
      </c>
      <c r="E7" s="2" t="s">
        <v>66</v>
      </c>
      <c r="F7" s="2" t="s">
        <v>66</v>
      </c>
      <c r="G7" s="29" t="s">
        <v>66</v>
      </c>
      <c r="H7" s="2"/>
      <c r="I7" s="2"/>
      <c r="J7" s="28" t="s">
        <v>67</v>
      </c>
      <c r="K7" s="2" t="s">
        <v>67</v>
      </c>
      <c r="L7" s="2" t="s">
        <v>67</v>
      </c>
      <c r="M7" s="2" t="s">
        <v>67</v>
      </c>
      <c r="N7" s="29" t="s">
        <v>67</v>
      </c>
      <c r="O7" s="2"/>
      <c r="P7" s="2"/>
      <c r="Q7" s="28" t="s">
        <v>66</v>
      </c>
      <c r="R7" s="2" t="s">
        <v>66</v>
      </c>
      <c r="S7" s="2" t="s">
        <v>66</v>
      </c>
      <c r="T7" s="2" t="s">
        <v>66</v>
      </c>
      <c r="U7" s="29" t="s">
        <v>66</v>
      </c>
      <c r="V7" s="2"/>
      <c r="W7" s="2"/>
      <c r="X7" s="28" t="s">
        <v>67</v>
      </c>
      <c r="Y7" s="2" t="s">
        <v>67</v>
      </c>
      <c r="Z7" s="2" t="s">
        <v>67</v>
      </c>
      <c r="AA7" s="2" t="s">
        <v>67</v>
      </c>
      <c r="AB7" s="29" t="s">
        <v>67</v>
      </c>
      <c r="AC7" s="2"/>
      <c r="AD7" s="2"/>
      <c r="AE7" s="28" t="s">
        <v>66</v>
      </c>
      <c r="AF7" s="2" t="s">
        <v>66</v>
      </c>
      <c r="AG7" s="29" t="s">
        <v>66</v>
      </c>
      <c r="AH7" s="9">
        <f>COUNTA(Julio[[#This Row],[1]:[31]])</f>
        <v>22</v>
      </c>
    </row>
    <row r="8" spans="2:34" x14ac:dyDescent="0.25">
      <c r="B8" s="16" t="s">
        <v>61</v>
      </c>
      <c r="C8" s="51"/>
      <c r="D8" s="2" t="s">
        <v>67</v>
      </c>
      <c r="E8" s="2" t="s">
        <v>67</v>
      </c>
      <c r="F8" s="2" t="s">
        <v>67</v>
      </c>
      <c r="G8" s="29" t="s">
        <v>67</v>
      </c>
      <c r="H8" s="2"/>
      <c r="I8" s="2"/>
      <c r="J8" s="28" t="s">
        <v>66</v>
      </c>
      <c r="K8" s="2" t="s">
        <v>66</v>
      </c>
      <c r="L8" s="2" t="s">
        <v>66</v>
      </c>
      <c r="M8" s="2" t="s">
        <v>66</v>
      </c>
      <c r="N8" s="29" t="s">
        <v>66</v>
      </c>
      <c r="O8" s="2"/>
      <c r="P8" s="2"/>
      <c r="Q8" s="28" t="s">
        <v>67</v>
      </c>
      <c r="R8" s="2" t="s">
        <v>67</v>
      </c>
      <c r="S8" s="2" t="s">
        <v>67</v>
      </c>
      <c r="T8" s="2" t="s">
        <v>67</v>
      </c>
      <c r="U8" s="29" t="s">
        <v>67</v>
      </c>
      <c r="V8" s="2"/>
      <c r="W8" s="2"/>
      <c r="X8" s="28" t="s">
        <v>66</v>
      </c>
      <c r="Y8" s="2" t="s">
        <v>66</v>
      </c>
      <c r="Z8" s="2" t="s">
        <v>66</v>
      </c>
      <c r="AA8" s="2" t="s">
        <v>66</v>
      </c>
      <c r="AB8" s="29" t="s">
        <v>66</v>
      </c>
      <c r="AC8" s="2"/>
      <c r="AD8" s="2"/>
      <c r="AE8" s="28" t="s">
        <v>67</v>
      </c>
      <c r="AF8" s="2" t="s">
        <v>67</v>
      </c>
      <c r="AG8" s="29" t="s">
        <v>67</v>
      </c>
      <c r="AH8" s="9">
        <f>COUNTA(Julio[[#This Row],[1]:[31]])</f>
        <v>22</v>
      </c>
    </row>
    <row r="9" spans="2:34" x14ac:dyDescent="0.25">
      <c r="B9" s="16" t="s">
        <v>60</v>
      </c>
      <c r="C9" s="51"/>
      <c r="D9" s="2" t="s">
        <v>66</v>
      </c>
      <c r="E9" s="2" t="s">
        <v>66</v>
      </c>
      <c r="F9" s="2" t="s">
        <v>66</v>
      </c>
      <c r="G9" s="29" t="s">
        <v>66</v>
      </c>
      <c r="H9" s="2"/>
      <c r="I9" s="2"/>
      <c r="J9" s="28" t="s">
        <v>67</v>
      </c>
      <c r="K9" s="2" t="s">
        <v>67</v>
      </c>
      <c r="L9" s="2" t="s">
        <v>67</v>
      </c>
      <c r="M9" s="2" t="s">
        <v>67</v>
      </c>
      <c r="N9" s="29" t="s">
        <v>67</v>
      </c>
      <c r="O9" s="2"/>
      <c r="P9" s="2"/>
      <c r="Q9" s="28" t="s">
        <v>66</v>
      </c>
      <c r="R9" s="2" t="s">
        <v>66</v>
      </c>
      <c r="S9" s="2" t="s">
        <v>66</v>
      </c>
      <c r="T9" s="2" t="s">
        <v>66</v>
      </c>
      <c r="U9" s="29" t="s">
        <v>66</v>
      </c>
      <c r="V9" s="2"/>
      <c r="W9" s="2"/>
      <c r="X9" s="28" t="s">
        <v>67</v>
      </c>
      <c r="Y9" s="2" t="s">
        <v>67</v>
      </c>
      <c r="Z9" s="2" t="s">
        <v>67</v>
      </c>
      <c r="AA9" s="2" t="s">
        <v>67</v>
      </c>
      <c r="AB9" s="29" t="s">
        <v>67</v>
      </c>
      <c r="AC9" s="2"/>
      <c r="AD9" s="2"/>
      <c r="AE9" s="28" t="s">
        <v>66</v>
      </c>
      <c r="AF9" s="2" t="s">
        <v>66</v>
      </c>
      <c r="AG9" s="29" t="s">
        <v>66</v>
      </c>
      <c r="AH9" s="9">
        <f>COUNTA(Julio[[#This Row],[1]:[31]])</f>
        <v>22</v>
      </c>
    </row>
    <row r="10" spans="2:34" x14ac:dyDescent="0.25">
      <c r="B10" s="16" t="s">
        <v>62</v>
      </c>
      <c r="C10" s="51"/>
      <c r="D10" s="2" t="s">
        <v>67</v>
      </c>
      <c r="E10" s="2" t="s">
        <v>67</v>
      </c>
      <c r="F10" s="2" t="s">
        <v>67</v>
      </c>
      <c r="G10" s="29" t="s">
        <v>67</v>
      </c>
      <c r="H10" s="2"/>
      <c r="I10" s="2"/>
      <c r="J10" s="28" t="s">
        <v>66</v>
      </c>
      <c r="K10" s="2" t="s">
        <v>66</v>
      </c>
      <c r="L10" s="2" t="s">
        <v>66</v>
      </c>
      <c r="M10" s="2" t="s">
        <v>66</v>
      </c>
      <c r="N10" s="29" t="s">
        <v>66</v>
      </c>
      <c r="O10" s="2"/>
      <c r="P10" s="2"/>
      <c r="Q10" s="28" t="s">
        <v>67</v>
      </c>
      <c r="R10" s="2" t="s">
        <v>67</v>
      </c>
      <c r="S10" s="2" t="s">
        <v>67</v>
      </c>
      <c r="T10" s="2" t="s">
        <v>67</v>
      </c>
      <c r="U10" s="29" t="s">
        <v>67</v>
      </c>
      <c r="V10" s="2"/>
      <c r="W10" s="2"/>
      <c r="X10" s="28" t="s">
        <v>66</v>
      </c>
      <c r="Y10" s="2" t="s">
        <v>66</v>
      </c>
      <c r="Z10" s="2" t="s">
        <v>66</v>
      </c>
      <c r="AA10" s="2" t="s">
        <v>66</v>
      </c>
      <c r="AB10" s="29" t="s">
        <v>66</v>
      </c>
      <c r="AC10" s="2"/>
      <c r="AD10" s="2"/>
      <c r="AE10" s="28" t="s">
        <v>67</v>
      </c>
      <c r="AF10" s="2" t="s">
        <v>67</v>
      </c>
      <c r="AG10" s="29" t="s">
        <v>67</v>
      </c>
      <c r="AH10" s="9">
        <f>COUNTA(Julio[[#This Row],[1]:[31]])</f>
        <v>22</v>
      </c>
    </row>
    <row r="11" spans="2:34" x14ac:dyDescent="0.25">
      <c r="B11" s="16" t="s">
        <v>63</v>
      </c>
      <c r="C11" s="51"/>
      <c r="D11" s="2" t="s">
        <v>66</v>
      </c>
      <c r="E11" s="2" t="s">
        <v>66</v>
      </c>
      <c r="F11" s="2" t="s">
        <v>66</v>
      </c>
      <c r="G11" s="29" t="s">
        <v>66</v>
      </c>
      <c r="H11" s="2"/>
      <c r="I11" s="2"/>
      <c r="J11" s="28" t="s">
        <v>67</v>
      </c>
      <c r="K11" s="2" t="s">
        <v>67</v>
      </c>
      <c r="L11" s="2" t="s">
        <v>67</v>
      </c>
      <c r="M11" s="2" t="s">
        <v>67</v>
      </c>
      <c r="N11" s="29" t="s">
        <v>67</v>
      </c>
      <c r="O11" s="2"/>
      <c r="P11" s="2"/>
      <c r="Q11" s="28" t="s">
        <v>66</v>
      </c>
      <c r="R11" s="2" t="s">
        <v>66</v>
      </c>
      <c r="S11" s="2" t="s">
        <v>66</v>
      </c>
      <c r="T11" s="2" t="s">
        <v>66</v>
      </c>
      <c r="U11" s="29" t="s">
        <v>66</v>
      </c>
      <c r="V11" s="2"/>
      <c r="W11" s="2"/>
      <c r="X11" s="28" t="s">
        <v>67</v>
      </c>
      <c r="Y11" s="2" t="s">
        <v>67</v>
      </c>
      <c r="Z11" s="2" t="s">
        <v>67</v>
      </c>
      <c r="AA11" s="2" t="s">
        <v>67</v>
      </c>
      <c r="AB11" s="29" t="s">
        <v>67</v>
      </c>
      <c r="AC11" s="2"/>
      <c r="AD11" s="2"/>
      <c r="AE11" s="28" t="s">
        <v>66</v>
      </c>
      <c r="AF11" s="2" t="s">
        <v>66</v>
      </c>
      <c r="AG11" s="29" t="s">
        <v>66</v>
      </c>
      <c r="AH11" s="9">
        <f>COUNTA(Julio[[#This Row],[1]:[31]])</f>
        <v>22</v>
      </c>
    </row>
    <row r="12" spans="2:34" ht="15.75" thickBot="1" x14ac:dyDescent="0.3">
      <c r="B12" s="19" t="str">
        <f>MonthName&amp;" Total"</f>
        <v>Julio Total</v>
      </c>
      <c r="C12" s="52">
        <f>SUBTOTAL(103,Julio[1])</f>
        <v>0</v>
      </c>
      <c r="D12" s="32">
        <f>SUBTOTAL(103,Julio[2])</f>
        <v>5</v>
      </c>
      <c r="E12" s="32">
        <f>SUBTOTAL(103,Julio[3])</f>
        <v>5</v>
      </c>
      <c r="F12" s="32">
        <f>SUBTOTAL(103,Julio[4])</f>
        <v>5</v>
      </c>
      <c r="G12" s="33">
        <f>SUBTOTAL(103,Julio[5])</f>
        <v>5</v>
      </c>
      <c r="H12" s="12">
        <f>SUBTOTAL(103,Julio[6])</f>
        <v>0</v>
      </c>
      <c r="I12" s="12">
        <f>SUBTOTAL(103,Julio[7])</f>
        <v>0</v>
      </c>
      <c r="J12" s="31">
        <f>SUBTOTAL(103,Julio[8])</f>
        <v>5</v>
      </c>
      <c r="K12" s="32">
        <f>SUBTOTAL(103,Julio[9])</f>
        <v>5</v>
      </c>
      <c r="L12" s="32">
        <f>SUBTOTAL(103,Julio[10])</f>
        <v>5</v>
      </c>
      <c r="M12" s="32">
        <f>SUBTOTAL(103,Julio[11])</f>
        <v>5</v>
      </c>
      <c r="N12" s="33">
        <f>SUBTOTAL(103,Julio[12])</f>
        <v>5</v>
      </c>
      <c r="O12" s="12">
        <f>SUBTOTAL(103,Julio[13])</f>
        <v>0</v>
      </c>
      <c r="P12" s="12">
        <f>SUBTOTAL(103,Julio[14])</f>
        <v>0</v>
      </c>
      <c r="Q12" s="31">
        <f>SUBTOTAL(103,Julio[15])</f>
        <v>5</v>
      </c>
      <c r="R12" s="32">
        <f>SUBTOTAL(103,Julio[16])</f>
        <v>5</v>
      </c>
      <c r="S12" s="32">
        <f>SUBTOTAL(103,Julio[17])</f>
        <v>5</v>
      </c>
      <c r="T12" s="32">
        <f>SUBTOTAL(103,Julio[18])</f>
        <v>5</v>
      </c>
      <c r="U12" s="33">
        <f>SUBTOTAL(103,Julio[19])</f>
        <v>5</v>
      </c>
      <c r="V12" s="12">
        <f>SUBTOTAL(103,Julio[20])</f>
        <v>0</v>
      </c>
      <c r="W12" s="12">
        <f>SUBTOTAL(103,Julio[21])</f>
        <v>0</v>
      </c>
      <c r="X12" s="31">
        <f>SUBTOTAL(103,Julio[22])</f>
        <v>5</v>
      </c>
      <c r="Y12" s="32">
        <f>SUBTOTAL(103,Julio[23])</f>
        <v>5</v>
      </c>
      <c r="Z12" s="32">
        <f>SUBTOTAL(103,Julio[24])</f>
        <v>5</v>
      </c>
      <c r="AA12" s="32">
        <f>SUBTOTAL(103,Julio[25])</f>
        <v>5</v>
      </c>
      <c r="AB12" s="33">
        <f>SUBTOTAL(103,Julio[26])</f>
        <v>5</v>
      </c>
      <c r="AC12" s="12">
        <f>SUBTOTAL(103,Julio[27])</f>
        <v>0</v>
      </c>
      <c r="AD12" s="12">
        <f>SUBTOTAL(103,Julio[28])</f>
        <v>0</v>
      </c>
      <c r="AE12" s="31">
        <f>SUBTOTAL(103,Julio[29])</f>
        <v>5</v>
      </c>
      <c r="AF12" s="32">
        <f>SUBTOTAL(109,Julio[30])</f>
        <v>0</v>
      </c>
      <c r="AG12" s="33">
        <f>SUBTOTAL(109,Julio[31])</f>
        <v>0</v>
      </c>
      <c r="AH12" s="12">
        <f>SUBTOTAL(109,Julio[Número total de días])</f>
        <v>110</v>
      </c>
    </row>
    <row r="20" spans="22:22" x14ac:dyDescent="0.25">
      <c r="V20" s="21"/>
    </row>
  </sheetData>
  <mergeCells count="6">
    <mergeCell ref="C4:AG4"/>
    <mergeCell ref="D2:F2"/>
    <mergeCell ref="H2:J2"/>
    <mergeCell ref="L2:O2"/>
    <mergeCell ref="Q2:T2"/>
    <mergeCell ref="V2:Y2"/>
  </mergeCells>
  <conditionalFormatting sqref="C8:AG11 D7:AG7">
    <cfRule type="expression" priority="7" stopIfTrue="1">
      <formula>C7=""</formula>
    </cfRule>
  </conditionalFormatting>
  <conditionalFormatting sqref="C8:AG11 D7:AG7">
    <cfRule type="expression" dxfId="226" priority="8" stopIfTrue="1">
      <formula>C7=KeyCustom2</formula>
    </cfRule>
    <cfRule type="expression" dxfId="225" priority="9" stopIfTrue="1">
      <formula>C7=KeyCustom1</formula>
    </cfRule>
    <cfRule type="expression" dxfId="224" priority="10" stopIfTrue="1">
      <formula>C7=KeySick</formula>
    </cfRule>
    <cfRule type="expression" dxfId="223" priority="11" stopIfTrue="1">
      <formula>C7=KeyPersonal</formula>
    </cfRule>
    <cfRule type="expression" dxfId="222" priority="12" stopIfTrue="1">
      <formula>C7=KeyVacation</formula>
    </cfRule>
  </conditionalFormatting>
  <conditionalFormatting sqref="AH7:AH11">
    <cfRule type="dataBar" priority="13">
      <dataBar>
        <cfvo type="min"/>
        <cfvo type="formula" val="DATEDIF(DATE(CalendarYear,2,1),DATE(CalendarYear,3,1),&quot;d&quot;)"/>
        <color theme="2" tint="-0.249977111117893"/>
      </dataBar>
      <extLst>
        <ext xmlns:x14="http://schemas.microsoft.com/office/spreadsheetml/2009/9/main" uri="{B025F937-C7B1-47D3-B67F-A62EFF666E3E}">
          <x14:id>{E0DCF129-9B2A-4CEB-9E56-27607F4BED20}</x14:id>
        </ext>
      </extLst>
    </cfRule>
  </conditionalFormatting>
  <conditionalFormatting sqref="C7">
    <cfRule type="expression" priority="1" stopIfTrue="1">
      <formula>C7=""</formula>
    </cfRule>
  </conditionalFormatting>
  <conditionalFormatting sqref="C7">
    <cfRule type="expression" dxfId="221" priority="2" stopIfTrue="1">
      <formula>C7=KeyCustom2</formula>
    </cfRule>
    <cfRule type="expression" dxfId="220" priority="3" stopIfTrue="1">
      <formula>C7=KeyCustom1</formula>
    </cfRule>
    <cfRule type="expression" dxfId="219" priority="4" stopIfTrue="1">
      <formula>C7=KeySick</formula>
    </cfRule>
    <cfRule type="expression" dxfId="218" priority="5" stopIfTrue="1">
      <formula>C7=KeyPersonal</formula>
    </cfRule>
    <cfRule type="expression" dxfId="217" priority="6" stopIfTrue="1">
      <formula>C7=KeyVacation</formula>
    </cfRule>
  </conditionalFormatting>
  <dataValidations xWindow="29" yWindow="880" count="14">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criba una etiqueta para describir la clave personalizada de la izquierda." sqref="Q2 V2"/>
    <dataValidation allowBlank="1" showInputMessage="1" showErrorMessage="1" prompt="Escriba una letra y personalice la etiqueta de la derecha para agregar otro elemento clave." sqref="P2 U2"/>
    <dataValidation allowBlank="1" showInputMessage="1" showErrorMessage="1" prompt="La letra “E” indica una ausencia por enfermedad" sqref="K2"/>
    <dataValidation allowBlank="1" showInputMessage="1" showErrorMessage="1" prompt="La letra “P” indica una ausencia por motivos personales" sqref="G2"/>
    <dataValidation allowBlank="1" showInputMessage="1" showErrorMessage="1" prompt="La letra “V” indica una ausencia por vacaciones" sqref="C2"/>
    <dataValidation allowBlank="1" showInputMessage="1" showErrorMessage="1" prompt="El título se actualiza automáticamente en esta celda. Para modificar el título, actualice la celda B1 en la hoja de cálculo de enero." sqref="B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Realice un seguimiento de las ausencias de julio en esta hoja de cálculo." sqref="A1"/>
    <dataValidation allowBlank="1" showInputMessage="1" showErrorMessage="1" prompt="Cálculo automático del número total de días que un empleado ha estado ausente este mes en esta columna" sqref="AH6"/>
    <dataValidation allowBlank="1" showInputMessage="1" showErrorMessage="1" prompt="Año actualizado de forma automática en función del año introducido en la hoja de cálculo de enero" sqref="AH4"/>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s>
  <printOptions horizontalCentered="1"/>
  <pageMargins left="0.25" right="0.25" top="0.75" bottom="0.75" header="0.3" footer="0.3"/>
  <pageSetup paperSize="9" scale="70" fitToHeight="0" orientation="landscape" r:id="rId1"/>
  <headerFooter differentFirst="1">
    <oddFooter>Page &amp;P of &amp;N</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0DCF129-9B2A-4CEB-9E56-27607F4BED20}">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29" yWindow="880" count="1">
        <x14:dataValidation type="list" allowBlank="1" showInputMessage="1" showErrorMessage="1">
          <x14:formula1>
            <xm:f>'Nombres de los empleados'!$B$4:$B$8</xm:f>
          </x14:formula1>
          <xm:sqref>B7:B11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749992370372631"/>
    <pageSetUpPr fitToPage="1"/>
  </sheetPr>
  <dimension ref="A1:AH20"/>
  <sheetViews>
    <sheetView showGridLines="0" zoomScale="90" zoomScaleNormal="90" workbookViewId="0"/>
  </sheetViews>
  <sheetFormatPr baseColWidth="10" defaultColWidth="9.140625" defaultRowHeight="15"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2:34" ht="33.75" x14ac:dyDescent="0.25">
      <c r="B1" s="13" t="str">
        <f>Employee_Absence_Title</f>
        <v>Programación Infraestructura</v>
      </c>
    </row>
    <row r="2" spans="2:34" x14ac:dyDescent="0.25">
      <c r="B2" s="17" t="s">
        <v>0</v>
      </c>
      <c r="C2" s="3" t="s">
        <v>3</v>
      </c>
      <c r="D2" s="60" t="s">
        <v>5</v>
      </c>
      <c r="E2" s="60"/>
      <c r="F2" s="60"/>
      <c r="G2" s="4" t="s">
        <v>8</v>
      </c>
      <c r="H2" s="60" t="s">
        <v>12</v>
      </c>
      <c r="I2" s="60"/>
      <c r="J2" s="60"/>
      <c r="K2" s="5" t="s">
        <v>10</v>
      </c>
      <c r="L2" s="60" t="s">
        <v>17</v>
      </c>
      <c r="M2" s="60"/>
      <c r="N2" s="60"/>
      <c r="O2" s="60"/>
      <c r="P2" s="6" t="s">
        <v>66</v>
      </c>
      <c r="Q2" s="61" t="s">
        <v>64</v>
      </c>
      <c r="R2" s="60"/>
      <c r="S2" s="60"/>
      <c r="T2" s="60"/>
      <c r="U2" s="7" t="s">
        <v>67</v>
      </c>
      <c r="V2" s="61" t="s">
        <v>65</v>
      </c>
      <c r="W2" s="60"/>
      <c r="X2" s="60"/>
      <c r="Y2" s="60"/>
      <c r="Z2" s="58"/>
      <c r="AA2" s="10" t="s">
        <v>69</v>
      </c>
    </row>
    <row r="3" spans="2:34" ht="33.75" x14ac:dyDescent="0.25">
      <c r="B3" s="13"/>
    </row>
    <row r="4" spans="2:34" ht="24" thickBot="1" x14ac:dyDescent="0.3">
      <c r="B4" s="11" t="s">
        <v>52</v>
      </c>
      <c r="C4" s="59" t="s">
        <v>70</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2:34" ht="23.25" x14ac:dyDescent="0.25">
      <c r="B5" s="11"/>
      <c r="C5" s="25" t="str">
        <f>TEXT(WEEKDAY(DATE(CalendarYear,8,1),1),"ddd")</f>
        <v>jue</v>
      </c>
      <c r="D5" s="27" t="str">
        <f>TEXT(WEEKDAY(DATE(CalendarYear,8,2),1),"ddd")</f>
        <v>vie</v>
      </c>
      <c r="E5" s="1" t="str">
        <f>TEXT(WEEKDAY(DATE(CalendarYear,8,3),1),"ddd")</f>
        <v>sáb</v>
      </c>
      <c r="F5" s="1" t="str">
        <f>TEXT(WEEKDAY(DATE(CalendarYear,8,4),1),"ddd")</f>
        <v>dom</v>
      </c>
      <c r="G5" s="25" t="str">
        <f>TEXT(WEEKDAY(DATE(CalendarYear,8,5),1),"ddd")</f>
        <v>lun</v>
      </c>
      <c r="H5" s="26" t="str">
        <f>TEXT(WEEKDAY(DATE(CalendarYear,8,6),1),"ddd")</f>
        <v>mar</v>
      </c>
      <c r="I5" s="54" t="str">
        <f>TEXT(WEEKDAY(DATE(CalendarYear,8,7),1),"ddd")</f>
        <v>mié</v>
      </c>
      <c r="J5" s="26" t="str">
        <f>TEXT(WEEKDAY(DATE(CalendarYear,8,8),1),"ddd")</f>
        <v>jue</v>
      </c>
      <c r="K5" s="27" t="str">
        <f>TEXT(WEEKDAY(DATE(CalendarYear,8,9),1),"ddd")</f>
        <v>vie</v>
      </c>
      <c r="L5" s="1" t="str">
        <f>TEXT(WEEKDAY(DATE(CalendarYear,8,10),1),"ddd")</f>
        <v>sáb</v>
      </c>
      <c r="M5" s="1" t="str">
        <f>TEXT(WEEKDAY(DATE(CalendarYear,8,11),1),"ddd")</f>
        <v>dom</v>
      </c>
      <c r="N5" s="25" t="str">
        <f>TEXT(WEEKDAY(DATE(CalendarYear,8,12),1),"ddd")</f>
        <v>lun</v>
      </c>
      <c r="O5" s="26" t="str">
        <f>TEXT(WEEKDAY(DATE(CalendarYear,8,13),1),"ddd")</f>
        <v>mar</v>
      </c>
      <c r="P5" s="26" t="str">
        <f>TEXT(WEEKDAY(DATE(CalendarYear,8,14),1),"ddd")</f>
        <v>mié</v>
      </c>
      <c r="Q5" s="26" t="str">
        <f>TEXT(WEEKDAY(DATE(CalendarYear,8,15),1),"ddd")</f>
        <v>jue</v>
      </c>
      <c r="R5" s="27" t="str">
        <f>TEXT(WEEKDAY(DATE(CalendarYear,8,16),1),"ddd")</f>
        <v>vie</v>
      </c>
      <c r="S5" s="1" t="str">
        <f>TEXT(WEEKDAY(DATE(CalendarYear,8,17),1),"ddd")</f>
        <v>sáb</v>
      </c>
      <c r="T5" s="1" t="str">
        <f>TEXT(WEEKDAY(DATE(CalendarYear,8,18),1),"ddd")</f>
        <v>dom</v>
      </c>
      <c r="U5" s="50" t="str">
        <f>TEXT(WEEKDAY(DATE(CalendarYear,8,19),1),"ddd")</f>
        <v>lun</v>
      </c>
      <c r="V5" s="26" t="str">
        <f>TEXT(WEEKDAY(DATE(CalendarYear,8,20),1),"ddd")</f>
        <v>mar</v>
      </c>
      <c r="W5" s="26" t="str">
        <f>TEXT(WEEKDAY(DATE(CalendarYear,8,21),1),"ddd")</f>
        <v>mié</v>
      </c>
      <c r="X5" s="26" t="str">
        <f>TEXT(WEEKDAY(DATE(CalendarYear,8,22),1),"ddd")</f>
        <v>jue</v>
      </c>
      <c r="Y5" s="27" t="str">
        <f>TEXT(WEEKDAY(DATE(CalendarYear,8,23),1),"ddd")</f>
        <v>vie</v>
      </c>
      <c r="Z5" s="1" t="str">
        <f>TEXT(WEEKDAY(DATE(CalendarYear,8,24),1),"ddd")</f>
        <v>sáb</v>
      </c>
      <c r="AA5" s="1" t="str">
        <f>TEXT(WEEKDAY(DATE(CalendarYear,8,25),1),"ddd")</f>
        <v>dom</v>
      </c>
      <c r="AB5" s="25" t="str">
        <f>TEXT(WEEKDAY(DATE(CalendarYear,8,26),1),"ddd")</f>
        <v>lun</v>
      </c>
      <c r="AC5" s="26" t="str">
        <f>TEXT(WEEKDAY(DATE(CalendarYear,8,27),1),"ddd")</f>
        <v>mar</v>
      </c>
      <c r="AD5" s="26" t="str">
        <f>TEXT(WEEKDAY(DATE(CalendarYear,8,28),1),"ddd")</f>
        <v>mié</v>
      </c>
      <c r="AE5" s="26" t="str">
        <f>TEXT(WEEKDAY(DATE(CalendarYear,8,29),1),"ddd")</f>
        <v>jue</v>
      </c>
      <c r="AF5" s="27" t="str">
        <f>TEXT(WEEKDAY(DATE(CalendarYear,8,30),1),"ddd")</f>
        <v>vie</v>
      </c>
      <c r="AG5" s="1" t="str">
        <f>TEXT(WEEKDAY(DATE(CalendarYear,8,31),1),"ddd")</f>
        <v>sáb</v>
      </c>
      <c r="AH5" s="11"/>
    </row>
    <row r="6" spans="2:34" x14ac:dyDescent="0.25">
      <c r="B6" s="14" t="s">
        <v>2</v>
      </c>
      <c r="C6" s="45" t="s">
        <v>4</v>
      </c>
      <c r="D6" s="46" t="s">
        <v>6</v>
      </c>
      <c r="E6" s="44" t="s">
        <v>7</v>
      </c>
      <c r="F6" s="44" t="s">
        <v>9</v>
      </c>
      <c r="G6" s="45" t="s">
        <v>11</v>
      </c>
      <c r="H6" s="44" t="s">
        <v>13</v>
      </c>
      <c r="I6" s="55" t="s">
        <v>14</v>
      </c>
      <c r="J6" s="44" t="s">
        <v>15</v>
      </c>
      <c r="K6" s="46" t="s">
        <v>16</v>
      </c>
      <c r="L6" s="44" t="s">
        <v>18</v>
      </c>
      <c r="M6" s="44" t="s">
        <v>19</v>
      </c>
      <c r="N6" s="45" t="s">
        <v>20</v>
      </c>
      <c r="O6" s="44" t="s">
        <v>22</v>
      </c>
      <c r="P6" s="44" t="s">
        <v>23</v>
      </c>
      <c r="Q6" s="44" t="s">
        <v>24</v>
      </c>
      <c r="R6" s="46" t="s">
        <v>25</v>
      </c>
      <c r="S6" s="44" t="s">
        <v>27</v>
      </c>
      <c r="T6" s="44" t="s">
        <v>28</v>
      </c>
      <c r="U6" s="51" t="s">
        <v>29</v>
      </c>
      <c r="V6" s="44" t="s">
        <v>30</v>
      </c>
      <c r="W6" s="44" t="s">
        <v>31</v>
      </c>
      <c r="X6" s="44" t="s">
        <v>32</v>
      </c>
      <c r="Y6" s="46" t="s">
        <v>33</v>
      </c>
      <c r="Z6" s="44" t="s">
        <v>34</v>
      </c>
      <c r="AA6" s="44" t="s">
        <v>35</v>
      </c>
      <c r="AB6" s="45" t="s">
        <v>36</v>
      </c>
      <c r="AC6" s="44" t="s">
        <v>37</v>
      </c>
      <c r="AD6" s="44" t="s">
        <v>38</v>
      </c>
      <c r="AE6" s="44" t="s">
        <v>39</v>
      </c>
      <c r="AF6" s="46" t="s">
        <v>40</v>
      </c>
      <c r="AG6" s="44" t="s">
        <v>41</v>
      </c>
      <c r="AH6" s="15" t="s">
        <v>43</v>
      </c>
    </row>
    <row r="7" spans="2:34" x14ac:dyDescent="0.25">
      <c r="B7" s="16" t="s">
        <v>59</v>
      </c>
      <c r="C7" s="28"/>
      <c r="D7" s="29"/>
      <c r="E7" s="2"/>
      <c r="F7" s="2"/>
      <c r="G7" s="28"/>
      <c r="H7" s="2"/>
      <c r="I7" s="55"/>
      <c r="J7" s="2"/>
      <c r="K7" s="29"/>
      <c r="L7" s="2"/>
      <c r="M7" s="2"/>
      <c r="N7" s="28"/>
      <c r="O7" s="2"/>
      <c r="P7" s="2"/>
      <c r="Q7" s="2"/>
      <c r="R7" s="29"/>
      <c r="S7" s="2"/>
      <c r="T7" s="2"/>
      <c r="U7" s="51"/>
      <c r="V7" s="2"/>
      <c r="W7" s="2"/>
      <c r="X7" s="2"/>
      <c r="Y7" s="29"/>
      <c r="Z7" s="2"/>
      <c r="AA7" s="2"/>
      <c r="AB7" s="28"/>
      <c r="AC7" s="2"/>
      <c r="AD7" s="2"/>
      <c r="AE7" s="2"/>
      <c r="AF7" s="29"/>
      <c r="AG7" s="2"/>
      <c r="AH7" s="9">
        <f>COUNTA(Agosto[[#This Row],[1]:[31]])</f>
        <v>0</v>
      </c>
    </row>
    <row r="8" spans="2:34" x14ac:dyDescent="0.25">
      <c r="B8" s="16" t="s">
        <v>61</v>
      </c>
      <c r="C8" s="28"/>
      <c r="D8" s="29"/>
      <c r="E8" s="2"/>
      <c r="F8" s="2"/>
      <c r="G8" s="28"/>
      <c r="H8" s="2"/>
      <c r="I8" s="55"/>
      <c r="J8" s="2"/>
      <c r="K8" s="29"/>
      <c r="L8" s="2"/>
      <c r="M8" s="2"/>
      <c r="N8" s="28"/>
      <c r="O8" s="2"/>
      <c r="P8" s="2"/>
      <c r="Q8" s="2"/>
      <c r="R8" s="29"/>
      <c r="S8" s="2"/>
      <c r="T8" s="2"/>
      <c r="U8" s="51"/>
      <c r="V8" s="2"/>
      <c r="W8" s="2"/>
      <c r="X8" s="2"/>
      <c r="Y8" s="29"/>
      <c r="Z8" s="2"/>
      <c r="AA8" s="2"/>
      <c r="AB8" s="28"/>
      <c r="AC8" s="2"/>
      <c r="AD8" s="2"/>
      <c r="AE8" s="2"/>
      <c r="AF8" s="29"/>
      <c r="AG8" s="2"/>
      <c r="AH8" s="9">
        <f>COUNTA(Agosto[[#This Row],[1]:[31]])</f>
        <v>0</v>
      </c>
    </row>
    <row r="9" spans="2:34" x14ac:dyDescent="0.25">
      <c r="B9" s="16" t="s">
        <v>60</v>
      </c>
      <c r="C9" s="28"/>
      <c r="D9" s="29"/>
      <c r="E9" s="2"/>
      <c r="F9" s="2"/>
      <c r="G9" s="28"/>
      <c r="H9" s="2"/>
      <c r="I9" s="55"/>
      <c r="J9" s="2"/>
      <c r="K9" s="29"/>
      <c r="L9" s="2"/>
      <c r="M9" s="2"/>
      <c r="N9" s="28"/>
      <c r="O9" s="2"/>
      <c r="P9" s="2"/>
      <c r="Q9" s="2"/>
      <c r="R9" s="29"/>
      <c r="S9" s="2"/>
      <c r="T9" s="2"/>
      <c r="U9" s="51"/>
      <c r="V9" s="2"/>
      <c r="W9" s="2"/>
      <c r="X9" s="2"/>
      <c r="Y9" s="29"/>
      <c r="Z9" s="2"/>
      <c r="AA9" s="2"/>
      <c r="AB9" s="28"/>
      <c r="AC9" s="2"/>
      <c r="AD9" s="2"/>
      <c r="AE9" s="2"/>
      <c r="AF9" s="29"/>
      <c r="AG9" s="2"/>
      <c r="AH9" s="9">
        <f>COUNTA(Agosto[[#This Row],[1]:[31]])</f>
        <v>0</v>
      </c>
    </row>
    <row r="10" spans="2:34" x14ac:dyDescent="0.25">
      <c r="B10" s="16" t="s">
        <v>62</v>
      </c>
      <c r="C10" s="28"/>
      <c r="D10" s="29"/>
      <c r="E10" s="2"/>
      <c r="F10" s="2"/>
      <c r="G10" s="28"/>
      <c r="H10" s="2"/>
      <c r="I10" s="55"/>
      <c r="J10" s="2"/>
      <c r="K10" s="29"/>
      <c r="L10" s="2"/>
      <c r="M10" s="2"/>
      <c r="N10" s="28"/>
      <c r="O10" s="2"/>
      <c r="P10" s="2"/>
      <c r="Q10" s="2"/>
      <c r="R10" s="29"/>
      <c r="S10" s="2"/>
      <c r="T10" s="2"/>
      <c r="U10" s="51"/>
      <c r="V10" s="2"/>
      <c r="W10" s="2"/>
      <c r="X10" s="2"/>
      <c r="Y10" s="29"/>
      <c r="Z10" s="2"/>
      <c r="AA10" s="2"/>
      <c r="AB10" s="28"/>
      <c r="AC10" s="2"/>
      <c r="AD10" s="2"/>
      <c r="AE10" s="2"/>
      <c r="AF10" s="29"/>
      <c r="AG10" s="2"/>
      <c r="AH10" s="9">
        <f>COUNTA(Agosto[[#This Row],[1]:[31]])</f>
        <v>0</v>
      </c>
    </row>
    <row r="11" spans="2:34" x14ac:dyDescent="0.25">
      <c r="B11" s="16" t="s">
        <v>63</v>
      </c>
      <c r="C11" s="28"/>
      <c r="D11" s="29"/>
      <c r="E11" s="2"/>
      <c r="F11" s="2"/>
      <c r="G11" s="28"/>
      <c r="H11" s="2"/>
      <c r="I11" s="55"/>
      <c r="J11" s="2"/>
      <c r="K11" s="29"/>
      <c r="L11" s="2"/>
      <c r="M11" s="2"/>
      <c r="N11" s="28"/>
      <c r="O11" s="2"/>
      <c r="P11" s="2"/>
      <c r="Q11" s="2"/>
      <c r="R11" s="29"/>
      <c r="S11" s="2"/>
      <c r="T11" s="2"/>
      <c r="U11" s="51"/>
      <c r="V11" s="2"/>
      <c r="W11" s="2"/>
      <c r="X11" s="2"/>
      <c r="Y11" s="29"/>
      <c r="Z11" s="2"/>
      <c r="AA11" s="2"/>
      <c r="AB11" s="28"/>
      <c r="AC11" s="2"/>
      <c r="AD11" s="2"/>
      <c r="AE11" s="2"/>
      <c r="AF11" s="29"/>
      <c r="AG11" s="2"/>
      <c r="AH11" s="9">
        <f>COUNTA(Agosto[[#This Row],[1]:[31]])</f>
        <v>0</v>
      </c>
    </row>
    <row r="12" spans="2:34" ht="15.75" thickBot="1" x14ac:dyDescent="0.3">
      <c r="B12" s="37" t="str">
        <f>MonthName&amp;" Total"</f>
        <v>Agosto Total</v>
      </c>
      <c r="C12" s="38">
        <f>SUBTOTAL(103,Agosto[1])</f>
        <v>0</v>
      </c>
      <c r="D12" s="39">
        <f>SUBTOTAL(103,Agosto[2])</f>
        <v>0</v>
      </c>
      <c r="E12" s="40">
        <f>SUBTOTAL(103,Agosto[3])</f>
        <v>0</v>
      </c>
      <c r="F12" s="40">
        <f>SUBTOTAL(103,Agosto[4])</f>
        <v>0</v>
      </c>
      <c r="G12" s="38">
        <f>SUBTOTAL(103,Agosto[5])</f>
        <v>0</v>
      </c>
      <c r="H12" s="41">
        <f>SUBTOTAL(103,Agosto[6])</f>
        <v>0</v>
      </c>
      <c r="I12" s="56">
        <f>SUBTOTAL(103,Agosto[7])</f>
        <v>0</v>
      </c>
      <c r="J12" s="41">
        <f>SUBTOTAL(103,Agosto[8])</f>
        <v>0</v>
      </c>
      <c r="K12" s="39">
        <f>SUBTOTAL(103,Agosto[9])</f>
        <v>0</v>
      </c>
      <c r="L12" s="40">
        <f>SUBTOTAL(103,Agosto[10])</f>
        <v>0</v>
      </c>
      <c r="M12" s="40">
        <f>SUBTOTAL(103,Agosto[11])</f>
        <v>0</v>
      </c>
      <c r="N12" s="38">
        <f>SUBTOTAL(103,Agosto[12])</f>
        <v>0</v>
      </c>
      <c r="O12" s="41">
        <f>SUBTOTAL(103,Agosto[13])</f>
        <v>0</v>
      </c>
      <c r="P12" s="41">
        <f>SUBTOTAL(103,Agosto[14])</f>
        <v>0</v>
      </c>
      <c r="Q12" s="41">
        <f>SUBTOTAL(103,Agosto[15])</f>
        <v>0</v>
      </c>
      <c r="R12" s="39">
        <f>SUBTOTAL(103,Agosto[16])</f>
        <v>0</v>
      </c>
      <c r="S12" s="40">
        <f>SUBTOTAL(103,Agosto[17])</f>
        <v>0</v>
      </c>
      <c r="T12" s="40">
        <f>SUBTOTAL(103,Agosto[18])</f>
        <v>0</v>
      </c>
      <c r="U12" s="57">
        <f>SUBTOTAL(103,Agosto[19])</f>
        <v>0</v>
      </c>
      <c r="V12" s="41">
        <f>SUBTOTAL(103,Agosto[20])</f>
        <v>0</v>
      </c>
      <c r="W12" s="41">
        <f>SUBTOTAL(103,Agosto[21])</f>
        <v>0</v>
      </c>
      <c r="X12" s="41">
        <f>SUBTOTAL(103,Agosto[22])</f>
        <v>0</v>
      </c>
      <c r="Y12" s="39">
        <f>SUBTOTAL(103,Agosto[23])</f>
        <v>0</v>
      </c>
      <c r="Z12" s="40">
        <f>SUBTOTAL(103,Agosto[24])</f>
        <v>0</v>
      </c>
      <c r="AA12" s="40">
        <f>SUBTOTAL(103,Agosto[25])</f>
        <v>0</v>
      </c>
      <c r="AB12" s="38">
        <f>SUBTOTAL(103,Agosto[26])</f>
        <v>0</v>
      </c>
      <c r="AC12" s="41">
        <f>SUBTOTAL(103,Agosto[27])</f>
        <v>0</v>
      </c>
      <c r="AD12" s="41">
        <f>SUBTOTAL(103,Agosto[28])</f>
        <v>0</v>
      </c>
      <c r="AE12" s="41">
        <f>SUBTOTAL(103,Agosto[29])</f>
        <v>0</v>
      </c>
      <c r="AF12" s="39">
        <f>SUBTOTAL(109,Agosto[30])</f>
        <v>0</v>
      </c>
      <c r="AG12" s="40">
        <f>SUBTOTAL(109,Agosto[31])</f>
        <v>0</v>
      </c>
      <c r="AH12" s="40">
        <f>SUBTOTAL(109,Agosto[Número total de días])</f>
        <v>0</v>
      </c>
    </row>
    <row r="20" spans="22:22" x14ac:dyDescent="0.25">
      <c r="V20" s="21"/>
    </row>
  </sheetData>
  <mergeCells count="6">
    <mergeCell ref="C4:AG4"/>
    <mergeCell ref="D2:F2"/>
    <mergeCell ref="H2:J2"/>
    <mergeCell ref="L2:O2"/>
    <mergeCell ref="Q2:T2"/>
    <mergeCell ref="V2:Y2"/>
  </mergeCells>
  <conditionalFormatting sqref="C8:AG11 D7:AG7">
    <cfRule type="expression" priority="7" stopIfTrue="1">
      <formula>C7=""</formula>
    </cfRule>
  </conditionalFormatting>
  <conditionalFormatting sqref="C8:AG11 D7:AG7">
    <cfRule type="expression" dxfId="216" priority="8" stopIfTrue="1">
      <formula>C7=KeyCustom2</formula>
    </cfRule>
    <cfRule type="expression" dxfId="215" priority="9" stopIfTrue="1">
      <formula>C7=KeyCustom1</formula>
    </cfRule>
    <cfRule type="expression" dxfId="214" priority="10" stopIfTrue="1">
      <formula>C7=KeySick</formula>
    </cfRule>
    <cfRule type="expression" dxfId="213" priority="11" stopIfTrue="1">
      <formula>C7=KeyPersonal</formula>
    </cfRule>
    <cfRule type="expression" dxfId="212" priority="12" stopIfTrue="1">
      <formula>C7=KeyVacation</formula>
    </cfRule>
  </conditionalFormatting>
  <conditionalFormatting sqref="AH7:AH11">
    <cfRule type="dataBar" priority="13">
      <dataBar>
        <cfvo type="min"/>
        <cfvo type="formula" val="DATEDIF(DATE(CalendarYear,2,1),DATE(CalendarYear,3,1),&quot;d&quot;)"/>
        <color theme="2" tint="-0.249977111117893"/>
      </dataBar>
      <extLst>
        <ext xmlns:x14="http://schemas.microsoft.com/office/spreadsheetml/2009/9/main" uri="{B025F937-C7B1-47D3-B67F-A62EFF666E3E}">
          <x14:id>{09900229-9536-43AB-AAE0-FC121BDECD61}</x14:id>
        </ext>
      </extLst>
    </cfRule>
  </conditionalFormatting>
  <conditionalFormatting sqref="C7">
    <cfRule type="expression" priority="1" stopIfTrue="1">
      <formula>C7=""</formula>
    </cfRule>
  </conditionalFormatting>
  <conditionalFormatting sqref="C7">
    <cfRule type="expression" dxfId="211" priority="2" stopIfTrue="1">
      <formula>C7=KeyCustom2</formula>
    </cfRule>
    <cfRule type="expression" dxfId="210" priority="3" stopIfTrue="1">
      <formula>C7=KeyCustom1</formula>
    </cfRule>
    <cfRule type="expression" dxfId="209" priority="4" stopIfTrue="1">
      <formula>C7=KeySick</formula>
    </cfRule>
    <cfRule type="expression" dxfId="208" priority="5" stopIfTrue="1">
      <formula>C7=KeyPersonal</formula>
    </cfRule>
    <cfRule type="expression" dxfId="207" priority="6" stopIfTrue="1">
      <formula>C7=KeyVacation</formula>
    </cfRule>
  </conditionalFormatting>
  <dataValidations xWindow="33" yWindow="874" count="14">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 allowBlank="1" showInputMessage="1" showErrorMessage="1" prompt="Año actualizado de forma automática en función del año introducido en la hoja de cálculo de enero" sqref="AH4"/>
    <dataValidation allowBlank="1" showInputMessage="1" showErrorMessage="1" prompt="Cálculo automático del número total de días que un empleado ha estado ausente este mes en esta columna" sqref="AH6"/>
    <dataValidation allowBlank="1" showInputMessage="1" showErrorMessage="1" prompt="Realice un seguimiento de las ausencias de agosto en esta hoja de cálculo." sqref="A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El título se actualiza automáticamente en esta celda. Para modificar el título, actualice la celda B1 en la hoja de cálculo de enero." sqref="B1"/>
    <dataValidation allowBlank="1" showInputMessage="1" showErrorMessage="1" prompt="La letra “V” indica una ausencia por vacaciones" sqref="C2"/>
    <dataValidation allowBlank="1" showInputMessage="1" showErrorMessage="1" prompt="La letra “P” indica una ausencia por motivos personales" sqref="G2"/>
    <dataValidation allowBlank="1" showInputMessage="1" showErrorMessage="1" prompt="La letra “E” indica una ausencia por enfermedad" sqref="K2"/>
    <dataValidation allowBlank="1" showInputMessage="1" showErrorMessage="1" prompt="Escriba una letra y personalice la etiqueta de la derecha para agregar otro elemento clave." sqref="P2 U2"/>
    <dataValidation allowBlank="1" showInputMessage="1" showErrorMessage="1" prompt="Escriba una etiqueta para describir la clave personalizada de la izquierda." sqref="Q2 V2"/>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s>
  <printOptions horizontalCentered="1"/>
  <pageMargins left="0.25" right="0.25" top="0.75" bottom="0.75" header="0.3" footer="0.3"/>
  <pageSetup paperSize="9" scale="70" fitToHeight="0" orientation="landscape" r:id="rId1"/>
  <headerFooter differentFirst="1">
    <oddFooter>Page &amp;P of &amp;N</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9900229-9536-43AB-AAE0-FC121BDECD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33" yWindow="874" count="1">
        <x14:dataValidation type="list" allowBlank="1" showInputMessage="1" showErrorMessage="1">
          <x14:formula1>
            <xm:f>'Nombres de los empleados'!$B$4:$B$8</xm:f>
          </x14:formula1>
          <xm:sqref>B7:B11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pageSetUpPr fitToPage="1"/>
  </sheetPr>
  <dimension ref="A1:AH20"/>
  <sheetViews>
    <sheetView showGridLines="0" zoomScale="90" zoomScaleNormal="90" workbookViewId="0"/>
  </sheetViews>
  <sheetFormatPr baseColWidth="10" defaultColWidth="9.140625" defaultRowHeight="15" x14ac:dyDescent="0.25"/>
  <cols>
    <col min="1" max="1" width="2.7109375" style="10" customWidth="1"/>
    <col min="2" max="2" width="32" style="10" customWidth="1"/>
    <col min="3" max="33" width="4.7109375" style="10" customWidth="1"/>
    <col min="34" max="34" width="22.7109375" style="10" customWidth="1"/>
    <col min="35" max="35" width="2.7109375" customWidth="1"/>
  </cols>
  <sheetData>
    <row r="1" spans="2:34" ht="33.75" x14ac:dyDescent="0.25">
      <c r="B1" s="13" t="str">
        <f>Employee_Absence_Title</f>
        <v>Programación Infraestructura</v>
      </c>
    </row>
    <row r="2" spans="2:34" x14ac:dyDescent="0.25">
      <c r="B2" s="17" t="s">
        <v>0</v>
      </c>
      <c r="C2" s="3" t="s">
        <v>3</v>
      </c>
      <c r="D2" s="60" t="s">
        <v>5</v>
      </c>
      <c r="E2" s="60"/>
      <c r="F2" s="60"/>
      <c r="G2" s="4" t="s">
        <v>8</v>
      </c>
      <c r="H2" s="60" t="s">
        <v>12</v>
      </c>
      <c r="I2" s="60"/>
      <c r="J2" s="60"/>
      <c r="K2" s="5" t="s">
        <v>10</v>
      </c>
      <c r="L2" s="60" t="s">
        <v>17</v>
      </c>
      <c r="M2" s="60"/>
      <c r="N2" s="60"/>
      <c r="O2" s="60"/>
      <c r="P2" s="6" t="s">
        <v>66</v>
      </c>
      <c r="Q2" s="61" t="s">
        <v>64</v>
      </c>
      <c r="R2" s="60"/>
      <c r="S2" s="60"/>
      <c r="T2" s="60"/>
      <c r="U2" s="7" t="s">
        <v>67</v>
      </c>
      <c r="V2" s="61" t="s">
        <v>65</v>
      </c>
      <c r="W2" s="60"/>
      <c r="X2" s="60"/>
      <c r="Y2" s="60"/>
      <c r="Z2" s="58"/>
      <c r="AA2" s="10" t="s">
        <v>69</v>
      </c>
    </row>
    <row r="3" spans="2:34" ht="33.75" x14ac:dyDescent="0.25">
      <c r="B3" s="13"/>
    </row>
    <row r="4" spans="2:34" ht="24" thickBot="1" x14ac:dyDescent="0.3">
      <c r="B4" s="11" t="s">
        <v>53</v>
      </c>
      <c r="C4" s="59" t="s">
        <v>70</v>
      </c>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1">
        <f>CalendarYear</f>
        <v>2019</v>
      </c>
    </row>
    <row r="5" spans="2:34" ht="23.25" x14ac:dyDescent="0.25">
      <c r="B5" s="11"/>
      <c r="C5" s="1" t="str">
        <f>TEXT(WEEKDAY(DATE(CalendarYear,9,1),1),"ddd")</f>
        <v>dom</v>
      </c>
      <c r="D5" s="25" t="str">
        <f>TEXT(WEEKDAY(DATE(CalendarYear,9,2),1),"ddd")</f>
        <v>lun</v>
      </c>
      <c r="E5" s="26" t="str">
        <f>TEXT(WEEKDAY(DATE(CalendarYear,9,3),1),"ddd")</f>
        <v>mar</v>
      </c>
      <c r="F5" s="26" t="str">
        <f>TEXT(WEEKDAY(DATE(CalendarYear,9,4),1),"ddd")</f>
        <v>mié</v>
      </c>
      <c r="G5" s="26" t="str">
        <f>TEXT(WEEKDAY(DATE(CalendarYear,9,5),1),"ddd")</f>
        <v>jue</v>
      </c>
      <c r="H5" s="27" t="str">
        <f>TEXT(WEEKDAY(DATE(CalendarYear,9,6),1),"ddd")</f>
        <v>vie</v>
      </c>
      <c r="I5" s="1" t="str">
        <f>TEXT(WEEKDAY(DATE(CalendarYear,9,7),1),"ddd")</f>
        <v>sáb</v>
      </c>
      <c r="J5" s="1" t="str">
        <f>TEXT(WEEKDAY(DATE(CalendarYear,9,8),1),"ddd")</f>
        <v>dom</v>
      </c>
      <c r="K5" s="25" t="str">
        <f>TEXT(WEEKDAY(DATE(CalendarYear,9,9),1),"ddd")</f>
        <v>lun</v>
      </c>
      <c r="L5" s="26" t="str">
        <f>TEXT(WEEKDAY(DATE(CalendarYear,9,10),1),"ddd")</f>
        <v>mar</v>
      </c>
      <c r="M5" s="26" t="str">
        <f>TEXT(WEEKDAY(DATE(CalendarYear,9,11),1),"ddd")</f>
        <v>mié</v>
      </c>
      <c r="N5" s="26" t="str">
        <f>TEXT(WEEKDAY(DATE(CalendarYear,9,12),1),"ddd")</f>
        <v>jue</v>
      </c>
      <c r="O5" s="27" t="str">
        <f>TEXT(WEEKDAY(DATE(CalendarYear,9,13),1),"ddd")</f>
        <v>vie</v>
      </c>
      <c r="P5" s="1" t="str">
        <f>TEXT(WEEKDAY(DATE(CalendarYear,9,14),1),"ddd")</f>
        <v>sáb</v>
      </c>
      <c r="Q5" s="1" t="str">
        <f>TEXT(WEEKDAY(DATE(CalendarYear,9,15),1),"ddd")</f>
        <v>dom</v>
      </c>
      <c r="R5" s="25" t="str">
        <f>TEXT(WEEKDAY(DATE(CalendarYear,9,16),1),"ddd")</f>
        <v>lun</v>
      </c>
      <c r="S5" s="26" t="str">
        <f>TEXT(WEEKDAY(DATE(CalendarYear,9,17),1),"ddd")</f>
        <v>mar</v>
      </c>
      <c r="T5" s="26" t="str">
        <f>TEXT(WEEKDAY(DATE(CalendarYear,9,18),1),"ddd")</f>
        <v>mié</v>
      </c>
      <c r="U5" s="26" t="str">
        <f>TEXT(WEEKDAY(DATE(CalendarYear,9,19),1),"ddd")</f>
        <v>jue</v>
      </c>
      <c r="V5" s="27" t="str">
        <f>TEXT(WEEKDAY(DATE(CalendarYear,9,20),1),"ddd")</f>
        <v>vie</v>
      </c>
      <c r="W5" s="1" t="str">
        <f>TEXT(WEEKDAY(DATE(CalendarYear,9,21),1),"ddd")</f>
        <v>sáb</v>
      </c>
      <c r="X5" s="1" t="str">
        <f>TEXT(WEEKDAY(DATE(CalendarYear,9,22),1),"ddd")</f>
        <v>dom</v>
      </c>
      <c r="Y5" s="25" t="str">
        <f>TEXT(WEEKDAY(DATE(CalendarYear,9,23),1),"ddd")</f>
        <v>lun</v>
      </c>
      <c r="Z5" s="26" t="str">
        <f>TEXT(WEEKDAY(DATE(CalendarYear,9,24),1),"ddd")</f>
        <v>mar</v>
      </c>
      <c r="AA5" s="26" t="str">
        <f>TEXT(WEEKDAY(DATE(CalendarYear,9,25),1),"ddd")</f>
        <v>mié</v>
      </c>
      <c r="AB5" s="26" t="str">
        <f>TEXT(WEEKDAY(DATE(CalendarYear,9,26),1),"ddd")</f>
        <v>jue</v>
      </c>
      <c r="AC5" s="27" t="str">
        <f>TEXT(WEEKDAY(DATE(CalendarYear,9,27),1),"ddd")</f>
        <v>vie</v>
      </c>
      <c r="AD5" s="1" t="str">
        <f>TEXT(WEEKDAY(DATE(CalendarYear,9,28),1),"ddd")</f>
        <v>sáb</v>
      </c>
      <c r="AE5" s="1" t="str">
        <f>TEXT(WEEKDAY(DATE(CalendarYear,9,29),1),"ddd")</f>
        <v>dom</v>
      </c>
      <c r="AF5" s="34" t="str">
        <f>TEXT(WEEKDAY(DATE(CalendarYear,9,30),1),"ddd")</f>
        <v>lun</v>
      </c>
      <c r="AG5" s="1"/>
      <c r="AH5" s="11"/>
    </row>
    <row r="6" spans="2:34" x14ac:dyDescent="0.25">
      <c r="B6" s="14" t="s">
        <v>2</v>
      </c>
      <c r="C6" s="44" t="s">
        <v>4</v>
      </c>
      <c r="D6" s="45" t="s">
        <v>6</v>
      </c>
      <c r="E6" s="44" t="s">
        <v>7</v>
      </c>
      <c r="F6" s="44" t="s">
        <v>9</v>
      </c>
      <c r="G6" s="44" t="s">
        <v>11</v>
      </c>
      <c r="H6" s="46" t="s">
        <v>13</v>
      </c>
      <c r="I6" s="44" t="s">
        <v>14</v>
      </c>
      <c r="J6" s="44" t="s">
        <v>15</v>
      </c>
      <c r="K6" s="45" t="s">
        <v>16</v>
      </c>
      <c r="L6" s="44" t="s">
        <v>18</v>
      </c>
      <c r="M6" s="44" t="s">
        <v>19</v>
      </c>
      <c r="N6" s="44" t="s">
        <v>20</v>
      </c>
      <c r="O6" s="46" t="s">
        <v>22</v>
      </c>
      <c r="P6" s="44" t="s">
        <v>23</v>
      </c>
      <c r="Q6" s="44" t="s">
        <v>24</v>
      </c>
      <c r="R6" s="45" t="s">
        <v>25</v>
      </c>
      <c r="S6" s="44" t="s">
        <v>27</v>
      </c>
      <c r="T6" s="44" t="s">
        <v>28</v>
      </c>
      <c r="U6" s="44" t="s">
        <v>29</v>
      </c>
      <c r="V6" s="46" t="s">
        <v>30</v>
      </c>
      <c r="W6" s="44" t="s">
        <v>31</v>
      </c>
      <c r="X6" s="44" t="s">
        <v>32</v>
      </c>
      <c r="Y6" s="45" t="s">
        <v>33</v>
      </c>
      <c r="Z6" s="44" t="s">
        <v>34</v>
      </c>
      <c r="AA6" s="44" t="s">
        <v>35</v>
      </c>
      <c r="AB6" s="44" t="s">
        <v>36</v>
      </c>
      <c r="AC6" s="46" t="s">
        <v>37</v>
      </c>
      <c r="AD6" s="44" t="s">
        <v>38</v>
      </c>
      <c r="AE6" s="44" t="s">
        <v>39</v>
      </c>
      <c r="AF6" s="49" t="s">
        <v>40</v>
      </c>
      <c r="AG6" s="44" t="s">
        <v>41</v>
      </c>
      <c r="AH6" s="15" t="s">
        <v>43</v>
      </c>
    </row>
    <row r="7" spans="2:34" x14ac:dyDescent="0.25">
      <c r="B7" s="16" t="s">
        <v>59</v>
      </c>
      <c r="D7" s="28"/>
      <c r="E7" s="2"/>
      <c r="F7" s="2"/>
      <c r="G7" s="2"/>
      <c r="H7" s="29"/>
      <c r="I7" s="2"/>
      <c r="J7" s="2"/>
      <c r="K7" s="28"/>
      <c r="L7" s="2"/>
      <c r="M7" s="2"/>
      <c r="N7" s="2"/>
      <c r="O7" s="29"/>
      <c r="P7" s="2"/>
      <c r="Q7" s="2"/>
      <c r="R7" s="28"/>
      <c r="S7" s="2"/>
      <c r="T7" s="2"/>
      <c r="U7" s="2"/>
      <c r="V7" s="29"/>
      <c r="W7" s="2"/>
      <c r="X7" s="2"/>
      <c r="Y7" s="28"/>
      <c r="Z7" s="2"/>
      <c r="AA7" s="2"/>
      <c r="AB7" s="2"/>
      <c r="AC7" s="29"/>
      <c r="AD7" s="2"/>
      <c r="AE7" s="2"/>
      <c r="AF7" s="35"/>
      <c r="AG7" s="2"/>
      <c r="AH7" s="9">
        <f>COUNTA(Septiembre[[#This Row],[1]:[31]])</f>
        <v>0</v>
      </c>
    </row>
    <row r="8" spans="2:34" x14ac:dyDescent="0.25">
      <c r="B8" s="16" t="s">
        <v>61</v>
      </c>
      <c r="C8" s="2"/>
      <c r="D8" s="28"/>
      <c r="E8" s="2"/>
      <c r="F8" s="2"/>
      <c r="G8" s="2"/>
      <c r="H8" s="29"/>
      <c r="I8" s="2"/>
      <c r="J8" s="2"/>
      <c r="K8" s="28"/>
      <c r="L8" s="2"/>
      <c r="M8" s="2"/>
      <c r="N8" s="2"/>
      <c r="O8" s="29"/>
      <c r="P8" s="2"/>
      <c r="Q8" s="2"/>
      <c r="R8" s="28"/>
      <c r="S8" s="2"/>
      <c r="T8" s="2"/>
      <c r="U8" s="2"/>
      <c r="V8" s="29"/>
      <c r="W8" s="2"/>
      <c r="X8" s="2"/>
      <c r="Y8" s="28"/>
      <c r="Z8" s="2"/>
      <c r="AA8" s="2"/>
      <c r="AB8" s="2"/>
      <c r="AC8" s="29"/>
      <c r="AD8" s="2"/>
      <c r="AE8" s="2"/>
      <c r="AF8" s="35"/>
      <c r="AG8" s="2"/>
      <c r="AH8" s="9">
        <f>COUNTA(Septiembre[[#This Row],[1]:[31]])</f>
        <v>0</v>
      </c>
    </row>
    <row r="9" spans="2:34" x14ac:dyDescent="0.25">
      <c r="B9" s="16" t="s">
        <v>60</v>
      </c>
      <c r="C9" s="2"/>
      <c r="D9" s="28"/>
      <c r="E9" s="2"/>
      <c r="F9" s="2"/>
      <c r="G9" s="2"/>
      <c r="H9" s="29"/>
      <c r="I9" s="2"/>
      <c r="J9" s="2"/>
      <c r="K9" s="28"/>
      <c r="L9" s="2"/>
      <c r="M9" s="2"/>
      <c r="N9" s="2"/>
      <c r="O9" s="29"/>
      <c r="P9" s="2"/>
      <c r="Q9" s="2"/>
      <c r="R9" s="28"/>
      <c r="S9" s="2"/>
      <c r="T9" s="2"/>
      <c r="U9" s="2"/>
      <c r="V9" s="29"/>
      <c r="W9" s="2"/>
      <c r="X9" s="2"/>
      <c r="Y9" s="28"/>
      <c r="Z9" s="2"/>
      <c r="AA9" s="2"/>
      <c r="AB9" s="2"/>
      <c r="AC9" s="29"/>
      <c r="AD9" s="2"/>
      <c r="AE9" s="2"/>
      <c r="AF9" s="35"/>
      <c r="AG9" s="2"/>
      <c r="AH9" s="9">
        <f>COUNTA(Septiembre[[#This Row],[1]:[31]])</f>
        <v>0</v>
      </c>
    </row>
    <row r="10" spans="2:34" x14ac:dyDescent="0.25">
      <c r="B10" s="16" t="s">
        <v>62</v>
      </c>
      <c r="C10" s="2"/>
      <c r="D10" s="28"/>
      <c r="E10" s="2"/>
      <c r="F10" s="2"/>
      <c r="G10" s="2"/>
      <c r="H10" s="29"/>
      <c r="I10" s="2"/>
      <c r="J10" s="2"/>
      <c r="K10" s="28"/>
      <c r="L10" s="2"/>
      <c r="M10" s="2"/>
      <c r="N10" s="2"/>
      <c r="O10" s="29"/>
      <c r="P10" s="2"/>
      <c r="Q10" s="2"/>
      <c r="R10" s="28"/>
      <c r="S10" s="2"/>
      <c r="T10" s="2"/>
      <c r="U10" s="2"/>
      <c r="V10" s="29"/>
      <c r="W10" s="2"/>
      <c r="X10" s="2"/>
      <c r="Y10" s="28"/>
      <c r="Z10" s="2"/>
      <c r="AA10" s="2"/>
      <c r="AB10" s="2"/>
      <c r="AC10" s="29"/>
      <c r="AD10" s="2"/>
      <c r="AE10" s="2"/>
      <c r="AF10" s="35"/>
      <c r="AG10" s="2"/>
      <c r="AH10" s="9">
        <f>COUNTA(Septiembre[[#This Row],[1]:[31]])</f>
        <v>0</v>
      </c>
    </row>
    <row r="11" spans="2:34" x14ac:dyDescent="0.25">
      <c r="B11" s="16" t="s">
        <v>63</v>
      </c>
      <c r="C11" s="2"/>
      <c r="D11" s="28"/>
      <c r="E11" s="2"/>
      <c r="F11" s="2"/>
      <c r="G11" s="2"/>
      <c r="H11" s="29"/>
      <c r="I11" s="2"/>
      <c r="J11" s="2"/>
      <c r="K11" s="28"/>
      <c r="L11" s="2"/>
      <c r="M11" s="2"/>
      <c r="N11" s="2"/>
      <c r="O11" s="29"/>
      <c r="P11" s="2"/>
      <c r="Q11" s="2"/>
      <c r="R11" s="28"/>
      <c r="S11" s="2"/>
      <c r="T11" s="2"/>
      <c r="U11" s="2"/>
      <c r="V11" s="29"/>
      <c r="W11" s="2"/>
      <c r="X11" s="2"/>
      <c r="Y11" s="28"/>
      <c r="Z11" s="2"/>
      <c r="AA11" s="2"/>
      <c r="AB11" s="2"/>
      <c r="AC11" s="29"/>
      <c r="AD11" s="2"/>
      <c r="AE11" s="2"/>
      <c r="AF11" s="35"/>
      <c r="AG11" s="2"/>
      <c r="AH11" s="9">
        <f>COUNTA(Septiembre[[#This Row],[1]:[31]])</f>
        <v>0</v>
      </c>
    </row>
    <row r="12" spans="2:34" ht="15.75" thickBot="1" x14ac:dyDescent="0.3">
      <c r="B12" s="37" t="str">
        <f>MonthName&amp;" Total"</f>
        <v>Septiembre Total</v>
      </c>
      <c r="C12" s="40">
        <f>SUBTOTAL(103,Septiembre[1])</f>
        <v>0</v>
      </c>
      <c r="D12" s="38">
        <f>SUBTOTAL(103,Septiembre[2])</f>
        <v>0</v>
      </c>
      <c r="E12" s="41">
        <f>SUBTOTAL(103,Septiembre[3])</f>
        <v>0</v>
      </c>
      <c r="F12" s="41">
        <f>SUBTOTAL(103,Septiembre[4])</f>
        <v>0</v>
      </c>
      <c r="G12" s="41">
        <f>SUBTOTAL(103,Septiembre[5])</f>
        <v>0</v>
      </c>
      <c r="H12" s="39">
        <f>SUBTOTAL(103,Septiembre[6])</f>
        <v>0</v>
      </c>
      <c r="I12" s="40">
        <f>SUBTOTAL(103,Septiembre[7])</f>
        <v>0</v>
      </c>
      <c r="J12" s="40">
        <f>SUBTOTAL(103,Septiembre[8])</f>
        <v>0</v>
      </c>
      <c r="K12" s="38">
        <f>SUBTOTAL(103,Septiembre[9])</f>
        <v>0</v>
      </c>
      <c r="L12" s="41">
        <f>SUBTOTAL(103,Septiembre[10])</f>
        <v>0</v>
      </c>
      <c r="M12" s="41">
        <f>SUBTOTAL(103,Septiembre[11])</f>
        <v>0</v>
      </c>
      <c r="N12" s="41">
        <f>SUBTOTAL(103,Septiembre[12])</f>
        <v>0</v>
      </c>
      <c r="O12" s="39">
        <f>SUBTOTAL(103,Septiembre[13])</f>
        <v>0</v>
      </c>
      <c r="P12" s="40">
        <f>SUBTOTAL(103,Septiembre[14])</f>
        <v>0</v>
      </c>
      <c r="Q12" s="40">
        <f>SUBTOTAL(103,Septiembre[15])</f>
        <v>0</v>
      </c>
      <c r="R12" s="38">
        <f>SUBTOTAL(103,Septiembre[16])</f>
        <v>0</v>
      </c>
      <c r="S12" s="41">
        <f>SUBTOTAL(103,Septiembre[17])</f>
        <v>0</v>
      </c>
      <c r="T12" s="41">
        <f>SUBTOTAL(103,Septiembre[18])</f>
        <v>0</v>
      </c>
      <c r="U12" s="41">
        <f>SUBTOTAL(103,Septiembre[19])</f>
        <v>0</v>
      </c>
      <c r="V12" s="39">
        <f>SUBTOTAL(103,Septiembre[20])</f>
        <v>0</v>
      </c>
      <c r="W12" s="40">
        <f>SUBTOTAL(103,Septiembre[21])</f>
        <v>0</v>
      </c>
      <c r="X12" s="40">
        <f>SUBTOTAL(103,Septiembre[22])</f>
        <v>0</v>
      </c>
      <c r="Y12" s="38">
        <f>SUBTOTAL(103,Septiembre[23])</f>
        <v>0</v>
      </c>
      <c r="Z12" s="41">
        <f>SUBTOTAL(103,Septiembre[24])</f>
        <v>0</v>
      </c>
      <c r="AA12" s="41">
        <f>SUBTOTAL(103,Septiembre[25])</f>
        <v>0</v>
      </c>
      <c r="AB12" s="41">
        <f>SUBTOTAL(103,Septiembre[26])</f>
        <v>0</v>
      </c>
      <c r="AC12" s="39">
        <f>SUBTOTAL(103,Septiembre[27])</f>
        <v>0</v>
      </c>
      <c r="AD12" s="40">
        <f>SUBTOTAL(103,Septiembre[28])</f>
        <v>0</v>
      </c>
      <c r="AE12" s="40">
        <f>SUBTOTAL(103,Septiembre[29])</f>
        <v>0</v>
      </c>
      <c r="AF12" s="42">
        <f>SUBTOTAL(109,Septiembre[30])</f>
        <v>0</v>
      </c>
      <c r="AG12" s="40">
        <f>SUBTOTAL(109,Septiembre[31])</f>
        <v>0</v>
      </c>
      <c r="AH12" s="40">
        <f>SUBTOTAL(109,Septiembre[Número total de días])</f>
        <v>0</v>
      </c>
    </row>
    <row r="20" spans="22:22" x14ac:dyDescent="0.25">
      <c r="V20" s="21"/>
    </row>
  </sheetData>
  <mergeCells count="6">
    <mergeCell ref="C4:AG4"/>
    <mergeCell ref="D2:F2"/>
    <mergeCell ref="H2:J2"/>
    <mergeCell ref="L2:O2"/>
    <mergeCell ref="Q2:T2"/>
    <mergeCell ref="V2:Y2"/>
  </mergeCells>
  <conditionalFormatting sqref="C8:AG11 D7:AG7">
    <cfRule type="expression" priority="1" stopIfTrue="1">
      <formula>C7=""</formula>
    </cfRule>
  </conditionalFormatting>
  <conditionalFormatting sqref="C8:AG11 D7:AG7">
    <cfRule type="expression" dxfId="206" priority="2" stopIfTrue="1">
      <formula>C7=KeyCustom2</formula>
    </cfRule>
    <cfRule type="expression" dxfId="205" priority="3" stopIfTrue="1">
      <formula>C7=KeyCustom1</formula>
    </cfRule>
    <cfRule type="expression" dxfId="204" priority="4" stopIfTrue="1">
      <formula>C7=KeySick</formula>
    </cfRule>
    <cfRule type="expression" dxfId="203" priority="5" stopIfTrue="1">
      <formula>C7=KeyPersonal</formula>
    </cfRule>
    <cfRule type="expression" dxfId="202"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{1A021984-06A1-41D9-90D2-8C16E885020B}</x14:id>
        </ext>
      </extLst>
    </cfRule>
  </conditionalFormatting>
  <dataValidations xWindow="32" yWindow="874" count="14">
    <dataValidation allowBlank="1" showInputMessage="1" showErrorMessage="1" prompt="Los días del mes se generan de forma automática en esta fila. Escriba la ausencia y el tipo de ausencia de un empleado en cada columna para cada día del mes. En blanco significa que no hay ausencia" sqref="C6"/>
    <dataValidation allowBlank="1" showInputMessage="1" showErrorMessage="1" prompt="Esta celda contiene el nombre del mes de esta programación de ausencias. El número total de ausencias este mes se muestra en la última celda de la tabla. Seleccione los nombres de los empleados en la columna B de la tabla." sqref="B4"/>
    <dataValidation allowBlank="1" showInputMessage="1" showErrorMessage="1" prompt="Esta fila define las claves que se usan en la tabla: la celda C2 es vacaciones, la celda G2 es personal y la celda K2 es baja por enfermedad. Las celdas P2 y U2 se pueden personalizar " sqref="B2"/>
    <dataValidation allowBlank="1" showInputMessage="1" showErrorMessage="1" prompt="Escriba una etiqueta para describir la clave personalizada de la izquierda." sqref="Q2 V2"/>
    <dataValidation allowBlank="1" showInputMessage="1" showErrorMessage="1" prompt="Escriba una letra y personalice la etiqueta de la derecha para agregar otro elemento clave." sqref="P2 U2"/>
    <dataValidation allowBlank="1" showInputMessage="1" showErrorMessage="1" prompt="La letra “E” indica una ausencia por enfermedad" sqref="K2"/>
    <dataValidation allowBlank="1" showInputMessage="1" showErrorMessage="1" prompt="La letra “P” indica una ausencia por motivos personales" sqref="G2"/>
    <dataValidation allowBlank="1" showInputMessage="1" showErrorMessage="1" prompt="La letra “V” indica una ausencia por vacaciones" sqref="C2"/>
    <dataValidation allowBlank="1" showInputMessage="1" showErrorMessage="1" prompt="El título se actualiza automáticamente en esta celda. Para modificar el título, actualice la celda B1 en la hoja de cálculo de enero." sqref="B1"/>
    <dataValidation errorStyle="warning" allowBlank="1" showInputMessage="1" showErrorMessage="1" error="Seleccione un nombre de la lista. Seleccione CANCELAR, a continuación, presione ALT+FLECHA ABAJO y, después, ENTRAR para seleccionar un nombre." prompt="Escriba los nombres de los empleados en la hoja de cálculo Nombres de los empleados y, a continuación, seleccione uno de estos nombres en la lista en esta columna. Presione ALT+FLECHA ABAJO y, después, presione ENTRAR para seleccionar un nombre." sqref="B6"/>
    <dataValidation allowBlank="1" showInputMessage="1" showErrorMessage="1" prompt="Realice un seguimiento de las ausencias de septiembre en esta hoja de cálculo." sqref="A1"/>
    <dataValidation allowBlank="1" showInputMessage="1" showErrorMessage="1" prompt="Cálculo automático del número total de días que un empleado ha estado ausente este mes en esta columna" sqref="AH6"/>
    <dataValidation allowBlank="1" showInputMessage="1" showErrorMessage="1" prompt="Año actualizado de forma automática en función del año introducido en la hoja de cálculo de enero" sqref="AH4"/>
    <dataValidation allowBlank="1" showInputMessage="1" showErrorMessage="1" prompt="Los días de la semana se actualizan automáticamente en esta fila para cada mes según el año de la celda AH4. Cada día del mes es una columna para anotar la ausencia de un empleado y el tipo de ausencia" sqref="C5"/>
  </dataValidations>
  <printOptions horizontalCentered="1"/>
  <pageMargins left="0.25" right="0.25" top="0.75" bottom="0.75" header="0.3" footer="0.3"/>
  <pageSetup paperSize="9" scale="70" fitToHeight="0" orientation="landscape" r:id="rId1"/>
  <headerFooter differentFirst="1">
    <oddFooter>Page &amp;P of &amp;N</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A021984-06A1-41D9-90D2-8C16E885020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32" yWindow="874" count="1">
        <x14:dataValidation type="list" allowBlank="1" showInputMessage="1" showErrorMessage="1">
          <x14:formula1>
            <xm:f>'Nombres de los empleados'!$B$4:$B$8</xm:f>
          </x14:formula1>
          <xm:sqref>B7:B11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50</vt:i4>
      </vt:variant>
    </vt:vector>
  </HeadingPairs>
  <TitlesOfParts>
    <vt:vector size="63" baseType="lpstr">
      <vt:lpstr>Enero</vt:lpstr>
      <vt:lpstr>Febrero</vt:lpstr>
      <vt:lpstr>Marzo</vt:lpstr>
      <vt:lpstr>Abril</vt:lpstr>
      <vt:lpstr>Mayo</vt:lpstr>
      <vt:lpstr>Junio</vt:lpstr>
      <vt:lpstr>Julio</vt:lpstr>
      <vt:lpstr>Agosto</vt:lpstr>
      <vt:lpstr>Septiembre</vt:lpstr>
      <vt:lpstr>Octubre</vt:lpstr>
      <vt:lpstr>Noviembre</vt:lpstr>
      <vt:lpstr>Diciembre</vt:lpstr>
      <vt:lpstr>Nombres de los empleados</vt:lpstr>
      <vt:lpstr>CalendarYear</vt:lpstr>
      <vt:lpstr>ColumnTitle13</vt:lpstr>
      <vt:lpstr>Employee_Absence_Title</vt:lpstr>
      <vt:lpstr>Key_name</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Abril!MonthName</vt:lpstr>
      <vt:lpstr>Agosto!MonthName</vt:lpstr>
      <vt:lpstr>Diciembre!MonthName</vt:lpstr>
      <vt:lpstr>Enero!MonthName</vt:lpstr>
      <vt:lpstr>Febrero!MonthName</vt:lpstr>
      <vt:lpstr>Julio!MonthName</vt:lpstr>
      <vt:lpstr>Junio!MonthName</vt:lpstr>
      <vt:lpstr>Marzo!MonthName</vt:lpstr>
      <vt:lpstr>Mayo!MonthName</vt:lpstr>
      <vt:lpstr>Noviembre!MonthName</vt:lpstr>
      <vt:lpstr>Octubre!MonthName</vt:lpstr>
      <vt:lpstr>Septiembre!MonthName</vt:lpstr>
      <vt:lpstr>Title1</vt:lpstr>
      <vt:lpstr>Title10</vt:lpstr>
      <vt:lpstr>Title11</vt:lpstr>
      <vt:lpstr>Title12</vt:lpstr>
      <vt:lpstr>Title2</vt:lpstr>
      <vt:lpstr>Title3</vt:lpstr>
      <vt:lpstr>Title4</vt:lpstr>
      <vt:lpstr>Title5</vt:lpstr>
      <vt:lpstr>Title6</vt:lpstr>
      <vt:lpstr>Title7</vt:lpstr>
      <vt:lpstr>Title8</vt:lpstr>
      <vt:lpstr>Title9</vt:lpstr>
      <vt:lpstr>Abril!Títulos_a_imprimir</vt:lpstr>
      <vt:lpstr>Agosto!Títulos_a_imprimir</vt:lpstr>
      <vt:lpstr>Diciembre!Títulos_a_imprimir</vt:lpstr>
      <vt:lpstr>Enero!Títulos_a_imprimir</vt:lpstr>
      <vt:lpstr>Febrero!Títulos_a_imprimir</vt:lpstr>
      <vt:lpstr>Julio!Títulos_a_imprimir</vt:lpstr>
      <vt:lpstr>Junio!Títulos_a_imprimir</vt:lpstr>
      <vt:lpstr>Marzo!Títulos_a_imprimir</vt:lpstr>
      <vt:lpstr>Mayo!Títulos_a_imprimir</vt:lpstr>
      <vt:lpstr>Noviembre!Títulos_a_imprimir</vt:lpstr>
      <vt:lpstr>Octubre!Títulos_a_imprimir</vt:lpstr>
      <vt:lpstr>Septiembre!Títulos_a_imprimir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Osiris Matiz Zapata</dc:creator>
  <cp:lastModifiedBy>Osiris Matiz Zapata</cp:lastModifiedBy>
  <dcterms:created xsi:type="dcterms:W3CDTF">2016-12-06T04:52:27Z</dcterms:created>
  <dcterms:modified xsi:type="dcterms:W3CDTF">2019-05-03T21:58:25Z</dcterms:modified>
</cp:coreProperties>
</file>