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INSTITUTO" sheetId="2" r:id="rId5"/>
    <sheet state="visible" name="FINAL" sheetId="3" r:id="rId6"/>
    <sheet state="visible" name="EVALUACIÓN" sheetId="4" r:id="rId7"/>
    <sheet state="hidden" name="DATOS IMPORT" sheetId="5" r:id="rId8"/>
  </sheets>
  <definedNames/>
  <calcPr/>
</workbook>
</file>

<file path=xl/sharedStrings.xml><?xml version="1.0" encoding="utf-8"?>
<sst xmlns="http://schemas.openxmlformats.org/spreadsheetml/2006/main" count="296" uniqueCount="125">
  <si>
    <t>CÓMO RELLENAR EL EXCEL</t>
  </si>
  <si>
    <r>
      <rPr>
        <rFont val="Open Sans"/>
        <b/>
        <color theme="1"/>
        <sz val="19.0"/>
      </rPr>
      <t xml:space="preserve">LOS PROFESORES ÚNICAMENTE DEBEN INTRODUCIR VALORES EN LAS CELDAS EN </t>
    </r>
    <r>
      <rPr>
        <rFont val="Open Sans"/>
        <b/>
        <color rgb="FFFFFFFF"/>
        <sz val="19.0"/>
      </rPr>
      <t>BLANCO</t>
    </r>
    <r>
      <rPr>
        <rFont val="Open Sans"/>
        <b/>
        <color theme="1"/>
        <sz val="19.0"/>
      </rPr>
      <t>. EL RESTO DE CELDAS SE COMPLETAN DE FORMA AUTOMÁTICA</t>
    </r>
  </si>
  <si>
    <r>
      <rPr>
        <rFont val="Open Sans"/>
        <b/>
        <color rgb="FFFF0000"/>
        <sz val="22.0"/>
      </rPr>
      <t>NO SE PUEDE ELIMINAR</t>
    </r>
    <r>
      <rPr>
        <rFont val="Open Sans"/>
        <b/>
        <color theme="1"/>
        <sz val="22.0"/>
      </rPr>
      <t xml:space="preserve"> NINGUNA FILA DE ALUMNO. LAS FILAS QUE NO SE UTILICEN DEBEN QUEDAR EN </t>
    </r>
    <r>
      <rPr>
        <rFont val="Open Sans"/>
        <b/>
        <color theme="0"/>
        <sz val="22.0"/>
      </rPr>
      <t>BLANCO</t>
    </r>
  </si>
  <si>
    <t>PESTAÑAS</t>
  </si>
  <si>
    <t>INSTITUTO</t>
  </si>
  <si>
    <t>FINAL</t>
  </si>
  <si>
    <t>EVALUACIÓN</t>
  </si>
  <si>
    <t>DATOS IMPORT</t>
  </si>
  <si>
    <t>PAUTAS A TENER EN CUENTA</t>
  </si>
  <si>
    <t xml:space="preserve">SOLO PARA EQUIPOS DIRECTIVOS </t>
  </si>
  <si>
    <r>
      <rPr>
        <rFont val="Calibri"/>
        <color rgb="FF000000"/>
        <sz val="31.0"/>
      </rPr>
      <t xml:space="preserve">SELECCIONAR </t>
    </r>
    <r>
      <rPr>
        <rFont val="Calibri"/>
        <b/>
        <color rgb="FFFF9900"/>
        <sz val="31.0"/>
      </rPr>
      <t>NOTA FINAL</t>
    </r>
    <r>
      <rPr>
        <rFont val="Calibri"/>
        <color rgb="FF000000"/>
        <sz val="31.0"/>
      </rPr>
      <t xml:space="preserve"> TRIMESTRE PARA LA PLATAFORMA EDUCATIVA</t>
    </r>
  </si>
  <si>
    <t>SELECCIONAR TIPO DE ALUMNO</t>
  </si>
  <si>
    <t>1º) COMPLETAR EN LA PARTE SUPERIOR LOS DATOS DEL AÑO ADADÉMICO, SEDE, TITULACIÓN, MÓDULO Y PROFESOR. DICHA INFORMACIÓN SE COMPLETARÁ AUTOMÁTICAMENTE EN EL RESTO DE PESTAÑAS.</t>
  </si>
  <si>
    <t xml:space="preserve">1º) PEGAR EL URL (LINK) DEL EXCEL DE PORC.CRIT.SESIÓN DE EVALUACIÓN. </t>
  </si>
  <si>
    <r>
      <rPr>
        <rFont val="Calibri"/>
        <color theme="1"/>
        <sz val="19.0"/>
      </rPr>
      <t>2ª)</t>
    </r>
    <r>
      <rPr>
        <rFont val="Calibri"/>
        <b/>
        <color rgb="FF6AA84F"/>
        <sz val="19.0"/>
      </rPr>
      <t xml:space="preserve"> PARTE TEÓRICA</t>
    </r>
    <r>
      <rPr>
        <rFont val="Calibri"/>
        <color theme="1"/>
        <sz val="19.0"/>
      </rPr>
      <t>: LA NOTA OBTENIDA EN EL EXAMEN SE DEBE INTRODUCIR EN LA COLUMNA "EX. 1ª,2ª ó 3ª" Y LA RECUPERACIÓN O SUBIDA DE NOTA EN SU COLUMNA</t>
    </r>
  </si>
  <si>
    <t>2º) OCULTAR HOJA</t>
  </si>
  <si>
    <r>
      <rPr>
        <rFont val="Calibri"/>
        <color theme="1"/>
        <sz val="19.0"/>
      </rPr>
      <t xml:space="preserve">3ª) </t>
    </r>
    <r>
      <rPr>
        <rFont val="Calibri"/>
        <b/>
        <color rgb="FF3C78D8"/>
        <sz val="19.0"/>
      </rPr>
      <t>PARTE PRÁCTICA</t>
    </r>
    <r>
      <rPr>
        <rFont val="Calibri"/>
        <color rgb="FF3C78D8"/>
        <sz val="19.0"/>
      </rPr>
      <t>:</t>
    </r>
    <r>
      <rPr>
        <rFont val="Calibri"/>
        <color theme="1"/>
        <sz val="19.0"/>
      </rPr>
      <t xml:space="preserve"> DEBÉIS INTRODUCIR TANTAS COLUMNAS COMO </t>
    </r>
    <r>
      <rPr>
        <rFont val="Calibri"/>
        <b/>
        <color theme="1"/>
        <sz val="19.0"/>
      </rPr>
      <t>TAREAS</t>
    </r>
    <r>
      <rPr>
        <rFont val="Calibri"/>
        <color theme="1"/>
        <sz val="19.0"/>
      </rPr>
      <t xml:space="preserve"> TENGÁIS  (NUNCA INSERTÉIS COLUMNAS EN LOS EXTREMOS. SIEMPRE POR EL CENTRO). </t>
    </r>
  </si>
  <si>
    <r>
      <rPr>
        <rFont val="Calibri"/>
        <color theme="1"/>
        <sz val="19.0"/>
      </rPr>
      <t xml:space="preserve">4º) </t>
    </r>
    <r>
      <rPr>
        <rFont val="Calibri"/>
        <b/>
        <color rgb="FFCC0000"/>
        <sz val="19.0"/>
      </rPr>
      <t>COMPETENCIAS PERSONALES Y SOCIALES</t>
    </r>
    <r>
      <rPr>
        <rFont val="Calibri"/>
        <color theme="1"/>
        <sz val="19.0"/>
      </rPr>
      <t xml:space="preserve"> CUYO VALOR DEBÉIS ELEGIR DEL DESPLEGABLE (ENTRE 0 Y 10).</t>
    </r>
  </si>
  <si>
    <t>CALIFICADOR INSTITUTO VIRTUAL</t>
  </si>
  <si>
    <t>CURSO:</t>
  </si>
  <si>
    <t>SEDE:</t>
  </si>
  <si>
    <t>NOTA FINAL</t>
  </si>
  <si>
    <t>CICLO:</t>
  </si>
  <si>
    <t>PROFESOR/ES:</t>
  </si>
  <si>
    <t>MÓDULO:</t>
  </si>
  <si>
    <t>PRIMER TRIMESTRE</t>
  </si>
  <si>
    <t>SEGUNDO TRIMESTRE</t>
  </si>
  <si>
    <t>TERCER TRIMESTRE</t>
  </si>
  <si>
    <r>
      <rPr>
        <rFont val="Calibri"/>
        <b/>
        <color theme="1"/>
        <sz val="12.0"/>
        <u/>
      </rPr>
      <t>LEYENDA TIPO DE ALUMNO</t>
    </r>
    <r>
      <rPr>
        <rFont val="Calibri"/>
        <color theme="1"/>
        <sz val="12.0"/>
      </rPr>
      <t xml:space="preserve">
ACT: Alumno que cursa el módulo por primera vez.
REP: Alumno que promociona con el módulo pendiente de recuperar
CO: Convalida
AA: Aprobada en años anteriores
RC: Renuncia completa
RPO: Renuncia Parcial Ordinaria
RPE: Renuncia Parcial Extraordinaria
BAJA: Alumno que causa baja de manera oficial.              </t>
    </r>
  </si>
  <si>
    <t>TIPO ALUMNO</t>
  </si>
  <si>
    <t>ALUMNOS/AS</t>
  </si>
  <si>
    <t>EXAMEN 1T</t>
  </si>
  <si>
    <t>PRÁCTICA 1T</t>
  </si>
  <si>
    <t>CPS 1T</t>
  </si>
  <si>
    <t>NOTA MEDIA 1T</t>
  </si>
  <si>
    <t>RECUPERACIÓN 1T</t>
  </si>
  <si>
    <t>PLAT. EDUCATIVA                    (FINAL 1T)</t>
  </si>
  <si>
    <t>OCULTAR</t>
  </si>
  <si>
    <t>EXAMEN 2T</t>
  </si>
  <si>
    <t>PRÁCTICA 2T</t>
  </si>
  <si>
    <t>CPS 2T</t>
  </si>
  <si>
    <t>NOTA MEDIA 2T</t>
  </si>
  <si>
    <t>RECUPERACIÓN 2T</t>
  </si>
  <si>
    <t>PLAT. EDUCATIVA         (FINAL 2T)</t>
  </si>
  <si>
    <t>EXAMEN 3T</t>
  </si>
  <si>
    <t>PRÁCTICA 3T</t>
  </si>
  <si>
    <t>CPS 3T</t>
  </si>
  <si>
    <t>NOTA MEDIA 3T</t>
  </si>
  <si>
    <t>RECUPERACIÓN 3T</t>
  </si>
  <si>
    <t>PLAT. EDUCATIVA             (FINAL 3T)</t>
  </si>
  <si>
    <t>FINAL ORDINARIA</t>
  </si>
  <si>
    <t>FINAL EXTRAORD.</t>
  </si>
  <si>
    <t xml:space="preserve">ORDINARIA REPETIDOR </t>
  </si>
  <si>
    <t>EXTRAORD. REPETIDOR</t>
  </si>
  <si>
    <t>FINAL DEFINITIVA MÓDULO</t>
  </si>
  <si>
    <t>ACT</t>
  </si>
  <si>
    <t>ESTADÍSTICAS</t>
  </si>
  <si>
    <t>MENOS DE UN 5</t>
  </si>
  <si>
    <t>DE 5 A 6,99</t>
  </si>
  <si>
    <t>DE 7 A 7,99</t>
  </si>
  <si>
    <t>DE 8 A 8,99</t>
  </si>
  <si>
    <t>DE 9 A 10</t>
  </si>
  <si>
    <t>OBSERVACIONES</t>
  </si>
  <si>
    <t>EVALUACIÓN FINAL</t>
  </si>
  <si>
    <t>NOTA FINAL POR TRIMESTRE (PLATAFORMA EDUCATIVA)</t>
  </si>
  <si>
    <t>DATOS DETALLADOS</t>
  </si>
  <si>
    <t>NOTA FINAL REAL POR TRIMESTRE</t>
  </si>
  <si>
    <t>W VOLUNTARIO</t>
  </si>
  <si>
    <t>NOTA FINAL CURSO</t>
  </si>
  <si>
    <t>NOTA FINAL ORDINARIA</t>
  </si>
  <si>
    <t>NOTA FINAL EXTRAORDINARIA</t>
  </si>
  <si>
    <t>PERIODO EMPRESA</t>
  </si>
  <si>
    <t>DATOS PARA NOTA FINAL CURSO (N10)</t>
  </si>
  <si>
    <t>1º</t>
  </si>
  <si>
    <t>2º</t>
  </si>
  <si>
    <t>3º</t>
  </si>
  <si>
    <t>2ª</t>
  </si>
  <si>
    <t>3ª</t>
  </si>
  <si>
    <t>NOTAS</t>
  </si>
  <si>
    <t>TOTAL</t>
  </si>
  <si>
    <t>%</t>
  </si>
  <si>
    <t xml:space="preserve">NOTA </t>
  </si>
  <si>
    <t>NOTA</t>
  </si>
  <si>
    <t>RECUPERACIÓN</t>
  </si>
  <si>
    <t>ALUMNOS/AS TOTALES</t>
  </si>
  <si>
    <t>EVALUACIÓN TRIMESTRAL</t>
  </si>
  <si>
    <t>2024-25</t>
  </si>
  <si>
    <t>SEVILLA ESTE</t>
  </si>
  <si>
    <t>1º A SISTEMAS MICROINFORMÁTICOS Y REDES</t>
  </si>
  <si>
    <t>OSKAR MUÑOZ GALIANEZ</t>
  </si>
  <si>
    <t>SISTEMAS OPERATIVOS MONOPUESTO</t>
  </si>
  <si>
    <t>PERIODO EN LA EMPRESA</t>
  </si>
  <si>
    <t>NOTA MEDIA TEÓRICA (30%)</t>
  </si>
  <si>
    <t>RESULTADO APRENDIZAJE-CRITERIO DE EVALUACIÓN PRÁCTICOS</t>
  </si>
  <si>
    <t>NOTA MEDIA PRÁCTICA</t>
  </si>
  <si>
    <t>COMPETENCIAS PERSONALES Y SOCIALES</t>
  </si>
  <si>
    <t>CATALUÑA Y MURCIA:  NOTA</t>
  </si>
  <si>
    <t>EX.1ª</t>
  </si>
  <si>
    <t>RECUPERACIÓN / SUBIDA NOTA</t>
  </si>
  <si>
    <t>DEF</t>
  </si>
  <si>
    <t>TAREA 1</t>
  </si>
  <si>
    <t>TAREA 2</t>
  </si>
  <si>
    <t>TAREA 3</t>
  </si>
  <si>
    <t>TAREA 4</t>
  </si>
  <si>
    <t>TAREA 5</t>
  </si>
  <si>
    <t>TAREA 8</t>
  </si>
  <si>
    <t>EX. 2ª</t>
  </si>
  <si>
    <t>EX. 3ª</t>
  </si>
  <si>
    <t>RESULTADO</t>
  </si>
  <si>
    <t>RESTO COM: NO SUPERADO / SUPERADO</t>
  </si>
  <si>
    <t>SUPERADO</t>
  </si>
  <si>
    <t xml:space="preserve"> 1. Respeto a la comunidad educativa: compañeros, profesores y personal del centro. Así como el cuidado de las instalaciones.                                                </t>
  </si>
  <si>
    <t xml:space="preserve"> 2. Actitud proactiva e iniciativa del alumno/a. Toma las medidas necesarias para alcanzar los resultados pretendidos.</t>
  </si>
  <si>
    <t xml:space="preserve">3.  Responsabilidad e implicación. No pone excusas, aprovecha los medios y oportunidades que le ofrece el Centro (clases de refuerzo, mentorías, subidas de nota…). </t>
  </si>
  <si>
    <t xml:space="preserve"> 4. Predisposición para trabajo en equipo, así como comportamiento, actitud, respeto y responsabilidad observada dentro de este.</t>
  </si>
  <si>
    <t>5.  Asistencia y puntualidad a las clases y a las actividades programadas por el Centro.</t>
  </si>
  <si>
    <t>DATOS IMPORTRANGE (EXCEL PREEVALUACIÓN)</t>
  </si>
  <si>
    <t>TOTAL CELDAS</t>
  </si>
  <si>
    <t>TAREAS EVALUADAS</t>
  </si>
  <si>
    <t>% TAREAS EVALUADAS</t>
  </si>
  <si>
    <t>NOTA MEDIA</t>
  </si>
  <si>
    <t>RELACIÓN CE TEÓRICOS / PRÁCTICOS</t>
  </si>
  <si>
    <t>URL (EXCEL PORC.CRIT. SESION DE EVALUACIÓN)</t>
  </si>
  <si>
    <t>ALUMNOS</t>
  </si>
  <si>
    <t>https://docs.google.com/spreadsheets/d/1lFlhMoydzfIkgNRwfGGW71WGwTc1AHjCbRax0vNr5LE/edit?gid=1244256603#gid=1244256603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</si>
</sst>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2.0"/>
      <color theme="1"/>
      <name val="Arial"/>
      <scheme val="minor"/>
    </font>
    <font>
      <sz val="12.0"/>
      <color theme="1"/>
      <name val="Calibri"/>
    </font>
    <font/>
    <font>
      <color theme="1"/>
      <name val="Arial"/>
      <scheme val="minor"/>
    </font>
    <font>
      <b/>
      <sz val="12.0"/>
      <color theme="0"/>
      <name val="Calibri"/>
    </font>
    <font>
      <b/>
      <sz val="19.0"/>
      <color theme="1"/>
      <name val="Open Sans"/>
    </font>
    <font>
      <b/>
      <sz val="22.0"/>
      <color theme="1"/>
      <name val="Open Sans"/>
    </font>
    <font>
      <b/>
      <sz val="14.0"/>
      <color theme="0"/>
      <name val="Open Sans"/>
    </font>
    <font>
      <b/>
      <sz val="21.0"/>
      <color theme="0"/>
      <name val="Open Sans"/>
    </font>
    <font>
      <sz val="21.0"/>
      <color theme="0"/>
      <name val="Open Sans"/>
    </font>
    <font>
      <b/>
      <sz val="20.0"/>
      <color theme="1"/>
      <name val="Calibri"/>
    </font>
    <font>
      <sz val="31.0"/>
      <color rgb="FF000000"/>
      <name val="Calibri"/>
    </font>
    <font>
      <sz val="19.0"/>
      <color theme="1"/>
      <name val="Calibri"/>
    </font>
    <font>
      <b/>
      <sz val="24.0"/>
      <color rgb="FFFFFFFF"/>
      <name val="Calibri"/>
    </font>
    <font>
      <b/>
      <sz val="12.0"/>
      <color rgb="FFFFFFFF"/>
      <name val="Calibri"/>
    </font>
    <font>
      <b/>
      <sz val="36.0"/>
      <color rgb="FFFFFFFF"/>
      <name val="Calibri"/>
    </font>
    <font>
      <b/>
      <sz val="18.0"/>
      <color rgb="FF073763"/>
      <name val="Calibri"/>
    </font>
    <font>
      <b/>
      <sz val="18.0"/>
      <color theme="0"/>
      <name val="Calibri"/>
    </font>
    <font>
      <b/>
      <sz val="12.0"/>
      <color rgb="FF073763"/>
      <name val="Calibri"/>
    </font>
    <font>
      <b/>
      <sz val="10.0"/>
      <color rgb="FFFFFFFF"/>
      <name val="Calibri"/>
    </font>
    <font>
      <b/>
      <sz val="10.0"/>
      <color rgb="FF073763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0"/>
      <name val="Calibri"/>
    </font>
    <font>
      <b/>
      <sz val="27.0"/>
      <color rgb="FFFFFFFF"/>
      <name val="Calibri"/>
    </font>
    <font>
      <b/>
      <sz val="15.0"/>
      <color theme="0"/>
      <name val="Calibri"/>
    </font>
    <font>
      <b/>
      <sz val="11.0"/>
      <color theme="1"/>
      <name val="Calibri"/>
    </font>
    <font>
      <sz val="12.0"/>
      <color rgb="FFFFFFFF"/>
      <name val="Calibri"/>
    </font>
    <font>
      <b/>
      <sz val="12.0"/>
      <color rgb="FFFF0000"/>
      <name val="Calibri"/>
    </font>
    <font>
      <sz val="12.0"/>
      <color theme="1"/>
      <name val="Arial"/>
    </font>
    <font>
      <b/>
      <sz val="14.0"/>
      <color rgb="FF073763"/>
      <name val="Calibri"/>
    </font>
    <font>
      <b/>
      <sz val="14.0"/>
      <color theme="0"/>
      <name val="Calibri"/>
    </font>
    <font>
      <b/>
      <sz val="29.0"/>
      <color rgb="FFFFFFFF"/>
      <name val="Calibri"/>
    </font>
    <font>
      <b/>
      <sz val="9.0"/>
      <color rgb="FF073763"/>
      <name val="Calibri"/>
    </font>
    <font>
      <b/>
      <sz val="16.0"/>
      <color rgb="FF073763"/>
      <name val="Calibri"/>
    </font>
    <font>
      <b/>
      <sz val="14.0"/>
      <color rgb="FFFFFFFF"/>
      <name val="Calibri"/>
    </font>
    <font>
      <b/>
      <sz val="9.0"/>
      <color theme="0"/>
      <name val="Calibri"/>
    </font>
    <font>
      <b/>
      <sz val="16.0"/>
      <color rgb="FFFFFFFF"/>
      <name val="Calibri"/>
    </font>
    <font>
      <b/>
      <sz val="16.0"/>
      <color theme="0"/>
      <name val="Calibri"/>
    </font>
    <font>
      <b/>
      <sz val="10.0"/>
      <color theme="0"/>
      <name val="Calibri"/>
    </font>
    <font>
      <b/>
      <sz val="16.0"/>
      <color rgb="FFBF9000"/>
      <name val="Calibri"/>
    </font>
    <font>
      <b/>
      <sz val="8.0"/>
      <color rgb="FF073763"/>
      <name val="Calibri"/>
    </font>
    <font>
      <b/>
      <sz val="8.0"/>
      <color rgb="FFFFFFFF"/>
      <name val="Calibri"/>
    </font>
    <font>
      <b/>
      <sz val="14.0"/>
      <color rgb="FFBF9000"/>
      <name val="Calibri"/>
    </font>
    <font>
      <sz val="12.0"/>
      <color rgb="FFFF0000"/>
      <name val="Calibri"/>
    </font>
    <font>
      <b/>
      <sz val="10.0"/>
      <color rgb="FF1F497D"/>
      <name val="Calibri"/>
    </font>
    <font>
      <sz val="10.0"/>
      <color theme="0"/>
      <name val="Calibri"/>
    </font>
    <font>
      <b/>
      <sz val="18.0"/>
      <color rgb="FFFFFFFF"/>
      <name val="Calibri"/>
    </font>
    <font>
      <color theme="1"/>
      <name val="Open Sans"/>
    </font>
    <font>
      <sz val="12.0"/>
      <color theme="1"/>
      <name val="Open Sans"/>
    </font>
    <font>
      <b/>
      <sz val="12.0"/>
      <color rgb="FFFFFFFF"/>
      <name val="&quot;Open Sans&quot;"/>
    </font>
    <font>
      <b/>
      <sz val="10.0"/>
      <color rgb="FFFFFFFF"/>
      <name val="&quot;Open Sans&quot;"/>
    </font>
    <font>
      <u/>
      <color rgb="FF0000FF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E69138"/>
        <bgColor rgb="FFE69138"/>
      </patternFill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E4ECED"/>
        <bgColor rgb="FFE4ECED"/>
      </patternFill>
    </fill>
    <fill>
      <patternFill patternType="solid">
        <fgColor rgb="FFF4CCCC"/>
        <bgColor rgb="FFF4CCCC"/>
      </patternFill>
    </fill>
    <fill>
      <patternFill patternType="solid">
        <fgColor theme="8"/>
        <bgColor theme="8"/>
      </patternFill>
    </fill>
    <fill>
      <patternFill patternType="solid">
        <fgColor rgb="FF8DB3E2"/>
        <bgColor rgb="FF8DB3E2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DBE5F1"/>
        <bgColor rgb="FFDBE5F1"/>
      </patternFill>
    </fill>
    <fill>
      <patternFill patternType="solid">
        <fgColor rgb="FFF1C232"/>
        <bgColor rgb="FFF1C232"/>
      </patternFill>
    </fill>
    <fill>
      <patternFill patternType="solid">
        <fgColor rgb="FF8DB4E2"/>
        <bgColor rgb="FF8DB4E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  <bgColor rgb="FFFFC7CE"/>
      </patternFill>
    </fill>
    <fill>
      <patternFill patternType="solid">
        <fgColor rgb="FF4BACC6"/>
        <bgColor rgb="FF4BACC6"/>
      </patternFill>
    </fill>
    <fill>
      <patternFill patternType="solid">
        <fgColor rgb="FF3D85C6"/>
        <bgColor rgb="FF3D85C6"/>
      </patternFill>
    </fill>
  </fills>
  <borders count="19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F4CCCC"/>
      </bottom>
    </border>
    <border>
      <left style="thin">
        <color rgb="FF000000"/>
      </left>
      <right style="thick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double">
        <color theme="1"/>
      </top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thin">
        <color rgb="FFFFFFFF"/>
      </bottom>
    </border>
    <border>
      <right style="medium">
        <color rgb="FFFFFFFF"/>
      </right>
      <top style="medium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4BACC6"/>
      </left>
      <top style="thin">
        <color rgb="FF000000"/>
      </top>
    </border>
    <border>
      <left style="thin">
        <color rgb="FF000000"/>
      </left>
      <bottom style="thin">
        <color rgb="FFFFFFFF"/>
      </bottom>
    </border>
    <border>
      <bottom style="thin">
        <color rgb="FFFFFFFF"/>
      </bottom>
    </border>
    <border>
      <left style="thick">
        <color rgb="FF4BACC6"/>
      </left>
    </border>
    <border>
      <left style="thin">
        <color rgb="FF000000"/>
      </left>
      <top style="thin">
        <color rgb="FFFFFFFF"/>
      </top>
    </border>
    <border>
      <top style="thin">
        <color rgb="FFFFFFFF"/>
      </top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FF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4BACC6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top style="double">
        <color rgb="FF000000"/>
      </top>
    </border>
    <border>
      <left style="thick">
        <color rgb="FF4BACC6"/>
      </left>
      <right style="thin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4BACC6"/>
      </left>
      <right style="thin">
        <color rgb="FF000000"/>
      </right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4BACC6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right style="thick">
        <color rgb="FFFF0000"/>
      </right>
      <bottom style="thin">
        <color rgb="FF000000"/>
      </bottom>
    </border>
    <border>
      <left style="thick">
        <color rgb="FF000000"/>
      </left>
      <top style="double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ck">
        <color rgb="FF4BACC6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4BACC6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FF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</border>
    <border>
      <left style="thick">
        <color rgb="FF4BACC6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ck">
        <color rgb="FF4BACC6"/>
      </left>
      <bottom style="thin">
        <color rgb="FF000000"/>
      </bottom>
    </border>
    <border>
      <left/>
      <top/>
    </border>
    <border>
      <top/>
    </border>
    <border>
      <left/>
      <bottom style="double">
        <color theme="1"/>
      </bottom>
    </border>
    <border>
      <bottom style="double">
        <color theme="1"/>
      </bottom>
    </border>
    <border>
      <left/>
      <top style="double">
        <color theme="1"/>
      </top>
      <bottom style="double">
        <color theme="1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top style="double">
        <color theme="1"/>
      </top>
      <bottom style="double">
        <color theme="1"/>
      </bottom>
    </border>
    <border>
      <right/>
      <top style="double">
        <color theme="1"/>
      </top>
    </border>
    <border>
      <left style="double">
        <color theme="1"/>
      </left>
      <top style="double">
        <color theme="1"/>
      </top>
    </border>
    <border>
      <left style="medium">
        <color rgb="FFFFFFFF"/>
      </left>
      <top style="medium">
        <color rgb="FFFFFFFF"/>
      </top>
    </border>
    <border>
      <right/>
    </border>
    <border>
      <left style="double">
        <color theme="1"/>
      </left>
    </border>
    <border>
      <left style="medium">
        <color rgb="FFFFFFFF"/>
      </left>
    </border>
    <border>
      <top style="medium">
        <color rgb="FFFFFFFF"/>
      </top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left/>
    </border>
    <border>
      <right/>
      <bottom style="double">
        <color theme="1"/>
      </bottom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double">
        <color theme="1"/>
      </right>
      <top style="double">
        <color theme="1"/>
      </top>
      <bottom style="double">
        <color theme="1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top/>
      <bottom style="double">
        <color theme="1"/>
      </bottom>
    </border>
    <border>
      <right style="double">
        <color theme="1"/>
      </right>
      <top/>
      <bottom style="double">
        <color theme="1"/>
      </bottom>
    </border>
    <border>
      <left style="double">
        <color theme="1"/>
      </left>
      <right style="double">
        <color theme="1"/>
      </right>
      <top/>
      <bottom style="double">
        <color theme="1"/>
      </bottom>
    </border>
    <border>
      <left/>
      <right style="double">
        <color theme="1"/>
      </right>
      <top/>
      <bottom style="double">
        <color theme="1"/>
      </bottom>
    </border>
    <border>
      <left/>
      <right/>
      <top/>
      <bottom/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/>
      <top/>
      <bottom/>
    </border>
    <border>
      <left/>
      <right style="double">
        <color theme="1"/>
      </right>
      <top/>
      <bottom/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double">
        <color theme="1"/>
      </right>
    </border>
    <border>
      <right style="thick">
        <color theme="4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double">
        <color theme="1"/>
      </right>
      <bottom style="double">
        <color theme="1"/>
      </bottom>
    </border>
    <border>
      <left style="double">
        <color theme="1"/>
      </left>
      <right style="double">
        <color theme="1"/>
      </right>
      <bottom style="double">
        <color theme="1"/>
      </bottom>
    </border>
    <border>
      <left/>
      <right style="double">
        <color theme="1"/>
      </right>
      <bottom style="double">
        <color theme="1"/>
      </bottom>
    </border>
    <border>
      <bottom/>
    </border>
    <border>
      <left/>
      <right/>
      <top/>
      <bottom style="double">
        <color theme="1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73763"/>
      </left>
      <top style="medium">
        <color rgb="FF073763"/>
      </top>
      <bottom style="medium">
        <color rgb="FF073763"/>
      </bottom>
    </border>
    <border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BF9000"/>
      </left>
      <right style="thick">
        <color rgb="FFBF9000"/>
      </right>
    </border>
    <border>
      <left style="thick">
        <color rgb="FF000000"/>
      </left>
    </border>
    <border>
      <left/>
      <bottom style="thin">
        <color rgb="FF000000"/>
      </bottom>
    </border>
    <border>
      <left style="thick">
        <color rgb="FFBF9000"/>
      </left>
      <right style="thick">
        <color rgb="FFBF9000"/>
      </right>
      <top style="thick">
        <color rgb="FF000000"/>
      </top>
      <bottom style="thin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ck">
        <color rgb="FFBF9000"/>
      </left>
      <right style="thick">
        <color rgb="FFBF9000"/>
      </right>
      <top style="thin">
        <color rgb="FF000000"/>
      </top>
      <bottom style="thick">
        <color rgb="FF000000"/>
      </bottom>
    </border>
    <border>
      <left style="thick">
        <color rgb="FFBF9000"/>
      </left>
      <right style="thick">
        <color rgb="FFBF9000"/>
      </right>
      <bottom style="thin">
        <color rgb="FF000000"/>
      </bottom>
    </border>
    <border>
      <left style="thick">
        <color rgb="FFBF9000"/>
      </left>
      <right style="thick">
        <color rgb="FFBF9000"/>
      </right>
      <bottom style="thick">
        <color rgb="FFBF9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4" fillId="2" fontId="4" numFmtId="0" xfId="0" applyAlignment="1" applyBorder="1" applyFont="1">
      <alignment horizontal="center" vertical="center"/>
    </xf>
    <xf borderId="11" fillId="3" fontId="5" numFmtId="0" xfId="0" applyAlignment="1" applyBorder="1" applyFill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14" fillId="4" fontId="7" numFmtId="0" xfId="0" applyAlignment="1" applyBorder="1" applyFill="1" applyFont="1">
      <alignment horizontal="center" vertical="center"/>
    </xf>
    <xf borderId="8" fillId="4" fontId="8" numFmtId="0" xfId="0" applyAlignment="1" applyBorder="1" applyFont="1">
      <alignment horizontal="center" readingOrder="0" vertical="center"/>
    </xf>
    <xf borderId="9" fillId="5" fontId="8" numFmtId="0" xfId="0" applyAlignment="1" applyBorder="1" applyFill="1" applyFont="1">
      <alignment horizontal="center" readingOrder="0" vertical="center"/>
    </xf>
    <xf borderId="9" fillId="6" fontId="8" numFmtId="0" xfId="0" applyAlignment="1" applyBorder="1" applyFill="1" applyFont="1">
      <alignment horizontal="center" readingOrder="0" vertical="center"/>
    </xf>
    <xf borderId="10" fillId="4" fontId="8" numFmtId="0" xfId="0" applyAlignment="1" applyBorder="1" applyFont="1">
      <alignment horizontal="center" readingOrder="0" vertical="center"/>
    </xf>
    <xf borderId="4" fillId="7" fontId="9" numFmtId="0" xfId="0" applyBorder="1" applyFill="1" applyFont="1"/>
    <xf borderId="5" fillId="7" fontId="9" numFmtId="0" xfId="0" applyBorder="1" applyFont="1"/>
    <xf borderId="15" fillId="2" fontId="4" numFmtId="0" xfId="0" applyAlignment="1" applyBorder="1" applyFont="1">
      <alignment horizontal="center" textRotation="255" vertical="center"/>
    </xf>
    <xf borderId="3" fillId="8" fontId="10" numFmtId="49" xfId="0" applyAlignment="1" applyBorder="1" applyFill="1" applyFont="1" applyNumberFormat="1">
      <alignment horizontal="center" readingOrder="0" shrinkToFit="0" vertical="center" wrapText="1"/>
    </xf>
    <xf borderId="16" fillId="9" fontId="11" numFmtId="0" xfId="0" applyAlignment="1" applyBorder="1" applyFill="1" applyFont="1">
      <alignment horizontal="center" readingOrder="0" shrinkToFit="0" vertical="center" wrapText="1"/>
    </xf>
    <xf borderId="17" fillId="10" fontId="12" numFmtId="49" xfId="0" applyAlignment="1" applyBorder="1" applyFill="1" applyFont="1" applyNumberFormat="1">
      <alignment horizontal="center" readingOrder="0" shrinkToFit="0" vertical="center" wrapText="1"/>
    </xf>
    <xf borderId="18" fillId="0" fontId="2" numFmtId="0" xfId="0" applyBorder="1" applyFont="1"/>
    <xf borderId="19" fillId="11" fontId="10" numFmtId="49" xfId="0" applyAlignment="1" applyBorder="1" applyFill="1" applyFont="1" applyNumberFormat="1">
      <alignment horizontal="center" readingOrder="0" shrinkToFit="0" vertical="center" wrapText="1"/>
    </xf>
    <xf borderId="16" fillId="0" fontId="2" numFmtId="0" xfId="0" applyBorder="1" applyFont="1"/>
    <xf borderId="20" fillId="10" fontId="12" numFmtId="49" xfId="0" applyAlignment="1" applyBorder="1" applyFont="1" applyNumberFormat="1">
      <alignment horizontal="center" readingOrder="0" shrinkToFit="0" vertical="center" wrapText="1"/>
    </xf>
    <xf borderId="21" fillId="11" fontId="10" numFmtId="49" xfId="0" applyAlignment="1" applyBorder="1" applyFont="1" applyNumberFormat="1">
      <alignment horizontal="center" readingOrder="0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1" numFmtId="0" xfId="0" applyAlignment="1" applyBorder="1" applyFont="1">
      <alignment horizontal="center"/>
    </xf>
    <xf borderId="31" fillId="0" fontId="2" numFmtId="0" xfId="0" applyBorder="1" applyFont="1"/>
    <xf borderId="1" fillId="12" fontId="13" numFmtId="0" xfId="0" applyAlignment="1" applyBorder="1" applyFill="1" applyFont="1">
      <alignment horizontal="center" readingOrder="0" vertical="center"/>
    </xf>
    <xf borderId="32" fillId="13" fontId="14" numFmtId="0" xfId="0" applyAlignment="1" applyBorder="1" applyFill="1" applyFont="1">
      <alignment horizontal="center" readingOrder="0" vertical="center"/>
    </xf>
    <xf borderId="33" fillId="13" fontId="14" numFmtId="0" xfId="0" applyAlignment="1" applyBorder="1" applyFont="1">
      <alignment horizontal="center" readingOrder="0" vertical="center"/>
    </xf>
    <xf borderId="34" fillId="0" fontId="2" numFmtId="0" xfId="0" applyBorder="1" applyFont="1"/>
    <xf borderId="35" fillId="13" fontId="4" numFmtId="0" xfId="0" applyAlignment="1" applyBorder="1" applyFont="1">
      <alignment horizontal="right" vertical="center"/>
    </xf>
    <xf borderId="36" fillId="0" fontId="2" numFmtId="0" xfId="0" applyBorder="1" applyFont="1"/>
    <xf borderId="4" fillId="0" fontId="2" numFmtId="0" xfId="0" applyBorder="1" applyFont="1"/>
    <xf borderId="5" fillId="13" fontId="4" numFmtId="0" xfId="0" applyAlignment="1" applyBorder="1" applyFont="1">
      <alignment horizontal="center" vertical="center"/>
    </xf>
    <xf borderId="37" fillId="13" fontId="14" numFmtId="0" xfId="0" applyAlignment="1" applyBorder="1" applyFont="1">
      <alignment horizontal="left" readingOrder="0"/>
    </xf>
    <xf borderId="0" fillId="2" fontId="14" numFmtId="0" xfId="0" applyAlignment="1" applyFont="1">
      <alignment horizontal="center"/>
    </xf>
    <xf borderId="38" fillId="4" fontId="15" numFmtId="0" xfId="0" applyAlignment="1" applyBorder="1" applyFont="1">
      <alignment horizontal="center" readingOrder="0" shrinkToFit="0" vertical="center" wrapText="1"/>
    </xf>
    <xf borderId="39" fillId="13" fontId="4" numFmtId="0" xfId="0" applyAlignment="1" applyBorder="1" applyFont="1">
      <alignment horizontal="right" vertical="center"/>
    </xf>
    <xf borderId="40" fillId="0" fontId="2" numFmtId="0" xfId="0" applyBorder="1" applyFont="1"/>
    <xf borderId="37" fillId="13" fontId="14" numFmtId="0" xfId="0" applyAlignment="1" applyBorder="1" applyFont="1">
      <alignment horizontal="left"/>
    </xf>
    <xf borderId="41" fillId="0" fontId="2" numFmtId="0" xfId="0" applyBorder="1" applyFont="1"/>
    <xf borderId="35" fillId="13" fontId="14" numFmtId="0" xfId="0" applyAlignment="1" applyBorder="1" applyFont="1">
      <alignment horizontal="right" readingOrder="0" vertical="center"/>
    </xf>
    <xf borderId="5" fillId="13" fontId="14" numFmtId="0" xfId="0" applyAlignment="1" applyBorder="1" applyFont="1">
      <alignment horizontal="center" readingOrder="0" vertical="center"/>
    </xf>
    <xf borderId="37" fillId="13" fontId="4" numFmtId="0" xfId="0" applyAlignment="1" applyBorder="1" applyFont="1">
      <alignment horizontal="left"/>
    </xf>
    <xf borderId="5" fillId="13" fontId="4" numFmtId="0" xfId="0" applyAlignment="1" applyBorder="1" applyFont="1">
      <alignment horizontal="left"/>
    </xf>
    <xf borderId="37" fillId="13" fontId="4" numFmtId="0" xfId="0" applyAlignment="1" applyBorder="1" applyFont="1">
      <alignment horizontal="left" vertical="top"/>
    </xf>
    <xf borderId="0" fillId="2" fontId="4" numFmtId="0" xfId="0" applyAlignment="1" applyFont="1">
      <alignment horizontal="center" vertical="top"/>
    </xf>
    <xf borderId="42" fillId="13" fontId="4" numFmtId="0" xfId="0" applyAlignment="1" applyBorder="1" applyFont="1">
      <alignment horizontal="right" vertical="center"/>
    </xf>
    <xf borderId="43" fillId="0" fontId="2" numFmtId="0" xfId="0" applyBorder="1" applyFont="1"/>
    <xf borderId="25" fillId="13" fontId="4" numFmtId="0" xfId="0" applyAlignment="1" applyBorder="1" applyFont="1">
      <alignment horizontal="left" vertical="center"/>
    </xf>
    <xf borderId="0" fillId="2" fontId="4" numFmtId="0" xfId="0" applyAlignment="1" applyFont="1">
      <alignment horizontal="center" vertical="center"/>
    </xf>
    <xf borderId="44" fillId="3" fontId="16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0" fillId="3" fontId="16" numFmtId="0" xfId="0" applyAlignment="1" applyFont="1">
      <alignment horizontal="center" shrinkToFit="0" vertical="center" wrapText="1"/>
    </xf>
    <xf borderId="47" fillId="14" fontId="17" numFmtId="0" xfId="0" applyAlignment="1" applyBorder="1" applyFill="1" applyFont="1">
      <alignment horizontal="center" shrinkToFit="0" vertical="center" wrapText="1"/>
    </xf>
    <xf borderId="48" fillId="0" fontId="2" numFmtId="0" xfId="0" applyBorder="1" applyFont="1"/>
    <xf borderId="0" fillId="14" fontId="17" numFmtId="0" xfId="0" applyAlignment="1" applyFont="1">
      <alignment horizontal="center" shrinkToFit="0" vertical="center" wrapText="1"/>
    </xf>
    <xf borderId="47" fillId="12" fontId="17" numFmtId="0" xfId="0" applyAlignment="1" applyBorder="1" applyFont="1">
      <alignment horizontal="center" shrinkToFit="0" vertical="center" wrapText="1"/>
    </xf>
    <xf borderId="0" fillId="12" fontId="17" numFmtId="0" xfId="0" applyAlignment="1" applyFont="1">
      <alignment horizontal="center" shrinkToFit="0" vertical="center" wrapText="1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14" fillId="0" fontId="1" numFmtId="0" xfId="0" applyAlignment="1" applyBorder="1" applyFont="1">
      <alignment horizontal="left" readingOrder="0" vertical="center"/>
    </xf>
    <xf borderId="12" fillId="0" fontId="1" numFmtId="0" xfId="0" applyAlignment="1" applyBorder="1" applyFont="1">
      <alignment horizontal="left" readingOrder="0" vertical="center"/>
    </xf>
    <xf borderId="13" fillId="0" fontId="1" numFmtId="0" xfId="0" applyAlignment="1" applyBorder="1" applyFont="1">
      <alignment horizontal="left" readingOrder="0" vertical="center"/>
    </xf>
    <xf borderId="52" fillId="0" fontId="2" numFmtId="0" xfId="0" applyBorder="1" applyFont="1"/>
    <xf borderId="53" fillId="0" fontId="2" numFmtId="0" xfId="0" applyBorder="1" applyFont="1"/>
    <xf borderId="54" fillId="7" fontId="18" numFmtId="0" xfId="0" applyAlignment="1" applyBorder="1" applyFont="1">
      <alignment horizontal="center" vertical="center"/>
    </xf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0" fillId="7" fontId="4" numFmtId="0" xfId="0" applyAlignment="1" applyFon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41" fillId="7" fontId="4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readingOrder="0" shrinkToFit="0" vertical="center" wrapText="1"/>
    </xf>
    <xf borderId="60" fillId="2" fontId="4" numFmtId="0" xfId="0" applyAlignment="1" applyBorder="1" applyFont="1">
      <alignment horizontal="center" vertical="center"/>
    </xf>
    <xf borderId="61" fillId="3" fontId="18" numFmtId="0" xfId="0" applyAlignment="1" applyBorder="1" applyFont="1">
      <alignment horizontal="center" readingOrder="0" vertical="center"/>
    </xf>
    <xf borderId="62" fillId="3" fontId="18" numFmtId="0" xfId="0" applyAlignment="1" applyBorder="1" applyFont="1">
      <alignment horizontal="center" readingOrder="0" vertical="center"/>
    </xf>
    <xf borderId="62" fillId="3" fontId="20" numFmtId="2" xfId="0" applyAlignment="1" applyBorder="1" applyFont="1" applyNumberFormat="1">
      <alignment horizontal="center" readingOrder="0" vertical="center"/>
    </xf>
    <xf borderId="62" fillId="3" fontId="20" numFmtId="0" xfId="0" applyAlignment="1" applyBorder="1" applyFont="1">
      <alignment horizontal="center" readingOrder="0" vertical="center"/>
    </xf>
    <xf borderId="63" fillId="3" fontId="18" numFmtId="0" xfId="0" applyAlignment="1" applyBorder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16" fillId="14" fontId="14" numFmtId="0" xfId="0" applyAlignment="1" applyBorder="1" applyFont="1">
      <alignment horizontal="center" readingOrder="0" vertical="center"/>
    </xf>
    <xf borderId="18" fillId="14" fontId="14" numFmtId="0" xfId="0" applyAlignment="1" applyBorder="1" applyFont="1">
      <alignment horizontal="center" readingOrder="0" vertical="center"/>
    </xf>
    <xf borderId="18" fillId="14" fontId="21" numFmtId="0" xfId="0" applyAlignment="1" applyBorder="1" applyFont="1">
      <alignment horizontal="center" readingOrder="0" vertical="center"/>
    </xf>
    <xf borderId="64" fillId="14" fontId="14" numFmtId="0" xfId="0" applyAlignment="1" applyBorder="1" applyFont="1">
      <alignment horizontal="center" readingOrder="0" shrinkToFit="0" vertical="center" wrapText="1"/>
    </xf>
    <xf borderId="0" fillId="14" fontId="14" numFmtId="0" xfId="0" applyAlignment="1" applyFont="1">
      <alignment horizontal="center" readingOrder="0" shrinkToFit="0" vertical="center" wrapText="1"/>
    </xf>
    <xf borderId="65" fillId="12" fontId="14" numFmtId="0" xfId="0" applyAlignment="1" applyBorder="1" applyFont="1">
      <alignment horizontal="center" readingOrder="0" vertical="center"/>
    </xf>
    <xf borderId="66" fillId="12" fontId="14" numFmtId="0" xfId="0" applyAlignment="1" applyBorder="1" applyFont="1">
      <alignment horizontal="center" readingOrder="0" vertical="center"/>
    </xf>
    <xf borderId="66" fillId="12" fontId="21" numFmtId="0" xfId="0" applyAlignment="1" applyBorder="1" applyFont="1">
      <alignment horizontal="center" readingOrder="0" vertical="center"/>
    </xf>
    <xf borderId="67" fillId="12" fontId="14" numFmtId="0" xfId="0" applyAlignment="1" applyBorder="1" applyFont="1">
      <alignment horizontal="center" readingOrder="0" shrinkToFit="0" vertical="center" wrapText="1"/>
    </xf>
    <xf borderId="68" fillId="12" fontId="14" numFmtId="0" xfId="0" applyAlignment="1" applyBorder="1" applyFont="1">
      <alignment horizontal="center" readingOrder="0" shrinkToFit="0" vertical="center" wrapText="1"/>
    </xf>
    <xf borderId="69" fillId="4" fontId="14" numFmtId="0" xfId="0" applyAlignment="1" applyBorder="1" applyFont="1">
      <alignment horizontal="center" readingOrder="0" shrinkToFit="0" vertical="center" wrapText="1"/>
    </xf>
    <xf borderId="66" fillId="4" fontId="14" numFmtId="0" xfId="0" applyAlignment="1" applyBorder="1" applyFont="1">
      <alignment horizontal="center" readingOrder="0" shrinkToFit="0" vertical="center" wrapText="1"/>
    </xf>
    <xf borderId="66" fillId="15" fontId="14" numFmtId="0" xfId="0" applyAlignment="1" applyBorder="1" applyFill="1" applyFont="1">
      <alignment horizontal="center" readingOrder="0" shrinkToFit="0" vertical="center" wrapText="1"/>
    </xf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14" fillId="16" fontId="14" numFmtId="0" xfId="0" applyAlignment="1" applyBorder="1" applyFill="1" applyFont="1">
      <alignment horizontal="center" readingOrder="0"/>
    </xf>
    <xf borderId="77" fillId="16" fontId="22" numFmtId="0" xfId="0" applyAlignment="1" applyBorder="1" applyFont="1">
      <alignment horizontal="center"/>
    </xf>
    <xf borderId="14" fillId="16" fontId="1" numFmtId="49" xfId="0" applyAlignment="1" applyBorder="1" applyFont="1" applyNumberFormat="1">
      <alignment readingOrder="0"/>
    </xf>
    <xf borderId="14" fillId="16" fontId="1" numFmtId="0" xfId="0" applyAlignment="1" applyBorder="1" applyFont="1">
      <alignment horizontal="center" readingOrder="0" vertical="center"/>
    </xf>
    <xf borderId="14" fillId="16" fontId="1" numFmtId="2" xfId="0" applyAlignment="1" applyBorder="1" applyFont="1" applyNumberFormat="1">
      <alignment horizontal="center" readingOrder="0" vertical="center"/>
    </xf>
    <xf borderId="78" fillId="16" fontId="1" numFmtId="0" xfId="0" applyAlignment="1" applyBorder="1" applyFont="1">
      <alignment horizontal="center" readingOrder="0" vertical="center"/>
    </xf>
    <xf borderId="12" fillId="16" fontId="1" numFmtId="0" xfId="0" applyAlignment="1" applyBorder="1" applyFont="1">
      <alignment horizontal="center" readingOrder="0" vertical="center"/>
    </xf>
    <xf borderId="79" fillId="16" fontId="1" numFmtId="0" xfId="0" applyAlignment="1" applyBorder="1" applyFont="1">
      <alignment horizontal="center" readingOrder="0" vertical="center"/>
    </xf>
    <xf borderId="14" fillId="16" fontId="23" numFmtId="1" xfId="0" applyAlignment="1" applyBorder="1" applyFont="1" applyNumberFormat="1">
      <alignment horizontal="center" vertical="center"/>
    </xf>
    <xf borderId="80" fillId="16" fontId="1" numFmtId="0" xfId="0" applyAlignment="1" applyBorder="1" applyFont="1">
      <alignment horizontal="center" readingOrder="0" vertical="center"/>
    </xf>
    <xf borderId="12" fillId="16" fontId="22" numFmtId="0" xfId="0" applyAlignment="1" applyBorder="1" applyFont="1">
      <alignment horizontal="center"/>
    </xf>
    <xf borderId="14" fillId="16" fontId="22" numFmtId="0" xfId="0" applyAlignment="1" applyBorder="1" applyFont="1">
      <alignment horizontal="center" readingOrder="0"/>
    </xf>
    <xf borderId="14" fillId="16" fontId="1" numFmtId="49" xfId="0" applyBorder="1" applyFont="1" applyNumberFormat="1"/>
    <xf borderId="81" fillId="16" fontId="22" numFmtId="0" xfId="0" applyAlignment="1" applyBorder="1" applyFont="1">
      <alignment horizontal="center" readingOrder="0"/>
    </xf>
    <xf borderId="82" fillId="2" fontId="4" numFmtId="0" xfId="0" applyAlignment="1" applyBorder="1" applyFont="1">
      <alignment horizontal="center" textRotation="135" vertical="center"/>
    </xf>
    <xf borderId="83" fillId="0" fontId="2" numFmtId="0" xfId="0" applyBorder="1" applyFont="1"/>
    <xf borderId="84" fillId="2" fontId="4" numFmtId="0" xfId="0" applyAlignment="1" applyBorder="1" applyFont="1">
      <alignment horizontal="center" vertical="center"/>
    </xf>
    <xf borderId="22" fillId="0" fontId="1" numFmtId="10" xfId="0" applyAlignment="1" applyBorder="1" applyFont="1" applyNumberFormat="1">
      <alignment horizontal="center" vertical="center"/>
    </xf>
    <xf borderId="10" fillId="0" fontId="1" numFmtId="10" xfId="0" applyAlignment="1" applyBorder="1" applyFont="1" applyNumberFormat="1">
      <alignment horizontal="center" vertical="center"/>
    </xf>
    <xf borderId="85" fillId="0" fontId="1" numFmtId="10" xfId="0" applyAlignment="1" applyBorder="1" applyFont="1" applyNumberFormat="1">
      <alignment horizontal="center" vertical="center"/>
    </xf>
    <xf borderId="9" fillId="0" fontId="1" numFmtId="10" xfId="0" applyAlignment="1" applyBorder="1" applyFont="1" applyNumberFormat="1">
      <alignment horizontal="center" vertical="center"/>
    </xf>
    <xf borderId="79" fillId="0" fontId="1" numFmtId="10" xfId="0" applyAlignment="1" applyBorder="1" applyFont="1" applyNumberFormat="1">
      <alignment horizontal="center" vertical="center"/>
    </xf>
    <xf borderId="14" fillId="0" fontId="1" numFmtId="10" xfId="0" applyAlignment="1" applyBorder="1" applyFont="1" applyNumberFormat="1">
      <alignment horizontal="center" vertical="center"/>
    </xf>
    <xf borderId="78" fillId="0" fontId="1" numFmtId="10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86" fillId="16" fontId="1" numFmtId="10" xfId="0" applyAlignment="1" applyBorder="1" applyFont="1" applyNumberFormat="1">
      <alignment horizontal="center" vertical="center"/>
    </xf>
    <xf borderId="87" fillId="0" fontId="1" numFmtId="10" xfId="0" applyAlignment="1" applyBorder="1" applyFont="1" applyNumberFormat="1">
      <alignment horizontal="center" vertical="center"/>
    </xf>
    <xf borderId="75" fillId="0" fontId="1" numFmtId="10" xfId="0" applyAlignment="1" applyBorder="1" applyFont="1" applyNumberFormat="1">
      <alignment horizontal="center" vertical="center"/>
    </xf>
    <xf borderId="88" fillId="0" fontId="1" numFmtId="10" xfId="0" applyAlignment="1" applyBorder="1" applyFont="1" applyNumberFormat="1">
      <alignment horizontal="center" vertical="center"/>
    </xf>
    <xf borderId="89" fillId="0" fontId="1" numFmtId="10" xfId="0" applyAlignment="1" applyBorder="1" applyFont="1" applyNumberFormat="1">
      <alignment horizontal="center" vertical="center"/>
    </xf>
    <xf borderId="90" fillId="0" fontId="1" numFmtId="10" xfId="0" applyAlignment="1" applyBorder="1" applyFont="1" applyNumberFormat="1">
      <alignment horizontal="center" vertical="center"/>
    </xf>
    <xf borderId="82" fillId="0" fontId="2" numFmtId="0" xfId="0" applyBorder="1" applyFont="1"/>
    <xf borderId="91" fillId="2" fontId="4" numFmtId="0" xfId="0" applyAlignment="1" applyBorder="1" applyFont="1">
      <alignment horizontal="center" vertical="center"/>
    </xf>
    <xf borderId="13" fillId="0" fontId="1" numFmtId="10" xfId="0" applyAlignment="1" applyBorder="1" applyFont="1" applyNumberFormat="1">
      <alignment horizontal="center" vertical="center"/>
    </xf>
    <xf borderId="92" fillId="0" fontId="1" numFmtId="10" xfId="0" applyAlignment="1" applyBorder="1" applyFont="1" applyNumberFormat="1">
      <alignment horizontal="center" vertical="center"/>
    </xf>
    <xf borderId="12" fillId="0" fontId="1" numFmtId="10" xfId="0" applyAlignment="1" applyBorder="1" applyFont="1" applyNumberFormat="1">
      <alignment horizontal="center" vertical="center"/>
    </xf>
    <xf borderId="93" fillId="0" fontId="1" numFmtId="10" xfId="0" applyAlignment="1" applyBorder="1" applyFont="1" applyNumberFormat="1">
      <alignment horizontal="center" vertical="center"/>
    </xf>
    <xf borderId="94" fillId="0" fontId="1" numFmtId="10" xfId="0" applyAlignment="1" applyBorder="1" applyFont="1" applyNumberFormat="1">
      <alignment horizontal="center" vertical="center"/>
    </xf>
    <xf borderId="95" fillId="0" fontId="1" numFmtId="10" xfId="0" applyAlignment="1" applyBorder="1" applyFont="1" applyNumberFormat="1">
      <alignment horizontal="center" vertical="center"/>
    </xf>
    <xf borderId="96" fillId="2" fontId="4" numFmtId="0" xfId="0" applyAlignment="1" applyBorder="1" applyFont="1">
      <alignment horizontal="center" vertical="center"/>
    </xf>
    <xf borderId="97" fillId="0" fontId="1" numFmtId="10" xfId="0" applyAlignment="1" applyBorder="1" applyFont="1" applyNumberFormat="1">
      <alignment horizontal="center" vertical="center"/>
    </xf>
    <xf borderId="98" fillId="0" fontId="1" numFmtId="10" xfId="0" applyAlignment="1" applyBorder="1" applyFont="1" applyNumberFormat="1">
      <alignment horizontal="center" vertical="center"/>
    </xf>
    <xf borderId="99" fillId="0" fontId="1" numFmtId="10" xfId="0" applyAlignment="1" applyBorder="1" applyFont="1" applyNumberForma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00" fillId="0" fontId="1" numFmtId="10" xfId="0" applyAlignment="1" applyBorder="1" applyFont="1" applyNumberFormat="1">
      <alignment horizontal="center" vertical="center"/>
    </xf>
    <xf borderId="101" fillId="0" fontId="1" numFmtId="10" xfId="0" applyAlignment="1" applyBorder="1" applyFont="1" applyNumberFormat="1">
      <alignment horizontal="center" vertical="center"/>
    </xf>
    <xf borderId="102" fillId="0" fontId="1" numFmtId="10" xfId="0" applyAlignment="1" applyBorder="1" applyFont="1" applyNumberFormat="1">
      <alignment horizontal="center" vertical="center"/>
    </xf>
    <xf borderId="103" fillId="0" fontId="1" numFmtId="10" xfId="0" applyAlignment="1" applyBorder="1" applyFont="1" applyNumberFormat="1">
      <alignment horizontal="center" vertical="center"/>
    </xf>
    <xf borderId="104" fillId="0" fontId="1" numFmtId="10" xfId="0" applyAlignment="1" applyBorder="1" applyFont="1" applyNumberFormat="1">
      <alignment horizontal="center" vertical="center"/>
    </xf>
    <xf borderId="105" fillId="0" fontId="1" numFmtId="10" xfId="0" applyAlignment="1" applyBorder="1" applyFont="1" applyNumberFormat="1">
      <alignment horizontal="center" vertical="center"/>
    </xf>
    <xf borderId="81" fillId="0" fontId="1" numFmtId="10" xfId="0" applyAlignment="1" applyBorder="1" applyFont="1" applyNumberFormat="1">
      <alignment horizontal="center" vertical="center"/>
    </xf>
    <xf borderId="106" fillId="2" fontId="4" numFmtId="0" xfId="0" applyAlignment="1" applyBorder="1" applyFont="1">
      <alignment horizontal="center" vertical="center"/>
    </xf>
    <xf borderId="68" fillId="0" fontId="2" numFmtId="0" xfId="0" applyBorder="1" applyFont="1"/>
    <xf borderId="107" fillId="0" fontId="2" numFmtId="0" xfId="0" applyBorder="1" applyFont="1"/>
    <xf borderId="8" fillId="0" fontId="4" numFmtId="0" xfId="0" applyAlignment="1" applyBorder="1" applyFont="1">
      <alignment horizontal="center" vertical="center"/>
    </xf>
    <xf borderId="108" fillId="0" fontId="2" numFmtId="0" xfId="0" applyBorder="1" applyFont="1"/>
    <xf borderId="109" fillId="0" fontId="1" numFmtId="0" xfId="0" applyAlignment="1" applyBorder="1" applyFont="1">
      <alignment horizontal="center"/>
    </xf>
    <xf borderId="110" fillId="0" fontId="1" numFmtId="0" xfId="0" applyAlignment="1" applyBorder="1" applyFont="1">
      <alignment horizontal="center"/>
    </xf>
    <xf borderId="70" fillId="0" fontId="1" numFmtId="0" xfId="0" applyAlignment="1" applyBorder="1" applyFont="1">
      <alignment horizontal="center"/>
    </xf>
    <xf borderId="111" fillId="0" fontId="1" numFmtId="0" xfId="0" applyAlignment="1" applyBorder="1" applyFont="1">
      <alignment horizontal="center"/>
    </xf>
    <xf borderId="0" fillId="0" fontId="1" numFmtId="0" xfId="0" applyFont="1"/>
    <xf borderId="0" fillId="0" fontId="1" numFmtId="2" xfId="0" applyFont="1" applyNumberFormat="1"/>
    <xf borderId="0" fillId="0" fontId="24" numFmtId="0" xfId="0" applyAlignment="1" applyFont="1">
      <alignment horizontal="center" vertical="center"/>
    </xf>
    <xf borderId="112" fillId="2" fontId="17" numFmtId="0" xfId="0" applyAlignment="1" applyBorder="1" applyFont="1">
      <alignment horizontal="center" vertical="center"/>
    </xf>
    <xf borderId="113" fillId="0" fontId="2" numFmtId="0" xfId="0" applyBorder="1" applyFont="1"/>
    <xf borderId="114" fillId="0" fontId="2" numFmtId="0" xfId="0" applyBorder="1" applyFont="1"/>
    <xf borderId="115" fillId="0" fontId="2" numFmtId="0" xfId="0" applyBorder="1" applyFont="1"/>
    <xf borderId="116" fillId="13" fontId="14" numFmtId="0" xfId="0" applyAlignment="1" applyBorder="1" applyFont="1">
      <alignment horizontal="center" readingOrder="0" vertical="center"/>
    </xf>
    <xf borderId="117" fillId="13" fontId="4" numFmtId="0" xfId="0" applyAlignment="1" applyBorder="1" applyFont="1">
      <alignment horizontal="center" vertical="center"/>
    </xf>
    <xf borderId="118" fillId="13" fontId="4" numFmtId="0" xfId="0" applyAlignment="1" applyBorder="1" applyFont="1">
      <alignment horizontal="right" vertical="center"/>
    </xf>
    <xf borderId="118" fillId="13" fontId="14" numFmtId="0" xfId="0" applyAlignment="1" applyBorder="1" applyFont="1">
      <alignment horizontal="left"/>
    </xf>
    <xf borderId="118" fillId="0" fontId="2" numFmtId="0" xfId="0" applyBorder="1" applyFont="1"/>
    <xf borderId="31" fillId="5" fontId="25" numFmtId="0" xfId="0" applyAlignment="1" applyBorder="1" applyFont="1">
      <alignment horizontal="center" readingOrder="0" vertical="center"/>
    </xf>
    <xf borderId="119" fillId="0" fontId="2" numFmtId="0" xfId="0" applyBorder="1" applyFont="1"/>
    <xf borderId="120" fillId="2" fontId="26" numFmtId="0" xfId="0" applyAlignment="1" applyBorder="1" applyFont="1">
      <alignment horizontal="center" vertical="center"/>
    </xf>
    <xf borderId="121" fillId="13" fontId="4" numFmtId="0" xfId="0" applyAlignment="1" applyBorder="1" applyFont="1">
      <alignment horizontal="center" vertical="center"/>
    </xf>
    <xf borderId="115" fillId="13" fontId="4" numFmtId="0" xfId="0" applyAlignment="1" applyBorder="1" applyFont="1">
      <alignment horizontal="right" vertical="center"/>
    </xf>
    <xf borderId="114" fillId="13" fontId="4" numFmtId="0" xfId="0" applyAlignment="1" applyBorder="1" applyFont="1">
      <alignment horizontal="right" vertical="center"/>
    </xf>
    <xf borderId="0" fillId="13" fontId="14" numFmtId="0" xfId="0" applyAlignment="1" applyFont="1">
      <alignment horizontal="left" readingOrder="0" vertical="center"/>
    </xf>
    <xf borderId="122" fillId="0" fontId="2" numFmtId="0" xfId="0" applyBorder="1" applyFont="1"/>
    <xf borderId="123" fillId="0" fontId="2" numFmtId="0" xfId="0" applyBorder="1" applyFont="1"/>
    <xf borderId="124" fillId="0" fontId="2" numFmtId="0" xfId="0" applyBorder="1" applyFont="1"/>
    <xf borderId="116" fillId="13" fontId="4" numFmtId="0" xfId="0" applyAlignment="1" applyBorder="1" applyFont="1">
      <alignment horizontal="right" vertical="center"/>
    </xf>
    <xf borderId="125" fillId="13" fontId="4" numFmtId="0" xfId="0" applyAlignment="1" applyBorder="1" applyFont="1">
      <alignment horizontal="left" vertical="center"/>
    </xf>
    <xf borderId="125" fillId="0" fontId="2" numFmtId="0" xfId="0" applyBorder="1" applyFont="1"/>
    <xf borderId="117" fillId="0" fontId="2" numFmtId="0" xfId="0" applyBorder="1" applyFont="1"/>
    <xf borderId="126" fillId="0" fontId="2" numFmtId="0" xfId="0" applyBorder="1" applyFont="1"/>
    <xf borderId="0" fillId="13" fontId="4" numFmtId="0" xfId="0" applyAlignment="1" applyFont="1">
      <alignment horizontal="right" vertical="center"/>
    </xf>
    <xf borderId="127" fillId="13" fontId="4" numFmtId="0" xfId="0" applyAlignment="1" applyBorder="1" applyFont="1">
      <alignment horizontal="right" vertical="center"/>
    </xf>
    <xf borderId="0" fillId="13" fontId="4" numFmtId="0" xfId="0" applyAlignment="1" applyFont="1">
      <alignment horizontal="left" vertical="center"/>
    </xf>
    <xf borderId="128" fillId="0" fontId="2" numFmtId="0" xfId="0" applyBorder="1" applyFont="1"/>
    <xf borderId="1" fillId="2" fontId="4" numFmtId="0" xfId="0" applyAlignment="1" applyBorder="1" applyFont="1">
      <alignment horizontal="center"/>
    </xf>
    <xf borderId="1" fillId="2" fontId="21" numFmtId="0" xfId="0" applyAlignment="1" applyBorder="1" applyFont="1">
      <alignment horizontal="center" readingOrder="0" shrinkToFit="0" vertical="center" wrapText="1"/>
    </xf>
    <xf borderId="45" fillId="5" fontId="14" numFmtId="0" xfId="0" applyAlignment="1" applyBorder="1" applyFont="1">
      <alignment horizontal="center" readingOrder="0"/>
    </xf>
    <xf borderId="129" fillId="0" fontId="2" numFmtId="0" xfId="0" applyBorder="1" applyFont="1"/>
    <xf borderId="130" fillId="2" fontId="21" numFmtId="0" xfId="0" applyAlignment="1" applyBorder="1" applyFont="1">
      <alignment horizontal="center" readingOrder="0" shrinkToFit="0" vertical="center" wrapText="1"/>
    </xf>
    <xf borderId="130" fillId="9" fontId="27" numFmtId="0" xfId="0" applyAlignment="1" applyBorder="1" applyFont="1">
      <alignment horizontal="center" readingOrder="0" shrinkToFit="0" vertical="center" wrapText="1"/>
    </xf>
    <xf borderId="130" fillId="17" fontId="14" numFmtId="0" xfId="0" applyAlignment="1" applyBorder="1" applyFill="1" applyFont="1">
      <alignment horizontal="center" readingOrder="0" shrinkToFit="0" vertical="center" wrapText="1"/>
    </xf>
    <xf borderId="118" fillId="2" fontId="4" numFmtId="0" xfId="0" applyAlignment="1" applyBorder="1" applyFont="1">
      <alignment horizontal="center"/>
    </xf>
    <xf borderId="131" fillId="0" fontId="2" numFmtId="0" xfId="0" applyBorder="1" applyFont="1"/>
    <xf borderId="0" fillId="2" fontId="24" numFmtId="0" xfId="0" applyAlignment="1" applyFont="1">
      <alignment horizontal="center" readingOrder="0" shrinkToFit="0" vertical="center" wrapText="1"/>
    </xf>
    <xf borderId="132" fillId="2" fontId="28" numFmtId="0" xfId="0" applyAlignment="1" applyBorder="1" applyFont="1">
      <alignment horizontal="center" readingOrder="0" shrinkToFit="0" vertical="center" wrapText="1"/>
    </xf>
    <xf borderId="133" fillId="2" fontId="24" numFmtId="0" xfId="0" applyAlignment="1" applyBorder="1" applyFont="1">
      <alignment horizontal="center" vertical="center"/>
    </xf>
    <xf borderId="134" fillId="0" fontId="2" numFmtId="0" xfId="0" applyBorder="1" applyFont="1"/>
    <xf borderId="135" fillId="3" fontId="18" numFmtId="0" xfId="0" applyAlignment="1" applyBorder="1" applyFont="1">
      <alignment horizontal="center"/>
    </xf>
    <xf borderId="136" fillId="0" fontId="2" numFmtId="0" xfId="0" applyBorder="1" applyFont="1"/>
    <xf borderId="137" fillId="0" fontId="2" numFmtId="0" xfId="0" applyBorder="1" applyFont="1"/>
    <xf borderId="135" fillId="14" fontId="4" numFmtId="0" xfId="0" applyAlignment="1" applyBorder="1" applyFont="1">
      <alignment horizontal="center"/>
    </xf>
    <xf borderId="135" fillId="12" fontId="4" numFmtId="0" xfId="0" applyAlignment="1" applyBorder="1" applyFont="1">
      <alignment horizontal="center"/>
    </xf>
    <xf borderId="3" fillId="2" fontId="4" numFmtId="9" xfId="0" applyAlignment="1" applyBorder="1" applyFont="1" applyNumberFormat="1">
      <alignment horizontal="center" shrinkToFit="0" vertical="center" wrapText="1"/>
    </xf>
    <xf borderId="129" fillId="3" fontId="18" numFmtId="0" xfId="0" applyAlignment="1" applyBorder="1" applyFont="1">
      <alignment horizontal="center" vertical="center"/>
    </xf>
    <xf borderId="138" fillId="3" fontId="22" numFmtId="0" xfId="0" applyAlignment="1" applyBorder="1" applyFont="1">
      <alignment horizontal="center" readingOrder="0" vertical="center"/>
    </xf>
    <xf borderId="139" fillId="14" fontId="4" numFmtId="0" xfId="0" applyAlignment="1" applyBorder="1" applyFont="1">
      <alignment horizontal="center" vertical="center"/>
    </xf>
    <xf borderId="138" fillId="14" fontId="14" numFmtId="0" xfId="0" applyAlignment="1" applyBorder="1" applyFont="1">
      <alignment horizontal="center" readingOrder="0" vertical="center"/>
    </xf>
    <xf borderId="139" fillId="12" fontId="4" numFmtId="0" xfId="0" applyAlignment="1" applyBorder="1" applyFont="1">
      <alignment horizontal="center" vertical="center"/>
    </xf>
    <xf borderId="138" fillId="12" fontId="14" numFmtId="0" xfId="0" applyAlignment="1" applyBorder="1" applyFont="1">
      <alignment horizontal="center" readingOrder="0" vertical="center"/>
    </xf>
    <xf borderId="140" fillId="0" fontId="2" numFmtId="0" xfId="0" applyBorder="1" applyFont="1"/>
    <xf borderId="141" fillId="2" fontId="4" numFmtId="0" xfId="0" applyAlignment="1" applyBorder="1" applyFont="1">
      <alignment horizontal="center"/>
    </xf>
    <xf borderId="141" fillId="0" fontId="2" numFmtId="0" xfId="0" applyBorder="1" applyFont="1"/>
    <xf borderId="142" fillId="0" fontId="2" numFmtId="0" xfId="0" applyBorder="1" applyFont="1"/>
    <xf borderId="143" fillId="2" fontId="4" numFmtId="0" xfId="0" applyAlignment="1" applyBorder="1" applyFont="1">
      <alignment horizontal="center" vertical="center"/>
    </xf>
    <xf borderId="144" fillId="2" fontId="4" numFmtId="0" xfId="0" applyAlignment="1" applyBorder="1" applyFont="1">
      <alignment horizontal="center" vertical="center"/>
    </xf>
    <xf borderId="145" fillId="2" fontId="26" numFmtId="0" xfId="0" applyAlignment="1" applyBorder="1" applyFont="1">
      <alignment vertical="center"/>
    </xf>
    <xf borderId="84" fillId="0" fontId="2" numFmtId="0" xfId="0" applyBorder="1" applyFont="1"/>
    <xf borderId="79" fillId="3" fontId="18" numFmtId="0" xfId="0" applyAlignment="1" applyBorder="1" applyFont="1">
      <alignment horizontal="center"/>
    </xf>
    <xf borderId="1" fillId="4" fontId="18" numFmtId="0" xfId="0" applyAlignment="1" applyBorder="1" applyFont="1">
      <alignment horizontal="center"/>
    </xf>
    <xf borderId="146" fillId="0" fontId="2" numFmtId="0" xfId="0" applyBorder="1" applyFont="1"/>
    <xf borderId="79" fillId="1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79" fillId="12" fontId="4" numFmtId="0" xfId="0" applyAlignment="1" applyBorder="1" applyFont="1">
      <alignment horizontal="center"/>
    </xf>
    <xf borderId="147" fillId="0" fontId="2" numFmtId="0" xfId="0" applyBorder="1" applyFont="1"/>
    <xf borderId="101" fillId="3" fontId="22" numFmtId="0" xfId="0" applyAlignment="1" applyBorder="1" applyFont="1">
      <alignment horizontal="center" readingOrder="0" vertical="center"/>
    </xf>
    <xf borderId="101" fillId="14" fontId="14" numFmtId="0" xfId="0" applyAlignment="1" applyBorder="1" applyFont="1">
      <alignment horizontal="center" readingOrder="0" vertical="center"/>
    </xf>
    <xf borderId="101" fillId="12" fontId="14" numFmtId="0" xfId="0" applyAlignment="1" applyBorder="1" applyFont="1">
      <alignment horizontal="center" readingOrder="0" vertical="center"/>
    </xf>
    <xf borderId="148" fillId="0" fontId="2" numFmtId="0" xfId="0" applyBorder="1" applyFont="1"/>
    <xf borderId="149" fillId="2" fontId="4" numFmtId="0" xfId="0" applyAlignment="1" applyBorder="1" applyFont="1">
      <alignment horizontal="center"/>
    </xf>
    <xf borderId="145" fillId="2" fontId="4" numFmtId="0" xfId="0" applyAlignment="1" applyBorder="1" applyFont="1">
      <alignment horizontal="center"/>
    </xf>
    <xf borderId="145" fillId="2" fontId="4" numFmtId="0" xfId="0" applyAlignment="1" applyBorder="1" applyFont="1">
      <alignment horizontal="center" vertical="center"/>
    </xf>
    <xf borderId="150" fillId="2" fontId="4" numFmtId="0" xfId="0" applyAlignment="1" applyBorder="1" applyFont="1">
      <alignment horizontal="center" vertical="center"/>
    </xf>
    <xf borderId="91" fillId="16" fontId="22" numFmtId="0" xfId="0" applyAlignment="1" applyBorder="1" applyFont="1">
      <alignment horizontal="center"/>
    </xf>
    <xf borderId="14" fillId="16" fontId="22" numFmtId="0" xfId="0" applyAlignment="1" applyBorder="1" applyFont="1">
      <alignment horizontal="center"/>
    </xf>
    <xf borderId="11" fillId="16" fontId="1" numFmtId="49" xfId="0" applyBorder="1" applyFont="1" applyNumberFormat="1"/>
    <xf borderId="79" fillId="16" fontId="1" numFmtId="2" xfId="0" applyAlignment="1" applyBorder="1" applyFont="1" applyNumberFormat="1">
      <alignment horizontal="center" vertical="center"/>
    </xf>
    <xf borderId="151" fillId="0" fontId="2" numFmtId="0" xfId="0" applyBorder="1" applyFont="1"/>
    <xf borderId="13" fillId="7" fontId="1" numFmtId="2" xfId="0" applyAlignment="1" applyBorder="1" applyFont="1" applyNumberFormat="1">
      <alignment horizontal="center" readingOrder="0" vertical="center"/>
    </xf>
    <xf borderId="14" fillId="16" fontId="1" numFmtId="2" xfId="0" applyAlignment="1" applyBorder="1" applyFont="1" applyNumberFormat="1">
      <alignment horizontal="center" vertical="center"/>
    </xf>
    <xf borderId="74" fillId="7" fontId="1" numFmtId="0" xfId="0" applyAlignment="1" applyBorder="1" applyFont="1">
      <alignment horizontal="center" readingOrder="0" vertical="center"/>
    </xf>
    <xf borderId="75" fillId="7" fontId="28" numFmtId="0" xfId="0" applyAlignment="1" applyBorder="1" applyFont="1">
      <alignment horizontal="center" readingOrder="0" vertical="center"/>
    </xf>
    <xf borderId="75" fillId="7" fontId="1" numFmtId="0" xfId="0" applyAlignment="1" applyBorder="1" applyFont="1">
      <alignment horizontal="center" readingOrder="0" vertical="center"/>
    </xf>
    <xf borderId="152" fillId="7" fontId="1" numFmtId="0" xfId="0" applyAlignment="1" applyBorder="1" applyFont="1">
      <alignment horizontal="center" readingOrder="0" vertical="center"/>
    </xf>
    <xf borderId="153" fillId="7" fontId="1" numFmtId="0" xfId="0" applyAlignment="1" applyBorder="1" applyFont="1">
      <alignment horizontal="center" readingOrder="0" vertical="center"/>
    </xf>
    <xf borderId="59" fillId="9" fontId="1" numFmtId="1" xfId="0" applyAlignment="1" applyBorder="1" applyFont="1" applyNumberFormat="1">
      <alignment horizontal="center" readingOrder="0" vertical="center"/>
    </xf>
    <xf borderId="0" fillId="0" fontId="23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154" fillId="0" fontId="1" numFmtId="9" xfId="0" applyAlignment="1" applyBorder="1" applyFont="1" applyNumberFormat="1">
      <alignment horizontal="center"/>
    </xf>
    <xf borderId="155" fillId="0" fontId="1" numFmtId="0" xfId="0" applyBorder="1" applyFont="1"/>
    <xf borderId="11" fillId="2" fontId="1" numFmtId="0" xfId="0" applyAlignment="1" applyBorder="1" applyFont="1">
      <alignment horizontal="center" readingOrder="0" vertical="center"/>
    </xf>
    <xf borderId="13" fillId="7" fontId="1" numFmtId="2" xfId="0" applyAlignment="1" applyBorder="1" applyFont="1" applyNumberFormat="1">
      <alignment horizontal="center" vertical="center"/>
    </xf>
    <xf borderId="79" fillId="7" fontId="1" numFmtId="0" xfId="0" applyAlignment="1" applyBorder="1" applyFont="1">
      <alignment horizontal="center" readingOrder="0" vertical="center"/>
    </xf>
    <xf borderId="78" fillId="7" fontId="1" numFmtId="0" xfId="0" applyAlignment="1" applyBorder="1" applyFont="1">
      <alignment horizontal="center" readingOrder="0" vertical="center"/>
    </xf>
    <xf borderId="156" fillId="9" fontId="1" numFmtId="1" xfId="0" applyAlignment="1" applyBorder="1" applyFont="1" applyNumberFormat="1">
      <alignment horizontal="center" readingOrder="0" vertical="center"/>
    </xf>
    <xf borderId="115" fillId="0" fontId="23" numFmtId="0" xfId="0" applyAlignment="1" applyBorder="1" applyFont="1">
      <alignment horizontal="left"/>
    </xf>
    <xf borderId="115" fillId="0" fontId="1" numFmtId="1" xfId="0" applyAlignment="1" applyBorder="1" applyFont="1" applyNumberFormat="1">
      <alignment horizontal="center"/>
    </xf>
    <xf borderId="157" fillId="0" fontId="1" numFmtId="9" xfId="0" applyAlignment="1" applyBorder="1" applyFont="1" applyNumberFormat="1">
      <alignment horizontal="center"/>
    </xf>
    <xf borderId="149" fillId="13" fontId="1" numFmtId="0" xfId="0" applyAlignment="1" applyBorder="1" applyFont="1">
      <alignment horizontal="left"/>
    </xf>
    <xf borderId="145" fillId="13" fontId="1" numFmtId="0" xfId="0" applyAlignment="1" applyBorder="1" applyFont="1">
      <alignment horizontal="left"/>
    </xf>
    <xf borderId="145" fillId="13" fontId="1" numFmtId="1" xfId="0" applyAlignment="1" applyBorder="1" applyFont="1" applyNumberFormat="1">
      <alignment horizontal="center"/>
    </xf>
    <xf borderId="150" fillId="13" fontId="1" numFmtId="9" xfId="0" applyAlignment="1" applyBorder="1" applyFont="1" applyNumberFormat="1">
      <alignment horizontal="center"/>
    </xf>
    <xf borderId="143" fillId="2" fontId="4" numFmtId="0" xfId="0" applyAlignment="1" applyBorder="1" applyFont="1">
      <alignment horizontal="center"/>
    </xf>
    <xf borderId="144" fillId="2" fontId="4" numFmtId="0" xfId="0" applyAlignment="1" applyBorder="1" applyFont="1">
      <alignment horizontal="center"/>
    </xf>
    <xf borderId="115" fillId="2" fontId="4" numFmtId="0" xfId="0" applyAlignment="1" applyBorder="1" applyFont="1">
      <alignment horizontal="center"/>
    </xf>
    <xf borderId="157" fillId="0" fontId="2" numFmtId="0" xfId="0" applyBorder="1" applyFont="1"/>
    <xf borderId="158" fillId="2" fontId="4" numFmtId="0" xfId="0" applyAlignment="1" applyBorder="1" applyFont="1">
      <alignment horizontal="center"/>
    </xf>
    <xf borderId="159" fillId="2" fontId="4" numFmtId="0" xfId="0" applyAlignment="1" applyBorder="1" applyFont="1">
      <alignment horizontal="center"/>
    </xf>
    <xf borderId="12" fillId="2" fontId="1" numFmtId="0" xfId="0" applyAlignment="1" applyBorder="1" applyFont="1">
      <alignment horizontal="center" readingOrder="0" vertical="center"/>
    </xf>
    <xf borderId="160" fillId="13" fontId="1" numFmtId="0" xfId="0" applyAlignment="1" applyBorder="1" applyFont="1">
      <alignment horizontal="left"/>
    </xf>
    <xf borderId="160" fillId="0" fontId="2" numFmtId="0" xfId="0" applyBorder="1" applyFont="1"/>
    <xf borderId="0" fillId="0" fontId="1" numFmtId="1" xfId="0" applyFont="1" applyNumberFormat="1"/>
    <xf borderId="115" fillId="0" fontId="1" numFmtId="1" xfId="0" applyBorder="1" applyFont="1" applyNumberFormat="1"/>
    <xf borderId="141" fillId="18" fontId="23" numFmtId="0" xfId="0" applyAlignment="1" applyBorder="1" applyFill="1" applyFont="1">
      <alignment horizontal="left"/>
    </xf>
    <xf borderId="161" fillId="13" fontId="1" numFmtId="1" xfId="0" applyAlignment="1" applyBorder="1" applyFont="1" applyNumberFormat="1">
      <alignment horizontal="center"/>
    </xf>
    <xf borderId="144" fillId="13" fontId="1" numFmtId="10" xfId="0" applyAlignment="1" applyBorder="1" applyFont="1" applyNumberFormat="1">
      <alignment horizontal="center"/>
    </xf>
    <xf borderId="162" fillId="0" fontId="1" numFmtId="0" xfId="0" applyBorder="1" applyFont="1"/>
    <xf borderId="163" fillId="0" fontId="1" numFmtId="0" xfId="0" applyBorder="1" applyFont="1"/>
    <xf borderId="81" fillId="16" fontId="22" numFmtId="0" xfId="0" applyAlignment="1" applyBorder="1" applyFont="1">
      <alignment horizontal="center"/>
    </xf>
    <xf borderId="100" fillId="7" fontId="1" numFmtId="0" xfId="0" applyAlignment="1" applyBorder="1" applyFont="1">
      <alignment horizontal="center" readingOrder="0" vertical="center"/>
    </xf>
    <xf borderId="101" fillId="7" fontId="1" numFmtId="0" xfId="0" applyAlignment="1" applyBorder="1" applyFont="1">
      <alignment horizontal="center" readingOrder="0" vertical="center"/>
    </xf>
    <xf borderId="164" fillId="7" fontId="1" numFmtId="0" xfId="0" applyAlignment="1" applyBorder="1" applyFont="1">
      <alignment horizontal="center" readingOrder="0" vertical="center"/>
    </xf>
    <xf borderId="165" fillId="9" fontId="1" numFmtId="2" xfId="0" applyAlignment="1" applyBorder="1" applyFont="1" applyNumberFormat="1">
      <alignment horizontal="center" readingOrder="0" vertical="center"/>
    </xf>
    <xf borderId="25" fillId="2" fontId="17" numFmtId="0" xfId="0" applyAlignment="1" applyBorder="1" applyFont="1">
      <alignment horizontal="center" vertical="center"/>
    </xf>
    <xf borderId="36" fillId="7" fontId="18" numFmtId="0" xfId="0" applyAlignment="1" applyBorder="1" applyFont="1">
      <alignment horizontal="center" readingOrder="0" vertical="center"/>
    </xf>
    <xf borderId="37" fillId="13" fontId="4" numFmtId="0" xfId="0" applyAlignment="1" applyBorder="1" applyFont="1">
      <alignment horizontal="center" vertical="center"/>
    </xf>
    <xf borderId="11" fillId="19" fontId="29" numFmtId="0" xfId="0" applyAlignment="1" applyBorder="1" applyFill="1" applyFont="1">
      <alignment vertical="bottom"/>
    </xf>
    <xf borderId="2" fillId="2" fontId="29" numFmtId="0" xfId="0" applyAlignment="1" applyBorder="1" applyFont="1">
      <alignment horizontal="left" readingOrder="0"/>
    </xf>
    <xf borderId="166" fillId="2" fontId="29" numFmtId="0" xfId="0" applyAlignment="1" applyBorder="1" applyFont="1">
      <alignment horizontal="left" readingOrder="0"/>
    </xf>
    <xf borderId="0" fillId="13" fontId="3" numFmtId="0" xfId="0" applyFont="1"/>
    <xf borderId="29" fillId="13" fontId="4" numFmtId="0" xfId="0" applyAlignment="1" applyBorder="1" applyFont="1">
      <alignment horizontal="right" vertical="center"/>
    </xf>
    <xf borderId="30" fillId="13" fontId="4" numFmtId="0" xfId="0" applyAlignment="1" applyBorder="1" applyFont="1">
      <alignment horizontal="right" vertical="center"/>
    </xf>
    <xf borderId="167" fillId="19" fontId="29" numFmtId="0" xfId="0" applyAlignment="1" applyBorder="1" applyFont="1">
      <alignment vertical="bottom"/>
    </xf>
    <xf borderId="168" fillId="0" fontId="2" numFmtId="0" xfId="0" applyBorder="1" applyFont="1"/>
    <xf borderId="0" fillId="2" fontId="29" numFmtId="0" xfId="0" applyAlignment="1" applyFont="1">
      <alignment horizontal="left" readingOrder="0"/>
    </xf>
    <xf borderId="168" fillId="2" fontId="29" numFmtId="0" xfId="0" applyAlignment="1" applyBorder="1" applyFont="1">
      <alignment horizontal="left" readingOrder="0"/>
    </xf>
    <xf borderId="37" fillId="13" fontId="14" numFmtId="0" xfId="0" applyAlignment="1" applyBorder="1" applyFont="1">
      <alignment horizontal="right" readingOrder="0" vertical="center"/>
    </xf>
    <xf borderId="4" fillId="13" fontId="14" numFmtId="0" xfId="0" applyAlignment="1" applyBorder="1" applyFont="1">
      <alignment horizontal="right" readingOrder="0" vertical="center"/>
    </xf>
    <xf borderId="169" fillId="19" fontId="29" numFmtId="0" xfId="0" applyAlignment="1" applyBorder="1" applyFont="1">
      <alignment vertical="bottom"/>
    </xf>
    <xf borderId="170" fillId="0" fontId="2" numFmtId="0" xfId="0" applyBorder="1" applyFont="1"/>
    <xf borderId="171" fillId="0" fontId="2" numFmtId="0" xfId="0" applyBorder="1" applyFont="1"/>
    <xf borderId="172" fillId="19" fontId="30" numFmtId="0" xfId="0" applyAlignment="1" applyBorder="1" applyFont="1">
      <alignment vertical="bottom"/>
    </xf>
    <xf borderId="172" fillId="0" fontId="2" numFmtId="0" xfId="0" applyBorder="1" applyFont="1"/>
    <xf borderId="173" fillId="0" fontId="2" numFmtId="0" xfId="0" applyBorder="1" applyFont="1"/>
    <xf borderId="25" fillId="13" fontId="4" numFmtId="0" xfId="0" applyAlignment="1" applyBorder="1" applyFont="1">
      <alignment horizontal="right" vertical="center"/>
    </xf>
    <xf borderId="26" fillId="13" fontId="4" numFmtId="0" xfId="0" applyAlignment="1" applyBorder="1" applyFont="1">
      <alignment horizontal="right" vertical="center"/>
    </xf>
    <xf borderId="174" fillId="19" fontId="29" numFmtId="0" xfId="0" applyBorder="1" applyFont="1"/>
    <xf borderId="175" fillId="0" fontId="2" numFmtId="0" xfId="0" applyBorder="1" applyFont="1"/>
    <xf borderId="176" fillId="0" fontId="2" numFmtId="0" xfId="0" applyBorder="1" applyFont="1"/>
    <xf borderId="175" fillId="2" fontId="29" numFmtId="0" xfId="0" applyAlignment="1" applyBorder="1" applyFont="1">
      <alignment horizontal="left" readingOrder="0"/>
    </xf>
    <xf borderId="176" fillId="2" fontId="29" numFmtId="0" xfId="0" applyAlignment="1" applyBorder="1" applyFont="1">
      <alignment horizontal="left" readingOrder="0"/>
    </xf>
    <xf borderId="177" fillId="3" fontId="31" numFmtId="0" xfId="0" applyAlignment="1" applyBorder="1" applyFont="1">
      <alignment horizontal="center" vertical="center"/>
    </xf>
    <xf borderId="178" fillId="0" fontId="2" numFmtId="0" xfId="0" applyBorder="1" applyFont="1"/>
    <xf borderId="179" fillId="0" fontId="2" numFmtId="0" xfId="0" applyBorder="1" applyFont="1"/>
    <xf borderId="55" fillId="14" fontId="32" numFmtId="0" xfId="0" applyAlignment="1" applyBorder="1" applyFont="1">
      <alignment horizontal="center" vertical="center"/>
    </xf>
    <xf borderId="55" fillId="12" fontId="32" numFmtId="0" xfId="0" applyAlignment="1" applyBorder="1" applyFont="1">
      <alignment horizontal="center" vertical="center"/>
    </xf>
    <xf borderId="180" fillId="17" fontId="33" numFmtId="0" xfId="0" applyAlignment="1" applyBorder="1" applyFont="1">
      <alignment horizontal="center" shrinkToFit="0" vertical="center" wrapText="1"/>
    </xf>
    <xf borderId="151" fillId="2" fontId="4" numFmtId="0" xfId="0" applyAlignment="1" applyBorder="1" applyFont="1">
      <alignment horizontal="center" vertical="center"/>
    </xf>
    <xf borderId="181" fillId="3" fontId="31" numFmtId="0" xfId="0" applyAlignment="1" applyBorder="1" applyFont="1">
      <alignment horizontal="center" readingOrder="0" shrinkToFit="0" vertical="center" wrapText="1"/>
    </xf>
    <xf borderId="127" fillId="3" fontId="18" numFmtId="0" xfId="0" applyAlignment="1" applyBorder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4" fillId="3" fontId="34" numFmtId="0" xfId="0" applyAlignment="1" applyBorder="1" applyFont="1">
      <alignment horizontal="center" shrinkToFit="0" vertical="center" wrapText="1"/>
    </xf>
    <xf borderId="1" fillId="3" fontId="35" numFmtId="9" xfId="0" applyAlignment="1" applyBorder="1" applyFont="1" applyNumberFormat="1">
      <alignment horizontal="center" readingOrder="0" shrinkToFit="0" vertical="center" wrapText="1"/>
    </xf>
    <xf borderId="181" fillId="14" fontId="36" numFmtId="0" xfId="0" applyAlignment="1" applyBorder="1" applyFont="1">
      <alignment horizontal="center" readingOrder="0" shrinkToFit="0" vertical="center" wrapText="1"/>
    </xf>
    <xf borderId="6" fillId="14" fontId="4" numFmtId="0" xfId="0" applyAlignment="1" applyBorder="1" applyFont="1">
      <alignment horizontal="center" shrinkToFit="0" vertical="center" wrapText="1"/>
    </xf>
    <xf borderId="8" fillId="14" fontId="4" numFmtId="0" xfId="0" applyAlignment="1" applyBorder="1" applyFont="1">
      <alignment horizontal="center" shrinkToFit="0" vertical="center" wrapText="1"/>
    </xf>
    <xf borderId="22" fillId="14" fontId="37" numFmtId="0" xfId="0" applyAlignment="1" applyBorder="1" applyFont="1">
      <alignment horizontal="center" shrinkToFit="0" vertical="center" wrapText="1"/>
    </xf>
    <xf borderId="64" fillId="14" fontId="38" numFmtId="9" xfId="0" applyAlignment="1" applyBorder="1" applyFont="1" applyNumberFormat="1">
      <alignment horizontal="center" readingOrder="0" shrinkToFit="0" vertical="center" wrapText="1"/>
    </xf>
    <xf borderId="181" fillId="12" fontId="36" numFmtId="0" xfId="0" applyAlignment="1" applyBorder="1" applyFont="1">
      <alignment horizontal="center" readingOrder="0" shrinkToFit="0" vertical="center" wrapText="1"/>
    </xf>
    <xf borderId="6" fillId="12" fontId="4" numFmtId="0" xfId="0" applyAlignment="1" applyBorder="1" applyFont="1">
      <alignment horizontal="center" shrinkToFit="0" vertical="center" wrapText="1"/>
    </xf>
    <xf borderId="8" fillId="12" fontId="4" numFmtId="0" xfId="0" applyAlignment="1" applyBorder="1" applyFont="1">
      <alignment horizontal="center" shrinkToFit="0" vertical="center" wrapText="1"/>
    </xf>
    <xf borderId="22" fillId="12" fontId="37" numFmtId="0" xfId="0" applyAlignment="1" applyBorder="1" applyFont="1">
      <alignment horizontal="center" shrinkToFit="0" vertical="center" wrapText="1"/>
    </xf>
    <xf borderId="6" fillId="12" fontId="38" numFmtId="9" xfId="0" applyAlignment="1" applyBorder="1" applyFont="1" applyNumberFormat="1">
      <alignment horizontal="center" readingOrder="0" shrinkToFit="0" vertical="center" wrapText="1"/>
    </xf>
    <xf borderId="180" fillId="0" fontId="2" numFmtId="0" xfId="0" applyBorder="1" applyFont="1"/>
    <xf borderId="106" fillId="2" fontId="14" numFmtId="0" xfId="0" applyAlignment="1" applyBorder="1" applyFont="1">
      <alignment horizontal="center" readingOrder="0" shrinkToFit="0" vertical="center" wrapText="1"/>
    </xf>
    <xf borderId="181" fillId="0" fontId="2" numFmtId="0" xfId="0" applyBorder="1" applyFont="1"/>
    <xf borderId="182" fillId="0" fontId="2" numFmtId="0" xfId="0" applyBorder="1" applyFont="1"/>
    <xf borderId="15" fillId="3" fontId="35" numFmtId="9" xfId="0" applyAlignment="1" applyBorder="1" applyFont="1" applyNumberFormat="1">
      <alignment horizontal="center" vertical="center"/>
    </xf>
    <xf borderId="13" fillId="3" fontId="20" numFmtId="9" xfId="0" applyAlignment="1" applyBorder="1" applyFont="1" applyNumberFormat="1">
      <alignment horizontal="center" vertical="center"/>
    </xf>
    <xf borderId="15" fillId="14" fontId="39" numFmtId="9" xfId="0" applyAlignment="1" applyBorder="1" applyFont="1" applyNumberFormat="1">
      <alignment horizontal="center" vertical="center"/>
    </xf>
    <xf borderId="3" fillId="4" fontId="40" numFmtId="9" xfId="0" applyAlignment="1" applyBorder="1" applyFont="1" applyNumberFormat="1">
      <alignment horizontal="center" vertical="center"/>
    </xf>
    <xf borderId="64" fillId="0" fontId="2" numFmtId="0" xfId="0" applyBorder="1" applyFont="1"/>
    <xf borderId="15" fillId="12" fontId="39" numFmtId="9" xfId="0" applyAlignment="1" applyBorder="1" applyFont="1" applyNumberFormat="1">
      <alignment horizontal="center" vertical="center"/>
    </xf>
    <xf borderId="183" fillId="20" fontId="41" numFmtId="0" xfId="0" applyAlignment="1" applyBorder="1" applyFill="1" applyFont="1">
      <alignment horizontal="center" readingOrder="0" shrinkToFit="0" vertical="center" wrapText="1"/>
    </xf>
    <xf borderId="184" fillId="0" fontId="2" numFmtId="0" xfId="0" applyBorder="1" applyFont="1"/>
    <xf borderId="79" fillId="3" fontId="18" numFmtId="0" xfId="0" applyAlignment="1" applyBorder="1" applyFont="1">
      <alignment horizontal="center" readingOrder="0" vertical="center"/>
    </xf>
    <xf borderId="14" fillId="3" fontId="42" numFmtId="1" xfId="0" applyAlignment="1" applyBorder="1" applyFont="1" applyNumberFormat="1">
      <alignment horizontal="center" readingOrder="0" shrinkToFit="0" vertical="center" wrapText="1"/>
    </xf>
    <xf borderId="14" fillId="3" fontId="18" numFmtId="1" xfId="0" applyAlignment="1" applyBorder="1" applyFont="1" applyNumberFormat="1">
      <alignment horizontal="center"/>
    </xf>
    <xf borderId="15" fillId="4" fontId="18" numFmtId="1" xfId="0" applyAlignment="1" applyBorder="1" applyFont="1" applyNumberFormat="1">
      <alignment horizontal="center"/>
    </xf>
    <xf borderId="22" fillId="7" fontId="18" numFmtId="0" xfId="0" applyAlignment="1" applyBorder="1" applyFont="1">
      <alignment horizontal="center" readingOrder="0" vertical="center"/>
    </xf>
    <xf borderId="15" fillId="4" fontId="20" numFmtId="1" xfId="0" applyAlignment="1" applyBorder="1" applyFont="1" applyNumberFormat="1">
      <alignment horizontal="center" vertical="center"/>
    </xf>
    <xf borderId="79" fillId="14" fontId="14" numFmtId="0" xfId="0" applyAlignment="1" applyBorder="1" applyFont="1">
      <alignment horizontal="center" readingOrder="0" vertical="center"/>
    </xf>
    <xf borderId="14" fillId="14" fontId="43" numFmtId="1" xfId="0" applyAlignment="1" applyBorder="1" applyFont="1" applyNumberFormat="1">
      <alignment horizontal="center" readingOrder="0" shrinkToFit="0" wrapText="1"/>
    </xf>
    <xf borderId="14" fillId="14" fontId="4" numFmtId="1" xfId="0" applyAlignment="1" applyBorder="1" applyFont="1" applyNumberFormat="1">
      <alignment horizontal="center"/>
    </xf>
    <xf borderId="15" fillId="4" fontId="4" numFmtId="1" xfId="0" applyAlignment="1" applyBorder="1" applyFont="1" applyNumberFormat="1">
      <alignment horizontal="center"/>
    </xf>
    <xf borderId="15" fillId="7" fontId="18" numFmtId="0" xfId="0" applyAlignment="1" applyBorder="1" applyFont="1">
      <alignment horizontal="center" readingOrder="0" vertical="center"/>
    </xf>
    <xf borderId="79" fillId="12" fontId="14" numFmtId="0" xfId="0" applyAlignment="1" applyBorder="1" applyFont="1">
      <alignment horizontal="center" readingOrder="0" vertical="center"/>
    </xf>
    <xf borderId="14" fillId="12" fontId="43" numFmtId="1" xfId="0" applyAlignment="1" applyBorder="1" applyFont="1" applyNumberFormat="1">
      <alignment horizontal="center" readingOrder="0" shrinkToFit="0" wrapText="1"/>
    </xf>
    <xf borderId="14" fillId="12" fontId="4" numFmtId="1" xfId="0" applyAlignment="1" applyBorder="1" applyFont="1" applyNumberFormat="1">
      <alignment horizontal="center"/>
    </xf>
    <xf borderId="185" fillId="20" fontId="44" numFmtId="0" xfId="0" applyAlignment="1" applyBorder="1" applyFont="1">
      <alignment horizontal="center" readingOrder="0" shrinkToFit="0" vertical="center" wrapText="1"/>
    </xf>
    <xf borderId="156" fillId="2" fontId="4" numFmtId="0" xfId="0" applyAlignment="1" applyBorder="1" applyFont="1">
      <alignment horizontal="center" vertical="center"/>
    </xf>
    <xf borderId="11" fillId="16" fontId="1" numFmtId="49" xfId="0" applyAlignment="1" applyBorder="1" applyFont="1" applyNumberFormat="1">
      <alignment readingOrder="0"/>
    </xf>
    <xf borderId="79" fillId="0" fontId="1" numFmtId="0" xfId="0" applyAlignment="1" applyBorder="1" applyFont="1">
      <alignment horizontal="center" readingOrder="0" vertical="center"/>
    </xf>
    <xf borderId="14" fillId="16" fontId="45" numFmtId="0" xfId="0" applyAlignment="1" applyBorder="1" applyFont="1">
      <alignment horizontal="center" readingOrder="0" vertical="center"/>
    </xf>
    <xf borderId="14" fillId="7" fontId="1" numFmtId="0" xfId="0" applyAlignment="1" applyBorder="1" applyFont="1">
      <alignment horizontal="center" readingOrder="0"/>
    </xf>
    <xf borderId="14" fillId="16" fontId="1" numFmtId="2" xfId="0" applyAlignment="1" applyBorder="1" applyFont="1" applyNumberFormat="1">
      <alignment horizontal="center"/>
    </xf>
    <xf borderId="14" fillId="7" fontId="1" numFmtId="1" xfId="0" applyAlignment="1" applyBorder="1" applyFont="1" applyNumberFormat="1">
      <alignment horizontal="center" readingOrder="0"/>
    </xf>
    <xf borderId="11" fillId="16" fontId="1" numFmtId="2" xfId="0" applyAlignment="1" applyBorder="1" applyFont="1" applyNumberFormat="1">
      <alignment horizontal="center"/>
    </xf>
    <xf borderId="14" fillId="7" fontId="1" numFmtId="0" xfId="0" applyAlignment="1" applyBorder="1" applyFont="1">
      <alignment horizontal="center" readingOrder="0" vertical="center"/>
    </xf>
    <xf borderId="78" fillId="0" fontId="1" numFmtId="2" xfId="0" applyAlignment="1" applyBorder="1" applyFont="1" applyNumberFormat="1">
      <alignment horizontal="center"/>
    </xf>
    <xf borderId="14" fillId="16" fontId="1" numFmtId="0" xfId="0" applyAlignment="1" applyBorder="1" applyFont="1">
      <alignment horizontal="center" vertical="center"/>
    </xf>
    <xf borderId="14" fillId="16" fontId="46" numFmtId="0" xfId="0" applyAlignment="1" applyBorder="1" applyFont="1">
      <alignment horizontal="center" vertical="center"/>
    </xf>
    <xf borderId="11" fillId="0" fontId="1" numFmtId="2" xfId="0" applyAlignment="1" applyBorder="1" applyFont="1" applyNumberFormat="1">
      <alignment horizontal="center"/>
    </xf>
    <xf borderId="186" fillId="21" fontId="30" numFmtId="1" xfId="0" applyAlignment="1" applyBorder="1" applyFill="1" applyFont="1" applyNumberFormat="1">
      <alignment horizontal="center" readingOrder="0" vertical="bottom"/>
    </xf>
    <xf borderId="156" fillId="16" fontId="1" numFmtId="2" xfId="0" applyAlignment="1" applyBorder="1" applyFont="1" applyNumberFormat="1">
      <alignment horizontal="center"/>
    </xf>
    <xf borderId="186" fillId="21" fontId="30" numFmtId="1" xfId="0" applyAlignment="1" applyBorder="1" applyFont="1" applyNumberFormat="1">
      <alignment horizontal="center" vertical="bottom"/>
    </xf>
    <xf borderId="187" fillId="21" fontId="30" numFmtId="2" xfId="0" applyAlignment="1" applyBorder="1" applyFont="1" applyNumberFormat="1">
      <alignment horizontal="center" vertical="bottom"/>
    </xf>
    <xf borderId="127" fillId="2" fontId="32" numFmtId="0" xfId="0" applyAlignment="1" applyBorder="1" applyFont="1">
      <alignment horizontal="center" textRotation="135" vertical="center"/>
    </xf>
    <xf borderId="83" fillId="2" fontId="32" numFmtId="0" xfId="0" applyAlignment="1" applyBorder="1" applyFont="1">
      <alignment horizontal="center" textRotation="135" vertical="center"/>
    </xf>
    <xf borderId="109" fillId="2" fontId="4" numFmtId="0" xfId="0" applyAlignment="1" applyBorder="1" applyFont="1">
      <alignment horizontal="center" vertical="center"/>
    </xf>
    <xf borderId="14" fillId="22" fontId="1" numFmtId="10" xfId="0" applyAlignment="1" applyBorder="1" applyFill="1" applyFont="1" applyNumberFormat="1">
      <alignment horizontal="center" vertical="center"/>
    </xf>
    <xf borderId="15" fillId="22" fontId="1" numFmtId="10" xfId="0" applyAlignment="1" applyBorder="1" applyFont="1" applyNumberFormat="1">
      <alignment horizontal="center" vertical="center"/>
    </xf>
    <xf borderId="15" fillId="7" fontId="1" numFmtId="10" xfId="0" applyAlignment="1" applyBorder="1" applyFont="1" applyNumberFormat="1">
      <alignment horizontal="center" vertical="center"/>
    </xf>
    <xf borderId="11" fillId="0" fontId="1" numFmtId="10" xfId="0" applyAlignment="1" applyBorder="1" applyFont="1" applyNumberFormat="1">
      <alignment horizontal="center" vertical="center"/>
    </xf>
    <xf borderId="15" fillId="0" fontId="1" numFmtId="10" xfId="0" applyAlignment="1" applyBorder="1" applyFont="1" applyNumberFormat="1">
      <alignment horizontal="center" vertical="center"/>
    </xf>
    <xf borderId="8" fillId="0" fontId="1" numFmtId="10" xfId="0" applyAlignment="1" applyBorder="1" applyFont="1" applyNumberFormat="1">
      <alignment horizontal="center" vertical="center"/>
    </xf>
    <xf borderId="127" fillId="2" fontId="36" numFmtId="0" xfId="0" applyAlignment="1" applyBorder="1" applyFont="1">
      <alignment horizontal="center" readingOrder="0" textRotation="135" vertical="center"/>
    </xf>
    <xf borderId="188" fillId="2" fontId="4" numFmtId="0" xfId="0" applyAlignment="1" applyBorder="1" applyFont="1">
      <alignment horizontal="center" vertical="center"/>
    </xf>
    <xf borderId="127" fillId="0" fontId="2" numFmtId="0" xfId="0" applyBorder="1" applyFont="1"/>
    <xf borderId="189" fillId="2" fontId="4" numFmtId="0" xfId="0" applyAlignment="1" applyBorder="1" applyFont="1">
      <alignment horizontal="center" vertical="center"/>
    </xf>
    <xf borderId="190" fillId="2" fontId="4" numFmtId="0" xfId="0" applyAlignment="1" applyBorder="1" applyFont="1">
      <alignment horizontal="center" vertical="center"/>
    </xf>
    <xf borderId="54" fillId="0" fontId="2" numFmtId="0" xfId="0" applyBorder="1" applyFont="1"/>
    <xf borderId="55" fillId="0" fontId="4" numFmtId="0" xfId="0" applyAlignment="1" applyBorder="1" applyFont="1">
      <alignment horizontal="center" vertical="center"/>
    </xf>
    <xf borderId="191" fillId="0" fontId="1" numFmtId="0" xfId="0" applyAlignment="1" applyBorder="1" applyFont="1">
      <alignment horizontal="center"/>
    </xf>
    <xf borderId="192" fillId="0" fontId="2" numFmtId="0" xfId="0" applyBorder="1" applyFont="1"/>
    <xf borderId="165" fillId="0" fontId="2" numFmtId="0" xfId="0" applyBorder="1" applyFont="1"/>
    <xf borderId="6" fillId="2" fontId="47" numFmtId="0" xfId="0" applyAlignment="1" applyBorder="1" applyFont="1">
      <alignment horizontal="center" readingOrder="0" shrinkToFit="0" textRotation="0" vertical="center" wrapText="1"/>
    </xf>
    <xf borderId="15" fillId="2" fontId="24" numFmtId="0" xfId="0" applyAlignment="1" applyBorder="1" applyFont="1">
      <alignment readingOrder="0" shrinkToFit="0" wrapText="1"/>
    </xf>
    <xf borderId="0" fillId="0" fontId="1" numFmtId="10" xfId="0" applyFont="1" applyNumberFormat="1"/>
    <xf borderId="15" fillId="2" fontId="24" numFmtId="0" xfId="0" applyAlignment="1" applyBorder="1" applyFont="1">
      <alignment horizontal="left" readingOrder="0" shrinkToFit="0" wrapText="1"/>
    </xf>
    <xf borderId="14" fillId="2" fontId="24" numFmtId="0" xfId="0" applyAlignment="1" applyBorder="1" applyFont="1">
      <alignment readingOrder="0"/>
    </xf>
    <xf borderId="25" fillId="2" fontId="48" numFmtId="0" xfId="0" applyAlignment="1" applyBorder="1" applyFont="1">
      <alignment horizontal="center" readingOrder="0" vertical="center"/>
    </xf>
    <xf borderId="0" fillId="2" fontId="48" numFmtId="0" xfId="0" applyAlignment="1" applyFont="1">
      <alignment horizontal="center" readingOrder="0" vertical="center"/>
    </xf>
    <xf borderId="36" fillId="18" fontId="4" numFmtId="0" xfId="0" applyAlignment="1" applyBorder="1" applyFont="1">
      <alignment horizontal="center" readingOrder="0" vertical="center"/>
    </xf>
    <xf borderId="11" fillId="18" fontId="4" numFmtId="0" xfId="0" applyAlignment="1" applyBorder="1" applyFont="1">
      <alignment horizontal="left" readingOrder="0"/>
    </xf>
    <xf borderId="1" fillId="18" fontId="4" numFmtId="0" xfId="0" applyAlignment="1" applyBorder="1" applyFont="1">
      <alignment horizontal="left" readingOrder="0" vertical="center"/>
    </xf>
    <xf borderId="47" fillId="3" fontId="31" numFmtId="0" xfId="0" applyAlignment="1" applyBorder="1" applyFont="1">
      <alignment horizontal="center" vertical="center"/>
    </xf>
    <xf borderId="177" fillId="14" fontId="32" numFmtId="0" xfId="0" applyAlignment="1" applyBorder="1" applyFont="1">
      <alignment horizontal="center" vertical="center"/>
    </xf>
    <xf borderId="177" fillId="12" fontId="32" numFmtId="0" xfId="0" applyAlignment="1" applyBorder="1" applyFont="1">
      <alignment horizontal="center" vertical="center"/>
    </xf>
    <xf borderId="193" fillId="19" fontId="18" numFmtId="0" xfId="0" applyAlignment="1" applyBorder="1" applyFont="1">
      <alignment horizontal="center" shrinkToFit="0" vertical="center" wrapText="1"/>
    </xf>
    <xf borderId="156" fillId="0" fontId="2" numFmtId="0" xfId="0" applyBorder="1" applyFont="1"/>
    <xf borderId="193" fillId="19" fontId="18" numFmtId="0" xfId="0" applyAlignment="1" applyBorder="1" applyFont="1">
      <alignment horizontal="center" readingOrder="0" shrinkToFit="0" vertical="center" wrapText="1"/>
    </xf>
    <xf borderId="194" fillId="3" fontId="22" numFmtId="0" xfId="0" applyAlignment="1" applyBorder="1" applyFont="1">
      <alignment horizontal="center" readingOrder="0" shrinkToFit="0" vertical="center" wrapText="1"/>
    </xf>
    <xf borderId="15" fillId="3" fontId="22" numFmtId="0" xfId="0" applyAlignment="1" applyBorder="1" applyFont="1">
      <alignment horizontal="center" readingOrder="0" shrinkToFit="0" vertical="center" wrapText="1"/>
    </xf>
    <xf borderId="15" fillId="14" fontId="22" numFmtId="0" xfId="0" applyAlignment="1" applyBorder="1" applyFont="1">
      <alignment horizontal="center" shrinkToFit="0" vertical="center" wrapText="1"/>
    </xf>
    <xf borderId="15" fillId="23" fontId="22" numFmtId="0" xfId="0" applyAlignment="1" applyBorder="1" applyFill="1" applyFont="1">
      <alignment horizontal="center" shrinkToFit="0" vertical="center" wrapText="1"/>
    </xf>
    <xf borderId="195" fillId="23" fontId="22" numFmtId="0" xfId="0" applyAlignment="1" applyBorder="1" applyFont="1">
      <alignment horizontal="center" shrinkToFit="0" vertical="center" wrapText="1"/>
    </xf>
    <xf borderId="3" fillId="3" fontId="22" numFmtId="0" xfId="0" applyAlignment="1" applyBorder="1" applyFont="1">
      <alignment horizontal="center" readingOrder="0" shrinkToFit="0" vertical="center" wrapText="1"/>
    </xf>
    <xf borderId="15" fillId="14" fontId="22" numFmtId="0" xfId="0" applyAlignment="1" applyBorder="1" applyFont="1">
      <alignment horizontal="center" readingOrder="0" shrinkToFit="0" vertical="center" wrapText="1"/>
    </xf>
    <xf borderId="15" fillId="23" fontId="22" numFmtId="0" xfId="0" applyAlignment="1" applyBorder="1" applyFont="1">
      <alignment horizontal="center" readingOrder="0" shrinkToFit="0" vertical="center" wrapText="1"/>
    </xf>
    <xf borderId="79" fillId="3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readingOrder="0"/>
    </xf>
    <xf borderId="14" fillId="14" fontId="1" numFmtId="0" xfId="0" applyAlignment="1" applyBorder="1" applyFont="1">
      <alignment horizontal="center" readingOrder="0"/>
    </xf>
    <xf borderId="14" fillId="23" fontId="1" numFmtId="0" xfId="0" applyAlignment="1" applyBorder="1" applyFont="1">
      <alignment horizontal="center" readingOrder="0"/>
    </xf>
    <xf borderId="78" fillId="23" fontId="1" numFmtId="0" xfId="0" applyAlignment="1" applyBorder="1" applyFont="1">
      <alignment horizontal="center" readingOrder="0"/>
    </xf>
    <xf borderId="13" fillId="3" fontId="1" numFmtId="10" xfId="0" applyAlignment="1" applyBorder="1" applyFont="1" applyNumberFormat="1">
      <alignment horizontal="center" readingOrder="0"/>
    </xf>
    <xf borderId="14" fillId="3" fontId="1" numFmtId="4" xfId="0" applyAlignment="1" applyBorder="1" applyFont="1" applyNumberFormat="1">
      <alignment horizontal="center" readingOrder="0"/>
    </xf>
    <xf borderId="14" fillId="14" fontId="1" numFmtId="10" xfId="0" applyAlignment="1" applyBorder="1" applyFont="1" applyNumberFormat="1">
      <alignment horizontal="center" readingOrder="0"/>
    </xf>
    <xf borderId="14" fillId="14" fontId="1" numFmtId="4" xfId="0" applyAlignment="1" applyBorder="1" applyFont="1" applyNumberFormat="1">
      <alignment horizontal="center" readingOrder="0"/>
    </xf>
    <xf borderId="14" fillId="23" fontId="1" numFmtId="10" xfId="0" applyAlignment="1" applyBorder="1" applyFont="1" applyNumberFormat="1">
      <alignment horizontal="center" readingOrder="0"/>
    </xf>
    <xf borderId="14" fillId="23" fontId="1" numFmtId="4" xfId="0" applyAlignment="1" applyBorder="1" applyFont="1" applyNumberFormat="1">
      <alignment horizontal="center" readingOrder="0"/>
    </xf>
    <xf borderId="15" fillId="23" fontId="1" numFmtId="0" xfId="0" applyAlignment="1" applyBorder="1" applyFont="1">
      <alignment horizontal="center" readingOrder="0"/>
    </xf>
    <xf borderId="195" fillId="23" fontId="1" numFmtId="0" xfId="0" applyAlignment="1" applyBorder="1" applyFont="1">
      <alignment horizontal="center" readingOrder="0"/>
    </xf>
    <xf borderId="3" fillId="3" fontId="1" numFmtId="10" xfId="0" applyAlignment="1" applyBorder="1" applyFont="1" applyNumberFormat="1">
      <alignment horizontal="center" readingOrder="0"/>
    </xf>
    <xf borderId="15" fillId="3" fontId="1" numFmtId="4" xfId="0" applyAlignment="1" applyBorder="1" applyFont="1" applyNumberFormat="1">
      <alignment horizontal="center" readingOrder="0"/>
    </xf>
    <xf borderId="15" fillId="14" fontId="1" numFmtId="10" xfId="0" applyAlignment="1" applyBorder="1" applyFont="1" applyNumberFormat="1">
      <alignment horizontal="center" readingOrder="0"/>
    </xf>
    <xf borderId="15" fillId="14" fontId="1" numFmtId="4" xfId="0" applyAlignment="1" applyBorder="1" applyFont="1" applyNumberFormat="1">
      <alignment horizontal="center" readingOrder="0"/>
    </xf>
    <xf borderId="15" fillId="23" fontId="1" numFmtId="10" xfId="0" applyAlignment="1" applyBorder="1" applyFont="1" applyNumberFormat="1">
      <alignment horizontal="center" readingOrder="0"/>
    </xf>
    <xf borderId="15" fillId="23" fontId="1" numFmtId="4" xfId="0" applyAlignment="1" applyBorder="1" applyFont="1" applyNumberFormat="1">
      <alignment horizontal="center" readingOrder="0"/>
    </xf>
    <xf borderId="177" fillId="23" fontId="24" numFmtId="0" xfId="0" applyAlignment="1" applyBorder="1" applyFont="1">
      <alignment horizontal="center" readingOrder="0"/>
    </xf>
    <xf borderId="196" fillId="0" fontId="2" numFmtId="0" xfId="0" applyBorder="1" applyFont="1"/>
    <xf borderId="197" fillId="0" fontId="49" numFmtId="0" xfId="0" applyAlignment="1" applyBorder="1" applyFont="1">
      <alignment horizontal="center"/>
    </xf>
    <xf borderId="197" fillId="0" fontId="50" numFmtId="0" xfId="0" applyAlignment="1" applyBorder="1" applyFont="1">
      <alignment horizontal="center"/>
    </xf>
    <xf borderId="198" fillId="0" fontId="50" numFmtId="0" xfId="0" applyAlignment="1" applyBorder="1" applyFont="1">
      <alignment horizontal="center"/>
    </xf>
    <xf borderId="11" fillId="24" fontId="51" numFmtId="0" xfId="0" applyAlignment="1" applyBorder="1" applyFill="1" applyFont="1">
      <alignment horizontal="center" readingOrder="0"/>
    </xf>
    <xf borderId="14" fillId="2" fontId="52" numFmtId="0" xfId="0" applyAlignment="1" applyBorder="1" applyFont="1">
      <alignment horizontal="center" vertical="center"/>
    </xf>
    <xf borderId="11" fillId="0" fontId="53" numFmtId="0" xfId="0" applyAlignment="1" applyBorder="1" applyFont="1">
      <alignment readingOrder="0"/>
    </xf>
  </cellXfs>
  <cellStyles count="1">
    <cellStyle xfId="0" name="Normal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F79646"/>
          <bgColor rgb="FFF79646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rgb="FFDBE5F1"/>
          <bgColor rgb="FFDBE5F1"/>
        </patternFill>
      </fill>
      <border/>
    </dxf>
    <dxf>
      <font>
        <color rgb="FF666666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theme="0"/>
      </font>
      <fill>
        <patternFill patternType="solid">
          <fgColor rgb="FFFF9900"/>
          <bgColor rgb="FFFF99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0"/>
      </font>
      <fill>
        <patternFill patternType="solid">
          <fgColor rgb="FF666666"/>
          <bgColor rgb="FF666666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1609725</xdr:colOff>
      <xdr:row>7</xdr:row>
      <xdr:rowOff>76200</xdr:rowOff>
    </xdr:from>
    <xdr:ext cx="7524750" cy="838200"/>
    <xdr:sp>
      <xdr:nvSpPr>
        <xdr:cNvPr id="3" name="Shape 3"/>
        <xdr:cNvSpPr/>
      </xdr:nvSpPr>
      <xdr:spPr>
        <a:xfrm>
          <a:off x="0" y="1891925"/>
          <a:ext cx="7518600" cy="823500"/>
        </a:xfrm>
        <a:prstGeom prst="flowChartAlternateProcess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700"/>
            <a:t>LOS PROFESORES </a:t>
          </a:r>
          <a:r>
            <a:rPr b="1" lang="en-US" sz="1700">
              <a:solidFill>
                <a:srgbClr val="FFFFFF"/>
              </a:solidFill>
            </a:rPr>
            <a:t>ÚNICAMENTE</a:t>
          </a:r>
          <a:r>
            <a:rPr b="1" lang="en-US" sz="1700"/>
            <a:t> DEBEN INTRODUCIR DATOS AQUÍ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6202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" cy="1809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6</xdr:row>
      <xdr:rowOff>0</xdr:rowOff>
    </xdr:from>
    <xdr:ext cx="1085850" cy="2381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6275" cy="190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95325" cy="1905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95325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FlhMoydzfIkgNRwfGGW71WGwTc1AHjCbRax0vNr5LE/edit?gid=1244256603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39.4"/>
    <col customWidth="1" min="3" max="3" width="45.0"/>
    <col customWidth="1" min="4" max="4" width="64.7"/>
    <col customWidth="1" min="5" max="5" width="45.8"/>
    <col customWidth="1" hidden="1" min="6" max="27" width="10.6"/>
  </cols>
  <sheetData>
    <row r="1" ht="21.75" customHeight="1">
      <c r="A1" s="1"/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1.75" customHeight="1">
      <c r="A2" s="6"/>
      <c r="E2" s="7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21.75" customHeight="1">
      <c r="A3" s="8"/>
      <c r="B3" s="9"/>
      <c r="C3" s="9"/>
      <c r="D3" s="9"/>
      <c r="E3" s="10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1" t="s">
        <v>0</v>
      </c>
      <c r="B4" s="12"/>
      <c r="C4" s="12"/>
      <c r="D4" s="12"/>
      <c r="E4" s="13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64.5" customHeight="1">
      <c r="A5" s="16"/>
      <c r="B5" s="17" t="s">
        <v>1</v>
      </c>
      <c r="C5" s="12"/>
      <c r="D5" s="12"/>
      <c r="E5" s="13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64.5" customHeight="1">
      <c r="A6" s="16"/>
      <c r="B6" s="18" t="s">
        <v>2</v>
      </c>
      <c r="C6" s="12"/>
      <c r="D6" s="12"/>
      <c r="E6" s="13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0.5" customHeight="1">
      <c r="A7" s="19" t="s">
        <v>3</v>
      </c>
      <c r="B7" s="20" t="s">
        <v>4</v>
      </c>
      <c r="C7" s="21" t="s">
        <v>5</v>
      </c>
      <c r="D7" s="22" t="s">
        <v>6</v>
      </c>
      <c r="E7" s="23" t="s">
        <v>7</v>
      </c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96.0" customHeight="1">
      <c r="A8" s="26" t="s">
        <v>8</v>
      </c>
      <c r="B8" s="27" t="s">
        <v>9</v>
      </c>
      <c r="C8" s="28" t="s">
        <v>10</v>
      </c>
      <c r="D8" s="29"/>
      <c r="E8" s="27" t="s">
        <v>9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96.0" customHeight="1">
      <c r="A9" s="30"/>
      <c r="B9" s="31" t="s">
        <v>11</v>
      </c>
      <c r="C9" s="32"/>
      <c r="D9" s="33" t="s">
        <v>12</v>
      </c>
      <c r="E9" s="31" t="s">
        <v>13</v>
      </c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96.0" customHeight="1">
      <c r="A10" s="30"/>
      <c r="B10" s="34"/>
      <c r="C10" s="32"/>
      <c r="D10" s="33" t="s">
        <v>14</v>
      </c>
      <c r="E10" s="34" t="s">
        <v>15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96.0" customHeight="1">
      <c r="A11" s="30"/>
      <c r="B11" s="34"/>
      <c r="C11" s="32"/>
      <c r="D11" s="33" t="s">
        <v>16</v>
      </c>
      <c r="E11" s="3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96.0" customHeight="1">
      <c r="A12" s="35"/>
      <c r="B12" s="34"/>
      <c r="C12" s="36"/>
      <c r="D12" s="33" t="s">
        <v>17</v>
      </c>
      <c r="E12" s="3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hidden="1" customHeight="1">
      <c r="A13" s="37"/>
      <c r="B13" s="37"/>
      <c r="C13" s="37"/>
      <c r="D13" s="37"/>
      <c r="E13" s="3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hidden="1" customHeight="1">
      <c r="A14" s="5"/>
      <c r="B14" s="5"/>
      <c r="C14" s="38"/>
      <c r="D14" s="39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hidden="1" customHeight="1">
      <c r="A15" s="5"/>
      <c r="B15" s="5"/>
      <c r="C15" s="40"/>
      <c r="D15" s="4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hidden="1" customHeight="1">
      <c r="A16" s="5"/>
      <c r="B16" s="5"/>
      <c r="C16" s="40"/>
      <c r="D16" s="4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hidden="1" customHeight="1">
      <c r="A17" s="5"/>
      <c r="B17" s="5"/>
      <c r="C17" s="40"/>
      <c r="D17" s="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hidden="1" customHeight="1">
      <c r="A18" s="5"/>
      <c r="B18" s="5"/>
      <c r="C18" s="42"/>
      <c r="D18" s="4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hidden="1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hidden="1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hidden="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hidden="1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hidden="1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hidden="1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hidden="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hidden="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hidden="1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hidden="1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hidden="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hidden="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hidden="1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hidden="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hidden="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hidden="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hidden="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hidden="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hidden="1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hidden="1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hidden="1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hidden="1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hidden="1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hidden="1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hidden="1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hidden="1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hidden="1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hidden="1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hidden="1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hidden="1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hidden="1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hidden="1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hidden="1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hidden="1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hidden="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hidden="1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hidden="1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hidden="1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hidden="1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hidden="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hidden="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hidden="1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hidden="1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hidden="1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hidden="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hidden="1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hidden="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hidden="1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hidden="1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hidden="1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hidden="1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hidden="1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hidden="1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hidden="1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hidden="1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hidden="1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hidden="1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hidden="1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hidden="1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hidden="1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hidden="1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hidden="1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hidden="1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hidden="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hidden="1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hidden="1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hidden="1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hidden="1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hidden="1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hidden="1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hidden="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hidden="1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hidden="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hidden="1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hidden="1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hidden="1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hidden="1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hidden="1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hidden="1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hidden="1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hidden="1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hidden="1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hidden="1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hidden="1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hidden="1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hidden="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hidden="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hidden="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hidden="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hidden="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hidden="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hidden="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hidden="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hidden="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hidden="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hidden="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hidden="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hidden="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hidden="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hidden="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hidden="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hidden="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hidden="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hidden="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hidden="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hidden="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hidden="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hidden="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hidden="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hidden="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hidden="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hidden="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hidden="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hidden="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hidden="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hidden="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hidden="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hidden="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hidden="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hidden="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hidden="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hidden="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hidden="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hidden="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hidden="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hidden="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hidden="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hidden="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hidden="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hidden="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hidden="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hidden="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hidden="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hidden="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hidden="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hidden="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hidden="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hidden="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hidden="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hidden="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hidden="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hidden="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hidden="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hidden="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hidden="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hidden="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hidden="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hidden="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hidden="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hidden="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hidden="1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hidden="1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hidden="1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hidden="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hidden="1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hidden="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hidden="1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hidden="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hidden="1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hidden="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hidden="1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hidden="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hidden="1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hidden="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hidden="1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hidden="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hidden="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hidden="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hidden="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hidden="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hidden="1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hidden="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hidden="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hidden="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hidden="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hidden="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hidden="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hidden="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hidden="1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hidden="1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hidden="1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hidden="1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hidden="1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hidden="1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hidden="1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hidden="1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hidden="1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hidden="1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hidden="1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hidden="1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hidden="1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hidden="1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hidden="1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hidden="1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hidden="1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hidden="1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hidden="1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hidden="1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hidden="1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hidden="1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hidden="1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hidden="1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hidden="1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hidden="1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hidden="1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hidden="1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hidden="1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hidden="1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hidden="1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hidden="1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hidden="1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hidden="1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hidden="1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hidden="1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hidden="1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hidden="1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hidden="1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hidden="1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hidden="1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hidden="1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hidden="1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hidden="1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hidden="1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hidden="1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hidden="1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hidden="1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hidden="1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hidden="1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hidden="1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hidden="1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hidden="1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hidden="1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hidden="1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hidden="1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hidden="1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hidden="1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hidden="1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hidden="1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hidden="1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hidden="1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hidden="1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hidden="1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hidden="1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hidden="1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hidden="1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hidden="1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hidden="1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hidden="1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hidden="1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hidden="1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hidden="1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hidden="1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hidden="1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hidden="1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hidden="1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hidden="1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hidden="1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hidden="1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hidden="1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hidden="1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hidden="1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hidden="1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hidden="1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hidden="1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hidden="1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hidden="1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hidden="1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hidden="1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hidden="1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hidden="1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hidden="1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hidden="1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hidden="1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hidden="1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hidden="1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hidden="1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hidden="1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hidden="1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hidden="1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hidden="1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hidden="1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hidden="1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hidden="1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hidden="1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hidden="1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hidden="1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hidden="1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hidden="1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hidden="1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hidden="1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hidden="1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hidden="1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hidden="1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hidden="1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hidden="1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hidden="1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hidden="1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hidden="1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hidden="1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hidden="1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hidden="1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hidden="1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hidden="1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hidden="1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hidden="1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hidden="1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hidden="1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hidden="1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hidden="1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hidden="1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hidden="1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hidden="1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hidden="1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hidden="1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hidden="1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hidden="1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hidden="1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hidden="1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hidden="1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hidden="1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hidden="1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hidden="1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hidden="1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hidden="1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hidden="1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hidden="1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hidden="1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hidden="1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hidden="1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hidden="1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hidden="1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hidden="1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hidden="1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hidden="1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hidden="1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hidden="1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hidden="1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hidden="1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hidden="1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hidden="1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hidden="1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hidden="1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hidden="1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hidden="1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hidden="1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hidden="1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hidden="1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hidden="1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hidden="1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hidden="1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hidden="1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hidden="1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hidden="1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hidden="1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hidden="1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hidden="1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hidden="1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hidden="1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hidden="1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hidden="1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hidden="1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hidden="1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hidden="1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hidden="1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hidden="1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hidden="1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hidden="1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hidden="1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hidden="1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hidden="1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hidden="1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hidden="1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hidden="1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hidden="1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hidden="1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hidden="1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hidden="1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hidden="1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hidden="1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hidden="1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hidden="1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hidden="1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hidden="1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hidden="1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hidden="1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hidden="1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hidden="1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hidden="1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hidden="1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hidden="1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hidden="1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hidden="1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hidden="1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hidden="1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hidden="1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hidden="1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hidden="1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hidden="1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hidden="1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hidden="1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hidden="1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hidden="1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hidden="1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hidden="1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hidden="1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hidden="1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hidden="1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hidden="1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hidden="1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hidden="1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hidden="1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hidden="1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hidden="1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hidden="1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hidden="1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hidden="1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hidden="1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hidden="1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hidden="1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hidden="1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hidden="1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hidden="1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hidden="1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hidden="1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hidden="1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hidden="1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hidden="1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hidden="1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hidden="1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hidden="1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hidden="1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hidden="1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hidden="1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hidden="1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hidden="1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hidden="1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hidden="1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hidden="1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hidden="1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hidden="1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hidden="1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hidden="1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hidden="1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hidden="1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hidden="1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hidden="1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hidden="1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hidden="1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hidden="1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hidden="1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hidden="1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hidden="1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hidden="1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hidden="1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hidden="1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hidden="1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hidden="1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hidden="1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hidden="1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hidden="1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hidden="1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hidden="1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hidden="1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hidden="1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hidden="1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hidden="1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hidden="1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hidden="1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hidden="1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hidden="1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hidden="1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hidden="1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hidden="1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hidden="1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hidden="1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hidden="1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hidden="1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hidden="1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hidden="1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hidden="1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hidden="1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hidden="1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hidden="1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hidden="1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hidden="1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hidden="1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hidden="1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hidden="1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hidden="1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hidden="1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hidden="1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hidden="1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hidden="1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hidden="1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hidden="1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hidden="1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hidden="1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hidden="1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hidden="1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hidden="1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hidden="1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hidden="1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hidden="1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hidden="1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hidden="1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hidden="1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hidden="1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hidden="1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hidden="1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hidden="1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hidden="1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hidden="1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hidden="1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hidden="1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hidden="1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hidden="1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hidden="1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hidden="1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hidden="1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hidden="1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hidden="1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hidden="1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hidden="1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hidden="1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hidden="1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hidden="1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hidden="1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hidden="1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hidden="1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hidden="1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hidden="1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hidden="1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hidden="1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hidden="1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hidden="1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hidden="1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hidden="1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hidden="1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hidden="1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hidden="1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hidden="1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hidden="1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hidden="1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hidden="1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hidden="1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hidden="1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hidden="1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hidden="1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hidden="1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hidden="1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hidden="1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hidden="1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hidden="1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hidden="1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hidden="1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hidden="1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hidden="1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hidden="1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hidden="1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hidden="1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hidden="1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hidden="1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hidden="1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hidden="1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hidden="1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hidden="1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hidden="1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hidden="1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hidden="1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hidden="1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hidden="1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hidden="1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hidden="1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hidden="1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hidden="1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hidden="1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hidden="1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hidden="1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hidden="1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hidden="1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hidden="1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hidden="1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hidden="1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hidden="1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hidden="1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hidden="1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hidden="1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hidden="1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hidden="1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hidden="1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hidden="1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hidden="1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hidden="1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hidden="1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hidden="1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hidden="1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hidden="1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hidden="1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hidden="1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hidden="1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hidden="1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hidden="1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hidden="1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hidden="1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hidden="1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hidden="1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hidden="1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hidden="1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hidden="1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hidden="1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hidden="1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hidden="1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hidden="1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hidden="1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hidden="1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hidden="1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hidden="1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hidden="1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hidden="1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hidden="1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hidden="1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hidden="1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hidden="1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hidden="1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hidden="1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hidden="1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hidden="1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hidden="1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hidden="1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hidden="1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hidden="1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hidden="1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hidden="1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hidden="1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hidden="1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hidden="1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hidden="1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hidden="1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hidden="1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hidden="1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hidden="1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hidden="1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hidden="1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hidden="1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hidden="1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hidden="1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hidden="1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hidden="1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hidden="1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hidden="1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hidden="1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hidden="1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hidden="1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hidden="1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hidden="1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hidden="1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hidden="1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hidden="1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hidden="1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hidden="1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hidden="1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hidden="1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hidden="1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hidden="1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hidden="1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hidden="1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hidden="1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hidden="1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hidden="1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hidden="1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hidden="1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hidden="1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hidden="1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hidden="1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hidden="1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hidden="1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hidden="1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hidden="1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hidden="1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hidden="1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hidden="1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hidden="1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hidden="1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hidden="1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hidden="1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hidden="1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hidden="1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hidden="1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hidden="1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hidden="1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hidden="1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hidden="1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hidden="1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hidden="1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hidden="1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hidden="1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hidden="1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hidden="1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hidden="1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hidden="1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hidden="1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hidden="1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hidden="1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hidden="1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hidden="1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hidden="1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hidden="1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hidden="1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hidden="1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hidden="1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hidden="1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hidden="1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hidden="1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hidden="1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hidden="1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hidden="1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hidden="1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hidden="1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hidden="1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hidden="1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hidden="1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hidden="1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hidden="1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hidden="1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hidden="1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hidden="1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hidden="1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hidden="1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hidden="1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hidden="1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hidden="1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hidden="1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hidden="1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hidden="1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hidden="1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hidden="1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hidden="1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hidden="1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hidden="1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hidden="1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hidden="1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hidden="1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hidden="1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hidden="1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hidden="1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hidden="1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hidden="1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hidden="1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hidden="1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hidden="1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hidden="1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hidden="1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hidden="1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hidden="1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hidden="1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hidden="1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hidden="1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hidden="1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hidden="1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hidden="1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hidden="1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hidden="1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hidden="1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hidden="1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hidden="1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hidden="1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hidden="1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hidden="1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hidden="1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hidden="1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hidden="1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hidden="1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hidden="1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hidden="1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hidden="1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hidden="1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hidden="1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hidden="1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hidden="1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hidden="1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hidden="1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hidden="1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hidden="1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hidden="1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hidden="1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hidden="1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hidden="1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hidden="1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hidden="1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hidden="1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hidden="1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hidden="1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hidden="1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hidden="1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hidden="1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hidden="1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hidden="1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hidden="1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hidden="1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hidden="1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hidden="1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hidden="1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hidden="1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hidden="1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hidden="1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hidden="1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hidden="1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hidden="1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hidden="1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hidden="1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hidden="1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hidden="1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hidden="1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hidden="1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hidden="1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hidden="1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hidden="1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hidden="1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hidden="1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hidden="1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hidden="1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hidden="1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hidden="1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hidden="1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hidden="1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hidden="1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hidden="1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hidden="1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hidden="1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hidden="1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hidden="1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hidden="1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hidden="1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hidden="1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hidden="1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hidden="1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hidden="1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hidden="1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hidden="1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hidden="1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hidden="1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hidden="1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hidden="1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hidden="1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hidden="1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hidden="1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hidden="1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hidden="1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hidden="1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hidden="1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hidden="1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hidden="1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hidden="1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hidden="1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hidden="1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hidden="1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hidden="1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hidden="1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hidden="1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hidden="1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hidden="1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hidden="1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hidden="1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hidden="1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hidden="1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hidden="1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hidden="1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hidden="1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hidden="1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hidden="1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hidden="1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hidden="1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hidden="1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hidden="1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hidden="1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hidden="1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hidden="1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hidden="1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hidden="1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hidden="1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hidden="1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hidden="1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hidden="1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hidden="1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hidden="1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hidden="1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hidden="1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hidden="1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hidden="1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hidden="1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hidden="1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hidden="1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hidden="1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hidden="1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hidden="1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hidden="1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hidden="1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hidden="1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hidden="1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hidden="1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hidden="1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hidden="1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hidden="1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hidden="1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hidden="1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hidden="1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hidden="1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hidden="1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hidden="1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hidden="1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hidden="1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hidden="1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hidden="1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hidden="1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hidden="1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hidden="1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hidden="1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hidden="1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hidden="1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hidden="1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hidden="1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hidden="1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hidden="1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hidden="1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hidden="1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hidden="1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hidden="1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hidden="1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hidden="1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hidden="1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hidden="1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hidden="1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hidden="1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hidden="1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hidden="1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hidden="1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hidden="1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hidden="1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hidden="1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hidden="1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hidden="1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hidden="1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hidden="1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hidden="1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hidden="1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hidden="1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hidden="1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hidden="1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hidden="1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hidden="1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hidden="1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hidden="1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hidden="1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hidden="1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hidden="1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hidden="1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hidden="1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hidden="1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hidden="1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hidden="1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hidden="1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hidden="1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hidden="1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hidden="1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hidden="1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hidden="1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hidden="1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hidden="1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hidden="1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hidden="1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hidden="1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hidden="1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hidden="1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hidden="1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hidden="1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hidden="1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hidden="1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hidden="1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hidden="1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hidden="1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hidden="1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hidden="1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hidden="1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7">
    <mergeCell ref="A1:E3"/>
    <mergeCell ref="A4:E4"/>
    <mergeCell ref="B5:E5"/>
    <mergeCell ref="B6:E6"/>
    <mergeCell ref="A8:A12"/>
    <mergeCell ref="C8:C12"/>
    <mergeCell ref="C14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0.1" defaultRowHeight="15.0"/>
  <cols>
    <col customWidth="1" min="1" max="1" width="6.7"/>
    <col customWidth="1" min="2" max="2" width="6.0"/>
    <col customWidth="1" min="3" max="3" width="52.7"/>
    <col customWidth="1" hidden="1" min="4" max="4" width="10.6"/>
    <col customWidth="1" hidden="1" min="5" max="5" width="11.1"/>
    <col customWidth="1" hidden="1" min="6" max="6" width="12.5"/>
    <col customWidth="1" hidden="1" min="7" max="7" width="11.3"/>
    <col customWidth="1" min="8" max="8" width="11.3"/>
    <col customWidth="1" min="9" max="9" width="13.9"/>
    <col customWidth="1" hidden="1" min="10" max="10" width="13.9"/>
    <col customWidth="1" hidden="1" min="11" max="11" width="10.5"/>
    <col customWidth="1" hidden="1" min="12" max="12" width="11.7"/>
    <col customWidth="1" hidden="1" min="13" max="14" width="11.1"/>
    <col customWidth="1" min="15" max="15" width="12.3"/>
    <col customWidth="1" min="16" max="16" width="14.3"/>
    <col customWidth="1" hidden="1" min="17" max="17" width="11.1"/>
    <col customWidth="1" hidden="1" min="18" max="18" width="9.8"/>
    <col customWidth="1" hidden="1" min="19" max="19" width="10.1"/>
    <col customWidth="1" hidden="1" min="20" max="20" width="10.3"/>
    <col customWidth="1" hidden="1" min="21" max="21" width="11.4"/>
    <col customWidth="1" min="22" max="22" width="12.3"/>
    <col customWidth="1" min="23" max="23" width="14.7"/>
    <col customWidth="1" hidden="1" min="24" max="24" width="10.6"/>
    <col customWidth="1" min="25" max="25" width="11.4"/>
    <col customWidth="1" min="26" max="26" width="11.0"/>
    <col customWidth="1" min="27" max="27" width="10.5"/>
    <col customWidth="1" min="28" max="28" width="10.2"/>
    <col customWidth="1" min="29" max="29" width="13.3"/>
  </cols>
  <sheetData>
    <row r="1" ht="28.5" customHeight="1">
      <c r="A1" s="44"/>
      <c r="B1" s="45"/>
      <c r="C1" s="45"/>
      <c r="D1" s="46" t="s">
        <v>18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ht="15.75" customHeight="1">
      <c r="D2" s="47" t="s">
        <v>19</v>
      </c>
      <c r="E2" s="48" t="str">
        <f>'EVALUACIÓN'!E2</f>
        <v>2024-25</v>
      </c>
      <c r="F2" s="49"/>
      <c r="G2" s="50" t="s">
        <v>20</v>
      </c>
      <c r="H2" s="51"/>
      <c r="I2" s="52"/>
      <c r="J2" s="53"/>
      <c r="K2" s="54" t="str">
        <f>'EVALUACIÓN'!H2</f>
        <v>SEVILLA ESTE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  <c r="X2" s="55"/>
      <c r="Y2" s="56" t="s">
        <v>21</v>
      </c>
      <c r="Z2" s="2"/>
      <c r="AA2" s="2"/>
      <c r="AB2" s="2"/>
      <c r="AC2" s="3"/>
    </row>
    <row r="3" ht="15.75" customHeight="1">
      <c r="D3" s="57" t="s">
        <v>22</v>
      </c>
      <c r="E3" s="58"/>
      <c r="F3" s="58"/>
      <c r="G3" s="58"/>
      <c r="H3" s="58"/>
      <c r="I3" s="43"/>
      <c r="J3" s="53"/>
      <c r="K3" s="59" t="str">
        <f>'EVALUACIÓN'!H3</f>
        <v>1º A SISTEMAS MICROINFORMÁTICOS Y REDES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5"/>
      <c r="Y3" s="60"/>
      <c r="AC3" s="7"/>
    </row>
    <row r="4" ht="15.75" customHeight="1">
      <c r="D4" s="61" t="s">
        <v>23</v>
      </c>
      <c r="E4" s="51"/>
      <c r="F4" s="51"/>
      <c r="G4" s="51"/>
      <c r="H4" s="51"/>
      <c r="I4" s="52"/>
      <c r="J4" s="62"/>
      <c r="K4" s="63" t="str">
        <f>'EVALUACIÓN'!H4</f>
        <v>OSKAR MUÑOZ GALIANEZ</v>
      </c>
      <c r="L4" s="51"/>
      <c r="M4" s="51"/>
      <c r="N4" s="51"/>
      <c r="O4" s="51"/>
      <c r="P4" s="52"/>
      <c r="Q4" s="64"/>
      <c r="R4" s="65" t="str">
        <f>'EVALUACIÓN'!N4</f>
        <v/>
      </c>
      <c r="S4" s="51"/>
      <c r="T4" s="51"/>
      <c r="U4" s="51"/>
      <c r="V4" s="51"/>
      <c r="W4" s="52"/>
      <c r="X4" s="66"/>
      <c r="Y4" s="60"/>
      <c r="AC4" s="7"/>
    </row>
    <row r="5" ht="15.75" customHeight="1">
      <c r="D5" s="67" t="s">
        <v>24</v>
      </c>
      <c r="E5" s="68"/>
      <c r="F5" s="68"/>
      <c r="G5" s="68"/>
      <c r="H5" s="68"/>
      <c r="I5" s="39"/>
      <c r="J5" s="53"/>
      <c r="K5" s="69" t="str">
        <f>'EVALUACIÓN'!H5</f>
        <v>SISTEMAS OPERATIVOS MONOPUESTO</v>
      </c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39"/>
      <c r="X5" s="70"/>
      <c r="Y5" s="60"/>
      <c r="AC5" s="7"/>
    </row>
    <row r="6" ht="27.75" customHeight="1">
      <c r="D6" s="71" t="s">
        <v>25</v>
      </c>
      <c r="E6" s="72"/>
      <c r="F6" s="72"/>
      <c r="G6" s="72"/>
      <c r="H6" s="72"/>
      <c r="I6" s="73"/>
      <c r="J6" s="74"/>
      <c r="K6" s="75" t="s">
        <v>26</v>
      </c>
      <c r="L6" s="72"/>
      <c r="M6" s="72"/>
      <c r="N6" s="72"/>
      <c r="O6" s="72"/>
      <c r="P6" s="76"/>
      <c r="Q6" s="77"/>
      <c r="R6" s="78" t="s">
        <v>27</v>
      </c>
      <c r="S6" s="72"/>
      <c r="T6" s="72"/>
      <c r="U6" s="72"/>
      <c r="V6" s="72"/>
      <c r="W6" s="76"/>
      <c r="X6" s="79"/>
      <c r="Y6" s="80"/>
      <c r="Z6" s="81"/>
      <c r="AA6" s="81"/>
      <c r="AB6" s="81"/>
      <c r="AC6" s="82"/>
    </row>
    <row r="7" ht="127.5" customHeight="1">
      <c r="A7" s="83" t="s">
        <v>28</v>
      </c>
      <c r="B7" s="84"/>
      <c r="C7" s="85"/>
      <c r="D7" s="86"/>
      <c r="E7" s="81"/>
      <c r="F7" s="81"/>
      <c r="G7" s="81"/>
      <c r="H7" s="81"/>
      <c r="I7" s="87"/>
      <c r="J7" s="88"/>
      <c r="K7" s="89"/>
      <c r="L7" s="90"/>
      <c r="M7" s="90"/>
      <c r="N7" s="90"/>
      <c r="O7" s="90"/>
      <c r="P7" s="91"/>
      <c r="Q7" s="92"/>
      <c r="R7" s="93"/>
      <c r="S7" s="9"/>
      <c r="T7" s="9"/>
      <c r="U7" s="9"/>
      <c r="V7" s="9"/>
      <c r="W7" s="94"/>
      <c r="X7" s="92"/>
      <c r="Y7" s="95"/>
      <c r="AC7" s="7"/>
    </row>
    <row r="8" ht="16.5" customHeight="1">
      <c r="A8" s="96" t="s">
        <v>29</v>
      </c>
      <c r="B8" s="97" t="s">
        <v>30</v>
      </c>
      <c r="C8" s="3"/>
      <c r="D8" s="98" t="s">
        <v>31</v>
      </c>
      <c r="E8" s="99" t="s">
        <v>32</v>
      </c>
      <c r="F8" s="99" t="s">
        <v>33</v>
      </c>
      <c r="G8" s="100" t="s">
        <v>34</v>
      </c>
      <c r="H8" s="101" t="s">
        <v>35</v>
      </c>
      <c r="I8" s="102" t="s">
        <v>36</v>
      </c>
      <c r="J8" s="103" t="s">
        <v>37</v>
      </c>
      <c r="K8" s="104" t="s">
        <v>38</v>
      </c>
      <c r="L8" s="105" t="s">
        <v>39</v>
      </c>
      <c r="M8" s="105" t="s">
        <v>40</v>
      </c>
      <c r="N8" s="106" t="s">
        <v>41</v>
      </c>
      <c r="O8" s="106" t="s">
        <v>42</v>
      </c>
      <c r="P8" s="107" t="s">
        <v>43</v>
      </c>
      <c r="Q8" s="108" t="s">
        <v>37</v>
      </c>
      <c r="R8" s="109" t="s">
        <v>44</v>
      </c>
      <c r="S8" s="110" t="s">
        <v>45</v>
      </c>
      <c r="T8" s="110" t="s">
        <v>46</v>
      </c>
      <c r="U8" s="111" t="s">
        <v>47</v>
      </c>
      <c r="V8" s="111" t="s">
        <v>48</v>
      </c>
      <c r="W8" s="112" t="s">
        <v>49</v>
      </c>
      <c r="X8" s="113" t="s">
        <v>37</v>
      </c>
      <c r="Y8" s="114" t="s">
        <v>50</v>
      </c>
      <c r="Z8" s="115" t="s">
        <v>51</v>
      </c>
      <c r="AA8" s="116" t="s">
        <v>52</v>
      </c>
      <c r="AB8" s="116" t="s">
        <v>53</v>
      </c>
      <c r="AC8" s="115" t="s">
        <v>54</v>
      </c>
    </row>
    <row r="9" ht="16.5" customHeight="1">
      <c r="A9" s="6"/>
      <c r="B9" s="117"/>
      <c r="C9" s="82"/>
      <c r="D9" s="118"/>
      <c r="E9" s="119"/>
      <c r="F9" s="119"/>
      <c r="G9" s="119"/>
      <c r="H9" s="119"/>
      <c r="I9" s="120"/>
      <c r="K9" s="121"/>
      <c r="L9" s="35"/>
      <c r="M9" s="35"/>
      <c r="N9" s="35"/>
      <c r="O9" s="35"/>
      <c r="P9" s="122"/>
      <c r="Q9" s="9"/>
      <c r="R9" s="121"/>
      <c r="S9" s="35"/>
      <c r="T9" s="35"/>
      <c r="U9" s="35"/>
      <c r="V9" s="35"/>
      <c r="W9" s="122"/>
      <c r="X9" s="9"/>
      <c r="Y9" s="123"/>
      <c r="Z9" s="35"/>
      <c r="AA9" s="35"/>
      <c r="AB9" s="35"/>
      <c r="AC9" s="35"/>
    </row>
    <row r="10" ht="15.75" customHeight="1">
      <c r="A10" s="124" t="s">
        <v>55</v>
      </c>
      <c r="B10" s="125">
        <v>1.0</v>
      </c>
      <c r="C10" s="126" t="str">
        <f>IFERROR(__xludf.DUMMYFUNCTION("IMPORTRANGE('DATOS IMPORT'!B47,""DATOS IMPORT!B11:B45"")"),"Aragón Garcia, Gonzalo")</f>
        <v>Aragón Garcia, Gonzalo</v>
      </c>
      <c r="D10" s="127">
        <f>IF(FINAL!O10="NE","NE",'EVALUACIÓN'!D10)</f>
        <v>6</v>
      </c>
      <c r="E10" s="128">
        <f>IF(FINAL!O10="NE","NE",'EVALUACIÓN'!N10)</f>
        <v>7.666666667</v>
      </c>
      <c r="F10" s="128">
        <f>IF(FINAL!O10="NE","NE",'EVALUACIÓN'!P10)</f>
        <v>5</v>
      </c>
      <c r="G10" s="128">
        <f t="shared" ref="G10:G44" si="1">IF(D10="NE","NE",(D10*0.3)+(E10*0.6)+(F10*0.1))</f>
        <v>6.9</v>
      </c>
      <c r="H10" s="127" t="str">
        <f>FINAL!P10</f>
        <v/>
      </c>
      <c r="I10" s="129">
        <f>IF(D10="NE","NE",MAX(H10,FINAL!O10))</f>
        <v>7</v>
      </c>
      <c r="J10" s="130">
        <f>FINAL!O10</f>
        <v>7</v>
      </c>
      <c r="K10" s="131">
        <f>IF(FINAL!Q10="NE","NE",'EVALUACIÓN'!R10)</f>
        <v>9.5</v>
      </c>
      <c r="L10" s="128">
        <f>IF(FINAL!Q10="NE","NE",'EVALUACIÓN'!Z10)</f>
        <v>6.65</v>
      </c>
      <c r="M10" s="132">
        <f>IF(FINAL!Q10="NE","NE",'EVALUACIÓN'!AB10)</f>
        <v>5</v>
      </c>
      <c r="N10" s="128">
        <f t="shared" ref="N10:N44" si="2">IF(K10="NE","NE",(K10*0.3)+(L10*0.6)+(M10*0.1))</f>
        <v>7.34</v>
      </c>
      <c r="O10" s="127" t="str">
        <f>FINAL!R10</f>
        <v/>
      </c>
      <c r="P10" s="129">
        <f>IF(K10="NE","NE",MAX(O10,FINAL!Q10))</f>
        <v>7</v>
      </c>
      <c r="Q10" s="130">
        <f>FINAL!Q10</f>
        <v>7</v>
      </c>
      <c r="R10" s="131">
        <f>IF(FINAL!S10="NE","NE",'EVALUACIÓN'!AD10)</f>
        <v>5.5</v>
      </c>
      <c r="S10" s="128">
        <f>IF(FINAL!S10="NE","NE",'EVALUACIÓN'!AL10)</f>
        <v>7.625</v>
      </c>
      <c r="T10" s="132">
        <f>IF(FINAL!S10="NE","NE",'EVALUACIÓN'!AN10)</f>
        <v>10</v>
      </c>
      <c r="U10" s="128">
        <f t="shared" ref="U10:U44" si="3">IF(R10="NE","NE",(R10*0.3)+(S10*0.6)+(T10*0.1))</f>
        <v>7.225</v>
      </c>
      <c r="V10" s="127" t="str">
        <f>FINAL!T10</f>
        <v/>
      </c>
      <c r="W10" s="129">
        <f>IF(R10="NE","NE",MAX(V10,FINAL!S10))</f>
        <v>7</v>
      </c>
      <c r="X10" s="130">
        <f>FINAL!S10</f>
        <v>7</v>
      </c>
      <c r="Y10" s="133">
        <f>FINAL!U10</f>
        <v>7</v>
      </c>
      <c r="Z10" s="127" t="str">
        <f>FINAL!V10</f>
        <v/>
      </c>
      <c r="AA10" s="127" t="str">
        <f>IF(A10="REP",FINAL!U10,)</f>
        <v/>
      </c>
      <c r="AB10" s="127" t="str">
        <f>IF(A10="REP",FINAL!V10,)</f>
        <v/>
      </c>
      <c r="AC10" s="127">
        <f t="shared" ref="AC10:AC44" si="4">IF(A10="REP",max(AA10,AB10),max(Y10,Z10))</f>
        <v>7</v>
      </c>
    </row>
    <row r="11" ht="15.75" customHeight="1">
      <c r="A11" s="124" t="s">
        <v>55</v>
      </c>
      <c r="B11" s="134">
        <v>2.0</v>
      </c>
      <c r="C11" s="126" t="str">
        <f>IFERROR(__xludf.DUMMYFUNCTION("""COMPUTED_VALUE"""),"Ariza Criado, Guillermo")</f>
        <v>Ariza Criado, Guillermo</v>
      </c>
      <c r="D11" s="127">
        <f>IF(FINAL!O11="NE","NE",'EVALUACIÓN'!D11)</f>
        <v>7.5</v>
      </c>
      <c r="E11" s="128">
        <f>IF(FINAL!O11="NE","NE",'EVALUACIÓN'!N11)</f>
        <v>8.7</v>
      </c>
      <c r="F11" s="128">
        <f>IF(FINAL!O11="NE","NE",'EVALUACIÓN'!P11)</f>
        <v>10</v>
      </c>
      <c r="G11" s="128">
        <f t="shared" si="1"/>
        <v>8.47</v>
      </c>
      <c r="H11" s="127" t="str">
        <f>FINAL!P11</f>
        <v/>
      </c>
      <c r="I11" s="129">
        <f>IF(D11="NE","NE",MAX(H11,FINAL!O11))</f>
        <v>9</v>
      </c>
      <c r="J11" s="130">
        <f>FINAL!O11</f>
        <v>9</v>
      </c>
      <c r="K11" s="131">
        <f>IF(FINAL!Q11="NE","NE",'EVALUACIÓN'!R11)</f>
        <v>10</v>
      </c>
      <c r="L11" s="128">
        <f>IF(FINAL!Q11="NE","NE",'EVALUACIÓN'!Z11)</f>
        <v>6.8</v>
      </c>
      <c r="M11" s="132">
        <f>IF(FINAL!Q11="NE","NE",'EVALUACIÓN'!AB11)</f>
        <v>5</v>
      </c>
      <c r="N11" s="128">
        <f t="shared" si="2"/>
        <v>7.58</v>
      </c>
      <c r="O11" s="127" t="str">
        <f>FINAL!R11</f>
        <v/>
      </c>
      <c r="P11" s="129">
        <f>IF(K11="NE","NE",MAX(O11,FINAL!Q11))</f>
        <v>8</v>
      </c>
      <c r="Q11" s="130">
        <f>FINAL!Q11</f>
        <v>8</v>
      </c>
      <c r="R11" s="131">
        <f>IF(FINAL!S11="NE","NE",'EVALUACIÓN'!AD11)</f>
        <v>9.5</v>
      </c>
      <c r="S11" s="128">
        <f>IF(FINAL!S11="NE","NE",'EVALUACIÓN'!AL11)</f>
        <v>9.625</v>
      </c>
      <c r="T11" s="132">
        <f>IF(FINAL!S11="NE","NE",'EVALUACIÓN'!AN11)</f>
        <v>10</v>
      </c>
      <c r="U11" s="128">
        <f t="shared" si="3"/>
        <v>9.625</v>
      </c>
      <c r="V11" s="127" t="str">
        <f>FINAL!T11</f>
        <v/>
      </c>
      <c r="W11" s="129">
        <f>IF(R11="NE","NE",MAX(V11,FINAL!S11))</f>
        <v>10</v>
      </c>
      <c r="X11" s="130">
        <f>FINAL!S11</f>
        <v>10</v>
      </c>
      <c r="Y11" s="133">
        <f>FINAL!U11</f>
        <v>9</v>
      </c>
      <c r="Z11" s="127" t="str">
        <f>FINAL!V11</f>
        <v/>
      </c>
      <c r="AA11" s="127" t="str">
        <f>IF(A11="REP",FINAL!U11,)</f>
        <v/>
      </c>
      <c r="AB11" s="127" t="str">
        <f>IF(A11="REP",FINAL!V11,)</f>
        <v/>
      </c>
      <c r="AC11" s="127">
        <f t="shared" si="4"/>
        <v>9</v>
      </c>
    </row>
    <row r="12" ht="15.75" customHeight="1">
      <c r="A12" s="124" t="s">
        <v>55</v>
      </c>
      <c r="B12" s="134">
        <v>3.0</v>
      </c>
      <c r="C12" s="126" t="str">
        <f>IFERROR(__xludf.DUMMYFUNCTION("""COMPUTED_VALUE"""),"Barrera Cifuentes, Javier")</f>
        <v>Barrera Cifuentes, Javier</v>
      </c>
      <c r="D12" s="127">
        <f>IF(FINAL!O12="NE","NE",'EVALUACIÓN'!D12)</f>
        <v>4</v>
      </c>
      <c r="E12" s="128">
        <f>IF(FINAL!O12="NE","NE",'EVALUACIÓN'!N12)</f>
        <v>7.716666667</v>
      </c>
      <c r="F12" s="128">
        <f>IF(FINAL!O12="NE","NE",'EVALUACIÓN'!P12)</f>
        <v>5</v>
      </c>
      <c r="G12" s="128">
        <f t="shared" si="1"/>
        <v>6.33</v>
      </c>
      <c r="H12" s="127" t="str">
        <f>FINAL!P12</f>
        <v/>
      </c>
      <c r="I12" s="129">
        <f>IF(D12="NE","NE",MAX(H12,FINAL!O12))</f>
        <v>6</v>
      </c>
      <c r="J12" s="130">
        <f>FINAL!O12</f>
        <v>6</v>
      </c>
      <c r="K12" s="131">
        <f>IF(FINAL!Q12="NE","NE",'EVALUACIÓN'!R12)</f>
        <v>6</v>
      </c>
      <c r="L12" s="128">
        <f>IF(FINAL!Q12="NE","NE",'EVALUACIÓN'!Z12)</f>
        <v>5.975</v>
      </c>
      <c r="M12" s="132">
        <f>IF(FINAL!Q12="NE","NE",'EVALUACIÓN'!AB12)</f>
        <v>5</v>
      </c>
      <c r="N12" s="128">
        <f t="shared" si="2"/>
        <v>5.885</v>
      </c>
      <c r="O12" s="127" t="str">
        <f>FINAL!R12</f>
        <v/>
      </c>
      <c r="P12" s="129">
        <f>IF(K12="NE","NE",MAX(O12,FINAL!Q12))</f>
        <v>6</v>
      </c>
      <c r="Q12" s="130">
        <f>FINAL!Q12</f>
        <v>6</v>
      </c>
      <c r="R12" s="131">
        <f>IF(FINAL!S12="NE","NE",'EVALUACIÓN'!AD12)</f>
        <v>6</v>
      </c>
      <c r="S12" s="128">
        <f>IF(FINAL!S12="NE","NE",'EVALUACIÓN'!AL12)</f>
        <v>6.5</v>
      </c>
      <c r="T12" s="132">
        <f>IF(FINAL!S12="NE","NE",'EVALUACIÓN'!AN12)</f>
        <v>10</v>
      </c>
      <c r="U12" s="128">
        <f t="shared" si="3"/>
        <v>6.7</v>
      </c>
      <c r="V12" s="127" t="str">
        <f>FINAL!T12</f>
        <v/>
      </c>
      <c r="W12" s="129">
        <f>IF(R12="NE","NE",MAX(V12,FINAL!S12))</f>
        <v>7</v>
      </c>
      <c r="X12" s="130">
        <f>FINAL!S12</f>
        <v>7</v>
      </c>
      <c r="Y12" s="133">
        <f>FINAL!U12</f>
        <v>6</v>
      </c>
      <c r="Z12" s="127" t="str">
        <f>FINAL!V12</f>
        <v/>
      </c>
      <c r="AA12" s="127" t="str">
        <f>IF(A12="REP",FINAL!U12,)</f>
        <v/>
      </c>
      <c r="AB12" s="127" t="str">
        <f>IF(A12="REP",FINAL!V12,)</f>
        <v/>
      </c>
      <c r="AC12" s="127">
        <f t="shared" si="4"/>
        <v>6</v>
      </c>
    </row>
    <row r="13" ht="15.75" customHeight="1">
      <c r="A13" s="135" t="s">
        <v>55</v>
      </c>
      <c r="B13" s="134">
        <v>4.0</v>
      </c>
      <c r="C13" s="126" t="str">
        <f>IFERROR(__xludf.DUMMYFUNCTION("""COMPUTED_VALUE"""),"Bautista Gahona, Santiago María")</f>
        <v>Bautista Gahona, Santiago María</v>
      </c>
      <c r="D13" s="127">
        <f>IF(FINAL!O13="NE","NE",'EVALUACIÓN'!D13)</f>
        <v>6.1</v>
      </c>
      <c r="E13" s="128">
        <f>IF(FINAL!O13="NE","NE",'EVALUACIÓN'!N13)</f>
        <v>7.816666667</v>
      </c>
      <c r="F13" s="128">
        <f>IF(FINAL!O13="NE","NE",'EVALUACIÓN'!P13)</f>
        <v>5</v>
      </c>
      <c r="G13" s="128">
        <f t="shared" si="1"/>
        <v>7.02</v>
      </c>
      <c r="H13" s="127" t="str">
        <f>FINAL!P13</f>
        <v/>
      </c>
      <c r="I13" s="129">
        <f>IF(D13="NE","NE",MAX(H13,FINAL!O13))</f>
        <v>7</v>
      </c>
      <c r="J13" s="130">
        <f>FINAL!O13</f>
        <v>7</v>
      </c>
      <c r="K13" s="131">
        <f>IF(FINAL!Q13="NE","NE",'EVALUACIÓN'!R13)</f>
        <v>0</v>
      </c>
      <c r="L13" s="128">
        <f>IF(FINAL!Q13="NE","NE",'EVALUACIÓN'!Z13)</f>
        <v>5.025</v>
      </c>
      <c r="M13" s="132">
        <f>IF(FINAL!Q13="NE","NE",'EVALUACIÓN'!AB13)</f>
        <v>0</v>
      </c>
      <c r="N13" s="128">
        <f t="shared" si="2"/>
        <v>3.015</v>
      </c>
      <c r="O13" s="127">
        <f>FINAL!R13</f>
        <v>1</v>
      </c>
      <c r="P13" s="129">
        <f>IF(K13="NE","NE",MAX(O13,FINAL!Q13))</f>
        <v>1</v>
      </c>
      <c r="Q13" s="130">
        <f>FINAL!Q13</f>
        <v>1</v>
      </c>
      <c r="R13" s="131">
        <f>IF(FINAL!S13="NE","NE",'EVALUACIÓN'!AD13)</f>
        <v>0</v>
      </c>
      <c r="S13" s="128">
        <f>IF(FINAL!S13="NE","NE",'EVALUACIÓN'!AL13)</f>
        <v>0</v>
      </c>
      <c r="T13" s="132">
        <f>IF(FINAL!S13="NE","NE",'EVALUACIÓN'!AN13)</f>
        <v>0</v>
      </c>
      <c r="U13" s="128">
        <f t="shared" si="3"/>
        <v>0</v>
      </c>
      <c r="V13" s="127">
        <f>FINAL!T13</f>
        <v>1</v>
      </c>
      <c r="W13" s="129">
        <f>IF(R13="NE","NE",MAX(V13,FINAL!S13))</f>
        <v>1</v>
      </c>
      <c r="X13" s="130">
        <f>FINAL!S13</f>
        <v>1</v>
      </c>
      <c r="Y13" s="133">
        <f>FINAL!U13</f>
        <v>1</v>
      </c>
      <c r="Z13" s="127">
        <f>FINAL!V13</f>
        <v>1</v>
      </c>
      <c r="AA13" s="127" t="str">
        <f>IF(A13="REP",FINAL!U13,)</f>
        <v/>
      </c>
      <c r="AB13" s="127" t="str">
        <f>IF(A13="REP",FINAL!V13,)</f>
        <v/>
      </c>
      <c r="AC13" s="127">
        <f t="shared" si="4"/>
        <v>1</v>
      </c>
    </row>
    <row r="14" ht="15.75" customHeight="1">
      <c r="A14" s="135" t="s">
        <v>55</v>
      </c>
      <c r="B14" s="134">
        <v>5.0</v>
      </c>
      <c r="C14" s="126" t="str">
        <f>IFERROR(__xludf.DUMMYFUNCTION("""COMPUTED_VALUE"""),"Bautista Molina, Alejandro")</f>
        <v>Bautista Molina, Alejandro</v>
      </c>
      <c r="D14" s="127">
        <f>IF(FINAL!O14="NE","NE",'EVALUACIÓN'!D14)</f>
        <v>6.5</v>
      </c>
      <c r="E14" s="128">
        <f>IF(FINAL!O14="NE","NE",'EVALUACIÓN'!N14)</f>
        <v>8.333333333</v>
      </c>
      <c r="F14" s="128">
        <f>IF(FINAL!O14="NE","NE",'EVALUACIÓN'!P14)</f>
        <v>10</v>
      </c>
      <c r="G14" s="128">
        <f t="shared" si="1"/>
        <v>7.95</v>
      </c>
      <c r="H14" s="127" t="str">
        <f>FINAL!P14</f>
        <v/>
      </c>
      <c r="I14" s="129">
        <f>IF(D14="NE","NE",MAX(H14,FINAL!O14))</f>
        <v>8</v>
      </c>
      <c r="J14" s="130">
        <f>FINAL!O14</f>
        <v>8</v>
      </c>
      <c r="K14" s="131">
        <f>IF(FINAL!Q14="NE","NE",'EVALUACIÓN'!R14)</f>
        <v>7.5</v>
      </c>
      <c r="L14" s="128">
        <f>IF(FINAL!Q14="NE","NE",'EVALUACIÓN'!Z14)</f>
        <v>5.9</v>
      </c>
      <c r="M14" s="132">
        <f>IF(FINAL!Q14="NE","NE",'EVALUACIÓN'!AB14)</f>
        <v>5</v>
      </c>
      <c r="N14" s="128">
        <f t="shared" si="2"/>
        <v>6.29</v>
      </c>
      <c r="O14" s="127" t="str">
        <f>FINAL!R14</f>
        <v/>
      </c>
      <c r="P14" s="129">
        <f>IF(K14="NE","NE",MAX(O14,FINAL!Q14))</f>
        <v>6</v>
      </c>
      <c r="Q14" s="130">
        <f>FINAL!Q14</f>
        <v>6</v>
      </c>
      <c r="R14" s="131">
        <f>IF(FINAL!S14="NE","NE",'EVALUACIÓN'!AD14)</f>
        <v>7</v>
      </c>
      <c r="S14" s="128">
        <f>IF(FINAL!S14="NE","NE",'EVALUACIÓN'!AL14)</f>
        <v>7.875</v>
      </c>
      <c r="T14" s="132">
        <f>IF(FINAL!S14="NE","NE",'EVALUACIÓN'!AN14)</f>
        <v>10</v>
      </c>
      <c r="U14" s="128">
        <f t="shared" si="3"/>
        <v>7.825</v>
      </c>
      <c r="V14" s="127" t="str">
        <f>FINAL!T14</f>
        <v/>
      </c>
      <c r="W14" s="129">
        <f>IF(R14="NE","NE",MAX(V14,FINAL!S14))</f>
        <v>8</v>
      </c>
      <c r="X14" s="130">
        <f>FINAL!S14</f>
        <v>8</v>
      </c>
      <c r="Y14" s="133">
        <f>FINAL!U14</f>
        <v>7</v>
      </c>
      <c r="Z14" s="127" t="str">
        <f>FINAL!V14</f>
        <v/>
      </c>
      <c r="AA14" s="127" t="str">
        <f>IF(A14="REP",FINAL!U14,)</f>
        <v/>
      </c>
      <c r="AB14" s="127" t="str">
        <f>IF(A14="REP",FINAL!V14,)</f>
        <v/>
      </c>
      <c r="AC14" s="127">
        <f t="shared" si="4"/>
        <v>7</v>
      </c>
    </row>
    <row r="15" ht="15.75" customHeight="1">
      <c r="A15" s="135" t="s">
        <v>55</v>
      </c>
      <c r="B15" s="134">
        <v>6.0</v>
      </c>
      <c r="C15" s="126" t="str">
        <f>IFERROR(__xludf.DUMMYFUNCTION("""COMPUTED_VALUE"""),"Bustamante Navarro, Carlos de")</f>
        <v>Bustamante Navarro, Carlos de</v>
      </c>
      <c r="D15" s="127">
        <f>IF(FINAL!O15="NE","NE",'EVALUACIÓN'!D15)</f>
        <v>6.6</v>
      </c>
      <c r="E15" s="128">
        <f>IF(FINAL!O15="NE","NE",'EVALUACIÓN'!N15)</f>
        <v>6.7</v>
      </c>
      <c r="F15" s="128">
        <f>IF(FINAL!O15="NE","NE",'EVALUACIÓN'!P15)</f>
        <v>5</v>
      </c>
      <c r="G15" s="128">
        <f t="shared" si="1"/>
        <v>6.5</v>
      </c>
      <c r="H15" s="127" t="str">
        <f>FINAL!P15</f>
        <v/>
      </c>
      <c r="I15" s="129">
        <f>IF(D15="NE","NE",MAX(H15,FINAL!O15))</f>
        <v>7</v>
      </c>
      <c r="J15" s="130">
        <f>FINAL!O15</f>
        <v>7</v>
      </c>
      <c r="K15" s="131">
        <f>IF(FINAL!Q15="NE","NE",'EVALUACIÓN'!R15)</f>
        <v>8.5</v>
      </c>
      <c r="L15" s="128">
        <f>IF(FINAL!Q15="NE","NE",'EVALUACIÓN'!Z15)</f>
        <v>5.85</v>
      </c>
      <c r="M15" s="132">
        <f>IF(FINAL!Q15="NE","NE",'EVALUACIÓN'!AB15)</f>
        <v>5</v>
      </c>
      <c r="N15" s="128">
        <f t="shared" si="2"/>
        <v>6.56</v>
      </c>
      <c r="O15" s="127" t="str">
        <f>FINAL!R15</f>
        <v/>
      </c>
      <c r="P15" s="129">
        <f>IF(K15="NE","NE",MAX(O15,FINAL!Q15))</f>
        <v>7</v>
      </c>
      <c r="Q15" s="130">
        <f>FINAL!Q15</f>
        <v>7</v>
      </c>
      <c r="R15" s="131">
        <f>IF(FINAL!S15="NE","NE",'EVALUACIÓN'!AD15)</f>
        <v>5.5</v>
      </c>
      <c r="S15" s="128">
        <f>IF(FINAL!S15="NE","NE",'EVALUACIÓN'!AL15)</f>
        <v>8.375</v>
      </c>
      <c r="T15" s="132">
        <f>IF(FINAL!S15="NE","NE",'EVALUACIÓN'!AN15)</f>
        <v>10</v>
      </c>
      <c r="U15" s="128">
        <f t="shared" si="3"/>
        <v>7.675</v>
      </c>
      <c r="V15" s="127" t="str">
        <f>FINAL!T15</f>
        <v/>
      </c>
      <c r="W15" s="129">
        <f>IF(R15="NE","NE",MAX(V15,FINAL!S15))</f>
        <v>8</v>
      </c>
      <c r="X15" s="130">
        <f>FINAL!S15</f>
        <v>8</v>
      </c>
      <c r="Y15" s="133">
        <f>FINAL!U15</f>
        <v>7</v>
      </c>
      <c r="Z15" s="127" t="str">
        <f>FINAL!V15</f>
        <v/>
      </c>
      <c r="AA15" s="127" t="str">
        <f>IF(A15="REP",FINAL!U15,)</f>
        <v/>
      </c>
      <c r="AB15" s="127" t="str">
        <f>IF(A15="REP",FINAL!V15,)</f>
        <v/>
      </c>
      <c r="AC15" s="127">
        <f t="shared" si="4"/>
        <v>7</v>
      </c>
    </row>
    <row r="16" ht="15.75" customHeight="1">
      <c r="A16" s="135" t="s">
        <v>55</v>
      </c>
      <c r="B16" s="134">
        <v>7.0</v>
      </c>
      <c r="C16" s="126" t="str">
        <f>IFERROR(__xludf.DUMMYFUNCTION("""COMPUTED_VALUE"""),"Caldera Pinto, Miguel Ángel")</f>
        <v>Caldera Pinto, Miguel Ángel</v>
      </c>
      <c r="D16" s="127">
        <f>IF(FINAL!O16="NE","NE",'EVALUACIÓN'!D16)</f>
        <v>7.4</v>
      </c>
      <c r="E16" s="128">
        <f>IF(FINAL!O16="NE","NE",'EVALUACIÓN'!N16)</f>
        <v>8.4</v>
      </c>
      <c r="F16" s="128">
        <f>IF(FINAL!O16="NE","NE",'EVALUACIÓN'!P16)</f>
        <v>10</v>
      </c>
      <c r="G16" s="128">
        <f t="shared" si="1"/>
        <v>8.26</v>
      </c>
      <c r="H16" s="127" t="str">
        <f>FINAL!P16</f>
        <v/>
      </c>
      <c r="I16" s="129">
        <f>IF(D16="NE","NE",MAX(H16,FINAL!O16))</f>
        <v>8</v>
      </c>
      <c r="J16" s="130">
        <f>FINAL!O16</f>
        <v>8</v>
      </c>
      <c r="K16" s="131">
        <f>IF(FINAL!Q16="NE","NE",'EVALUACIÓN'!R16)</f>
        <v>10</v>
      </c>
      <c r="L16" s="128">
        <f>IF(FINAL!Q16="NE","NE",'EVALUACIÓN'!Z16)</f>
        <v>7.775</v>
      </c>
      <c r="M16" s="132">
        <f>IF(FINAL!Q16="NE","NE",'EVALUACIÓN'!AB16)</f>
        <v>10</v>
      </c>
      <c r="N16" s="128">
        <f t="shared" si="2"/>
        <v>8.665</v>
      </c>
      <c r="O16" s="127" t="str">
        <f>FINAL!R16</f>
        <v/>
      </c>
      <c r="P16" s="129">
        <f>IF(K16="NE","NE",MAX(O16,FINAL!Q16))</f>
        <v>9</v>
      </c>
      <c r="Q16" s="130">
        <f>FINAL!Q16</f>
        <v>9</v>
      </c>
      <c r="R16" s="131">
        <f>IF(FINAL!S16="NE","NE",'EVALUACIÓN'!AD16)</f>
        <v>9</v>
      </c>
      <c r="S16" s="128">
        <f>IF(FINAL!S16="NE","NE",'EVALUACIÓN'!AL16)</f>
        <v>9.25</v>
      </c>
      <c r="T16" s="132">
        <f>IF(FINAL!S16="NE","NE",'EVALUACIÓN'!AN16)</f>
        <v>10</v>
      </c>
      <c r="U16" s="128">
        <f t="shared" si="3"/>
        <v>9.25</v>
      </c>
      <c r="V16" s="127" t="str">
        <f>FINAL!T16</f>
        <v/>
      </c>
      <c r="W16" s="129">
        <f>IF(R16="NE","NE",MAX(V16,FINAL!S16))</f>
        <v>9</v>
      </c>
      <c r="X16" s="130">
        <f>FINAL!S16</f>
        <v>9</v>
      </c>
      <c r="Y16" s="133">
        <f>FINAL!U16</f>
        <v>9</v>
      </c>
      <c r="Z16" s="127" t="str">
        <f>FINAL!V16</f>
        <v/>
      </c>
      <c r="AA16" s="127" t="str">
        <f>IF(A16="REP",FINAL!U16,)</f>
        <v/>
      </c>
      <c r="AB16" s="127" t="str">
        <f>IF(A16="REP",FINAL!V16,)</f>
        <v/>
      </c>
      <c r="AC16" s="127">
        <f t="shared" si="4"/>
        <v>9</v>
      </c>
    </row>
    <row r="17" ht="15.75" customHeight="1">
      <c r="A17" s="124" t="s">
        <v>55</v>
      </c>
      <c r="B17" s="134">
        <v>8.0</v>
      </c>
      <c r="C17" s="126" t="str">
        <f>IFERROR(__xludf.DUMMYFUNCTION("""COMPUTED_VALUE"""),"Camúñez Hidalgo, José Antonio")</f>
        <v>Camúñez Hidalgo, José Antonio</v>
      </c>
      <c r="D17" s="127">
        <f>IF(FINAL!O17="NE","NE",'EVALUACIÓN'!D17)</f>
        <v>7.5</v>
      </c>
      <c r="E17" s="128">
        <f>IF(FINAL!O17="NE","NE",'EVALUACIÓN'!N17)</f>
        <v>7.15</v>
      </c>
      <c r="F17" s="128">
        <f>IF(FINAL!O17="NE","NE",'EVALUACIÓN'!P17)</f>
        <v>5</v>
      </c>
      <c r="G17" s="128">
        <f t="shared" si="1"/>
        <v>7.04</v>
      </c>
      <c r="H17" s="127" t="str">
        <f>FINAL!P17</f>
        <v/>
      </c>
      <c r="I17" s="129">
        <f>IF(D17="NE","NE",MAX(H17,FINAL!O17))</f>
        <v>7</v>
      </c>
      <c r="J17" s="130">
        <f>FINAL!O17</f>
        <v>7</v>
      </c>
      <c r="K17" s="131">
        <f>IF(FINAL!Q17="NE","NE",'EVALUACIÓN'!R17)</f>
        <v>10</v>
      </c>
      <c r="L17" s="128">
        <f>IF(FINAL!Q17="NE","NE",'EVALUACIÓN'!Z17)</f>
        <v>6.525</v>
      </c>
      <c r="M17" s="132">
        <f>IF(FINAL!Q17="NE","NE",'EVALUACIÓN'!AB17)</f>
        <v>5</v>
      </c>
      <c r="N17" s="128">
        <f t="shared" si="2"/>
        <v>7.415</v>
      </c>
      <c r="O17" s="127" t="str">
        <f>FINAL!R17</f>
        <v/>
      </c>
      <c r="P17" s="129">
        <f>IF(K17="NE","NE",MAX(O17,FINAL!Q17))</f>
        <v>7</v>
      </c>
      <c r="Q17" s="130">
        <f>FINAL!Q17</f>
        <v>7</v>
      </c>
      <c r="R17" s="131">
        <f>IF(FINAL!S17="NE","NE",'EVALUACIÓN'!AD17)</f>
        <v>5</v>
      </c>
      <c r="S17" s="128">
        <f>IF(FINAL!S17="NE","NE",'EVALUACIÓN'!AL17)</f>
        <v>8.575</v>
      </c>
      <c r="T17" s="132">
        <f>IF(FINAL!S17="NE","NE",'EVALUACIÓN'!AN17)</f>
        <v>10</v>
      </c>
      <c r="U17" s="128">
        <f t="shared" si="3"/>
        <v>7.645</v>
      </c>
      <c r="V17" s="127" t="str">
        <f>FINAL!T17</f>
        <v/>
      </c>
      <c r="W17" s="129">
        <f>IF(R17="NE","NE",MAX(V17,FINAL!S17))</f>
        <v>8</v>
      </c>
      <c r="X17" s="130">
        <f>FINAL!S17</f>
        <v>8</v>
      </c>
      <c r="Y17" s="133">
        <f>FINAL!U17</f>
        <v>7</v>
      </c>
      <c r="Z17" s="127" t="str">
        <f>FINAL!V17</f>
        <v/>
      </c>
      <c r="AA17" s="127" t="str">
        <f>IF(A17="REP",FINAL!U17,)</f>
        <v/>
      </c>
      <c r="AB17" s="127" t="str">
        <f>IF(A17="REP",FINAL!V17,)</f>
        <v/>
      </c>
      <c r="AC17" s="127">
        <f t="shared" si="4"/>
        <v>7</v>
      </c>
    </row>
    <row r="18" ht="15.75" customHeight="1">
      <c r="A18" s="135" t="s">
        <v>55</v>
      </c>
      <c r="B18" s="134">
        <v>9.0</v>
      </c>
      <c r="C18" s="126" t="str">
        <f>IFERROR(__xludf.DUMMYFUNCTION("""COMPUTED_VALUE"""),"Cano Ortega, Javier")</f>
        <v>Cano Ortega, Javier</v>
      </c>
      <c r="D18" s="127">
        <f>IF(FINAL!O18="NE","NE",'EVALUACIÓN'!D18)</f>
        <v>5.3</v>
      </c>
      <c r="E18" s="128">
        <f>IF(FINAL!O18="NE","NE",'EVALUACIÓN'!N18)</f>
        <v>7.233333333</v>
      </c>
      <c r="F18" s="128">
        <f>IF(FINAL!O18="NE","NE",'EVALUACIÓN'!P18)</f>
        <v>10</v>
      </c>
      <c r="G18" s="128">
        <f t="shared" si="1"/>
        <v>6.93</v>
      </c>
      <c r="H18" s="127" t="str">
        <f>FINAL!P18</f>
        <v/>
      </c>
      <c r="I18" s="129">
        <f>IF(D18="NE","NE",MAX(H18,FINAL!O18))</f>
        <v>7</v>
      </c>
      <c r="J18" s="130">
        <f>FINAL!O18</f>
        <v>7</v>
      </c>
      <c r="K18" s="131">
        <f>IF(FINAL!Q18="NE","NE",'EVALUACIÓN'!R18)</f>
        <v>9</v>
      </c>
      <c r="L18" s="128">
        <f>IF(FINAL!Q18="NE","NE",'EVALUACIÓN'!Z18)</f>
        <v>7.25</v>
      </c>
      <c r="M18" s="132">
        <f>IF(FINAL!Q18="NE","NE",'EVALUACIÓN'!AB18)</f>
        <v>5</v>
      </c>
      <c r="N18" s="128">
        <f t="shared" si="2"/>
        <v>7.55</v>
      </c>
      <c r="O18" s="127" t="str">
        <f>FINAL!R18</f>
        <v/>
      </c>
      <c r="P18" s="129">
        <f>IF(K18="NE","NE",MAX(O18,FINAL!Q18))</f>
        <v>8</v>
      </c>
      <c r="Q18" s="130">
        <f>FINAL!Q18</f>
        <v>8</v>
      </c>
      <c r="R18" s="131">
        <f>IF(FINAL!S18="NE","NE",'EVALUACIÓN'!AD18)</f>
        <v>5</v>
      </c>
      <c r="S18" s="128">
        <f>IF(FINAL!S18="NE","NE",'EVALUACIÓN'!AL18)</f>
        <v>8.375</v>
      </c>
      <c r="T18" s="132">
        <f>IF(FINAL!S18="NE","NE",'EVALUACIÓN'!AN18)</f>
        <v>10</v>
      </c>
      <c r="U18" s="128">
        <f t="shared" si="3"/>
        <v>7.525</v>
      </c>
      <c r="V18" s="127" t="str">
        <f>FINAL!T18</f>
        <v/>
      </c>
      <c r="W18" s="129">
        <f>IF(R18="NE","NE",MAX(V18,FINAL!S18))</f>
        <v>8</v>
      </c>
      <c r="X18" s="130">
        <f>FINAL!S18</f>
        <v>8</v>
      </c>
      <c r="Y18" s="133">
        <f>FINAL!U18</f>
        <v>7</v>
      </c>
      <c r="Z18" s="127" t="str">
        <f>FINAL!V18</f>
        <v/>
      </c>
      <c r="AA18" s="127" t="str">
        <f>IF(A18="REP",FINAL!U18,)</f>
        <v/>
      </c>
      <c r="AB18" s="127" t="str">
        <f>IF(A18="REP",FINAL!V18,)</f>
        <v/>
      </c>
      <c r="AC18" s="127">
        <f t="shared" si="4"/>
        <v>7</v>
      </c>
    </row>
    <row r="19" ht="15.75" customHeight="1">
      <c r="A19" s="135" t="s">
        <v>55</v>
      </c>
      <c r="B19" s="134">
        <v>10.0</v>
      </c>
      <c r="C19" s="126" t="str">
        <f>IFERROR(__xludf.DUMMYFUNCTION("""COMPUTED_VALUE"""),"Córdova Milani, Bruno")</f>
        <v>Córdova Milani, Bruno</v>
      </c>
      <c r="D19" s="127">
        <f>IF(FINAL!O19="NE","NE",'EVALUACIÓN'!D19)</f>
        <v>7.4</v>
      </c>
      <c r="E19" s="128">
        <f>IF(FINAL!O19="NE","NE",'EVALUACIÓN'!N19)</f>
        <v>7.15</v>
      </c>
      <c r="F19" s="128">
        <f>IF(FINAL!O19="NE","NE",'EVALUACIÓN'!P19)</f>
        <v>5</v>
      </c>
      <c r="G19" s="128">
        <f t="shared" si="1"/>
        <v>7.01</v>
      </c>
      <c r="H19" s="127" t="str">
        <f>FINAL!P19</f>
        <v/>
      </c>
      <c r="I19" s="129">
        <f>IF(D19="NE","NE",MAX(H19,FINAL!O19))</f>
        <v>7</v>
      </c>
      <c r="J19" s="130">
        <f>FINAL!O19</f>
        <v>7</v>
      </c>
      <c r="K19" s="131">
        <f>IF(FINAL!Q19="NE","NE",'EVALUACIÓN'!R19)</f>
        <v>9.5</v>
      </c>
      <c r="L19" s="128">
        <f>IF(FINAL!Q19="NE","NE",'EVALUACIÓN'!Z19)</f>
        <v>4.325</v>
      </c>
      <c r="M19" s="132">
        <f>IF(FINAL!Q19="NE","NE",'EVALUACIÓN'!AB19)</f>
        <v>5</v>
      </c>
      <c r="N19" s="128">
        <f t="shared" si="2"/>
        <v>5.945</v>
      </c>
      <c r="O19" s="127" t="str">
        <f>FINAL!R19</f>
        <v/>
      </c>
      <c r="P19" s="129">
        <f>IF(K19="NE","NE",MAX(O19,FINAL!Q19))</f>
        <v>6</v>
      </c>
      <c r="Q19" s="130">
        <f>FINAL!Q19</f>
        <v>6</v>
      </c>
      <c r="R19" s="131">
        <f>IF(FINAL!S19="NE","NE",'EVALUACIÓN'!AD19)</f>
        <v>6</v>
      </c>
      <c r="S19" s="128">
        <f>IF(FINAL!S19="NE","NE",'EVALUACIÓN'!AL19)</f>
        <v>6.25</v>
      </c>
      <c r="T19" s="132">
        <f>IF(FINAL!S19="NE","NE",'EVALUACIÓN'!AN19)</f>
        <v>5</v>
      </c>
      <c r="U19" s="128">
        <f t="shared" si="3"/>
        <v>6.05</v>
      </c>
      <c r="V19" s="127" t="str">
        <f>FINAL!T19</f>
        <v/>
      </c>
      <c r="W19" s="129">
        <f>IF(R19="NE","NE",MAX(V19,FINAL!S19))</f>
        <v>6</v>
      </c>
      <c r="X19" s="130">
        <f>FINAL!S19</f>
        <v>6</v>
      </c>
      <c r="Y19" s="133">
        <f>FINAL!U19</f>
        <v>6</v>
      </c>
      <c r="Z19" s="127" t="str">
        <f>FINAL!V19</f>
        <v/>
      </c>
      <c r="AA19" s="127" t="str">
        <f>IF(A19="REP",FINAL!U19,)</f>
        <v/>
      </c>
      <c r="AB19" s="127" t="str">
        <f>IF(A19="REP",FINAL!V19,)</f>
        <v/>
      </c>
      <c r="AC19" s="127">
        <f t="shared" si="4"/>
        <v>6</v>
      </c>
    </row>
    <row r="20" ht="15.75" customHeight="1">
      <c r="A20" s="135" t="s">
        <v>55</v>
      </c>
      <c r="B20" s="134">
        <v>11.0</v>
      </c>
      <c r="C20" s="126" t="str">
        <f>IFERROR(__xludf.DUMMYFUNCTION("""COMPUTED_VALUE"""),"Cuenca Trasmonte, Daniel")</f>
        <v>Cuenca Trasmonte, Daniel</v>
      </c>
      <c r="D20" s="127">
        <f>IF(FINAL!O20="NE","NE",'EVALUACIÓN'!D20)</f>
        <v>7.7</v>
      </c>
      <c r="E20" s="128">
        <f>IF(FINAL!O20="NE","NE",'EVALUACIÓN'!N20)</f>
        <v>8.366666667</v>
      </c>
      <c r="F20" s="128">
        <f>IF(FINAL!O20="NE","NE",'EVALUACIÓN'!P20)</f>
        <v>10</v>
      </c>
      <c r="G20" s="128">
        <f t="shared" si="1"/>
        <v>8.33</v>
      </c>
      <c r="H20" s="127" t="str">
        <f>FINAL!P20</f>
        <v/>
      </c>
      <c r="I20" s="129">
        <f>IF(D20="NE","NE",MAX(H20,FINAL!O20))</f>
        <v>8</v>
      </c>
      <c r="J20" s="130">
        <f>FINAL!O20</f>
        <v>8</v>
      </c>
      <c r="K20" s="131">
        <f>IF(FINAL!Q20="NE","NE",'EVALUACIÓN'!R20)</f>
        <v>10</v>
      </c>
      <c r="L20" s="128">
        <f>IF(FINAL!Q20="NE","NE",'EVALUACIÓN'!Z20)</f>
        <v>9.65</v>
      </c>
      <c r="M20" s="132">
        <f>IF(FINAL!Q20="NE","NE",'EVALUACIÓN'!AB20)</f>
        <v>10</v>
      </c>
      <c r="N20" s="128">
        <f t="shared" si="2"/>
        <v>9.79</v>
      </c>
      <c r="O20" s="127" t="str">
        <f>FINAL!R20</f>
        <v/>
      </c>
      <c r="P20" s="129">
        <f>IF(K20="NE","NE",MAX(O20,FINAL!Q20))</f>
        <v>10</v>
      </c>
      <c r="Q20" s="130">
        <f>FINAL!Q20</f>
        <v>10</v>
      </c>
      <c r="R20" s="131">
        <f>IF(FINAL!S20="NE","NE",'EVALUACIÓN'!AD20)</f>
        <v>8.5</v>
      </c>
      <c r="S20" s="128">
        <f>IF(FINAL!S20="NE","NE",'EVALUACIÓN'!AL20)</f>
        <v>8.75</v>
      </c>
      <c r="T20" s="132">
        <f>IF(FINAL!S20="NE","NE",'EVALUACIÓN'!AN20)</f>
        <v>10</v>
      </c>
      <c r="U20" s="128">
        <f t="shared" si="3"/>
        <v>8.8</v>
      </c>
      <c r="V20" s="127" t="str">
        <f>FINAL!T20</f>
        <v/>
      </c>
      <c r="W20" s="129">
        <f>IF(R20="NE","NE",MAX(V20,FINAL!S20))</f>
        <v>9</v>
      </c>
      <c r="X20" s="130">
        <f>FINAL!S20</f>
        <v>9</v>
      </c>
      <c r="Y20" s="133">
        <f>FINAL!U20</f>
        <v>9</v>
      </c>
      <c r="Z20" s="127" t="str">
        <f>FINAL!V20</f>
        <v/>
      </c>
      <c r="AA20" s="127" t="str">
        <f>IF(A20="REP",FINAL!U20,)</f>
        <v/>
      </c>
      <c r="AB20" s="127" t="str">
        <f>IF(A20="REP",FINAL!V20,)</f>
        <v/>
      </c>
      <c r="AC20" s="127">
        <f t="shared" si="4"/>
        <v>9</v>
      </c>
    </row>
    <row r="21" ht="15.75" customHeight="1">
      <c r="A21" s="124" t="s">
        <v>55</v>
      </c>
      <c r="B21" s="134">
        <v>12.0</v>
      </c>
      <c r="C21" s="126" t="str">
        <f>IFERROR(__xludf.DUMMYFUNCTION("""COMPUTED_VALUE"""),"Esteve Martínez, Jaime")</f>
        <v>Esteve Martínez, Jaime</v>
      </c>
      <c r="D21" s="127">
        <f>IF(FINAL!O21="NE","NE",'EVALUACIÓN'!D21)</f>
        <v>4.6</v>
      </c>
      <c r="E21" s="128">
        <f>IF(FINAL!O21="NE","NE",'EVALUACIÓN'!N21)</f>
        <v>7.283333333</v>
      </c>
      <c r="F21" s="128">
        <f>IF(FINAL!O21="NE","NE",'EVALUACIÓN'!P21)</f>
        <v>5</v>
      </c>
      <c r="G21" s="128">
        <f t="shared" si="1"/>
        <v>6.25</v>
      </c>
      <c r="H21" s="127" t="str">
        <f>FINAL!P21</f>
        <v/>
      </c>
      <c r="I21" s="129">
        <f>IF(D21="NE","NE",MAX(H21,FINAL!O21))</f>
        <v>6</v>
      </c>
      <c r="J21" s="130">
        <f>FINAL!O21</f>
        <v>6</v>
      </c>
      <c r="K21" s="131">
        <f>IF(FINAL!Q21="NE","NE",'EVALUACIÓN'!R21)</f>
        <v>8.5</v>
      </c>
      <c r="L21" s="128">
        <f>IF(FINAL!Q21="NE","NE",'EVALUACIÓN'!Z21)</f>
        <v>6.1</v>
      </c>
      <c r="M21" s="132">
        <f>IF(FINAL!Q21="NE","NE",'EVALUACIÓN'!AB21)</f>
        <v>5</v>
      </c>
      <c r="N21" s="128">
        <f t="shared" si="2"/>
        <v>6.71</v>
      </c>
      <c r="O21" s="127" t="str">
        <f>FINAL!R21</f>
        <v/>
      </c>
      <c r="P21" s="129">
        <f>IF(K21="NE","NE",MAX(O21,FINAL!Q21))</f>
        <v>7</v>
      </c>
      <c r="Q21" s="130">
        <f>FINAL!Q21</f>
        <v>7</v>
      </c>
      <c r="R21" s="131">
        <f>IF(FINAL!S21="NE","NE",'EVALUACIÓN'!AD21)</f>
        <v>6.5</v>
      </c>
      <c r="S21" s="128">
        <f>IF(FINAL!S21="NE","NE",'EVALUACIÓN'!AL21)</f>
        <v>7.15</v>
      </c>
      <c r="T21" s="132">
        <f>IF(FINAL!S21="NE","NE",'EVALUACIÓN'!AN21)</f>
        <v>10</v>
      </c>
      <c r="U21" s="128">
        <f t="shared" si="3"/>
        <v>7.24</v>
      </c>
      <c r="V21" s="127" t="str">
        <f>FINAL!T21</f>
        <v/>
      </c>
      <c r="W21" s="129">
        <f>IF(R21="NE","NE",MAX(V21,FINAL!S21))</f>
        <v>7</v>
      </c>
      <c r="X21" s="130">
        <f>FINAL!S21</f>
        <v>7</v>
      </c>
      <c r="Y21" s="133">
        <f>FINAL!U21</f>
        <v>7</v>
      </c>
      <c r="Z21" s="127" t="str">
        <f>FINAL!V21</f>
        <v/>
      </c>
      <c r="AA21" s="127" t="str">
        <f>IF(A21="REP",FINAL!U21,)</f>
        <v/>
      </c>
      <c r="AB21" s="127" t="str">
        <f>IF(A21="REP",FINAL!V21,)</f>
        <v/>
      </c>
      <c r="AC21" s="127">
        <f t="shared" si="4"/>
        <v>7</v>
      </c>
    </row>
    <row r="22" ht="15.75" customHeight="1">
      <c r="A22" s="124" t="s">
        <v>55</v>
      </c>
      <c r="B22" s="134">
        <v>13.0</v>
      </c>
      <c r="C22" s="126" t="str">
        <f>IFERROR(__xludf.DUMMYFUNCTION("""COMPUTED_VALUE"""),"Ferreira Casero, Gonzalo")</f>
        <v>Ferreira Casero, Gonzalo</v>
      </c>
      <c r="D22" s="127">
        <f>IF(FINAL!O22="NE","NE",'EVALUACIÓN'!D22)</f>
        <v>7</v>
      </c>
      <c r="E22" s="128">
        <f>IF(FINAL!O22="NE","NE",'EVALUACIÓN'!N22)</f>
        <v>8.6</v>
      </c>
      <c r="F22" s="128">
        <f>IF(FINAL!O22="NE","NE",'EVALUACIÓN'!P22)</f>
        <v>8</v>
      </c>
      <c r="G22" s="128">
        <f t="shared" si="1"/>
        <v>8.06</v>
      </c>
      <c r="H22" s="127" t="str">
        <f>FINAL!P22</f>
        <v/>
      </c>
      <c r="I22" s="129">
        <f>IF(D22="NE","NE",MAX(H22,FINAL!O22))</f>
        <v>8</v>
      </c>
      <c r="J22" s="130">
        <f>FINAL!O22</f>
        <v>8</v>
      </c>
      <c r="K22" s="131">
        <f>IF(FINAL!Q22="NE","NE",'EVALUACIÓN'!R22)</f>
        <v>8</v>
      </c>
      <c r="L22" s="128">
        <f>IF(FINAL!Q22="NE","NE",'EVALUACIÓN'!Z22)</f>
        <v>9.225</v>
      </c>
      <c r="M22" s="132">
        <f>IF(FINAL!Q22="NE","NE",'EVALUACIÓN'!AB22)</f>
        <v>10</v>
      </c>
      <c r="N22" s="128">
        <f t="shared" si="2"/>
        <v>8.935</v>
      </c>
      <c r="O22" s="127" t="str">
        <f>FINAL!R22</f>
        <v/>
      </c>
      <c r="P22" s="129">
        <f>IF(K22="NE","NE",MAX(O22,FINAL!Q22))</f>
        <v>9</v>
      </c>
      <c r="Q22" s="130">
        <f>FINAL!Q22</f>
        <v>9</v>
      </c>
      <c r="R22" s="131">
        <f>IF(FINAL!S22="NE","NE",'EVALUACIÓN'!AD22)</f>
        <v>9</v>
      </c>
      <c r="S22" s="128">
        <f>IF(FINAL!S22="NE","NE",'EVALUACIÓN'!AL22)</f>
        <v>7.75</v>
      </c>
      <c r="T22" s="132">
        <f>IF(FINAL!S22="NE","NE",'EVALUACIÓN'!AN22)</f>
        <v>10</v>
      </c>
      <c r="U22" s="128">
        <f t="shared" si="3"/>
        <v>8.35</v>
      </c>
      <c r="V22" s="127" t="str">
        <f>FINAL!T22</f>
        <v/>
      </c>
      <c r="W22" s="129">
        <f>IF(R22="NE","NE",MAX(V22,FINAL!S22))</f>
        <v>8</v>
      </c>
      <c r="X22" s="130">
        <f>FINAL!S22</f>
        <v>8</v>
      </c>
      <c r="Y22" s="133">
        <f>FINAL!U22</f>
        <v>9</v>
      </c>
      <c r="Z22" s="127" t="str">
        <f>FINAL!V22</f>
        <v/>
      </c>
      <c r="AA22" s="127" t="str">
        <f>IF(A22="REP",FINAL!U22,)</f>
        <v/>
      </c>
      <c r="AB22" s="127" t="str">
        <f>IF(A22="REP",FINAL!V22,)</f>
        <v/>
      </c>
      <c r="AC22" s="127">
        <f t="shared" si="4"/>
        <v>9</v>
      </c>
    </row>
    <row r="23" ht="15.75" customHeight="1">
      <c r="A23" s="124" t="s">
        <v>55</v>
      </c>
      <c r="B23" s="134">
        <v>14.0</v>
      </c>
      <c r="C23" s="126" t="str">
        <f>IFERROR(__xludf.DUMMYFUNCTION("""COMPUTED_VALUE"""),"Florencio Pliego, Francisco")</f>
        <v>Florencio Pliego, Francisco</v>
      </c>
      <c r="D23" s="127">
        <f>IF(FINAL!O23="NE","NE",'EVALUACIÓN'!D23)</f>
        <v>5.6</v>
      </c>
      <c r="E23" s="128">
        <f>IF(FINAL!O23="NE","NE",'EVALUACIÓN'!N23)</f>
        <v>7.533333333</v>
      </c>
      <c r="F23" s="128">
        <f>IF(FINAL!O23="NE","NE",'EVALUACIÓN'!P23)</f>
        <v>5</v>
      </c>
      <c r="G23" s="128">
        <f t="shared" si="1"/>
        <v>6.7</v>
      </c>
      <c r="H23" s="127" t="str">
        <f>FINAL!P23</f>
        <v/>
      </c>
      <c r="I23" s="129">
        <f>IF(D23="NE","NE",MAX(H23,FINAL!O23))</f>
        <v>7</v>
      </c>
      <c r="J23" s="130">
        <f>FINAL!O23</f>
        <v>7</v>
      </c>
      <c r="K23" s="131">
        <f>IF(FINAL!Q23="NE","NE",'EVALUACIÓN'!R23)</f>
        <v>9.5</v>
      </c>
      <c r="L23" s="128">
        <f>IF(FINAL!Q23="NE","NE",'EVALUACIÓN'!Z23)</f>
        <v>5.55</v>
      </c>
      <c r="M23" s="132">
        <f>IF(FINAL!Q23="NE","NE",'EVALUACIÓN'!AB23)</f>
        <v>0</v>
      </c>
      <c r="N23" s="128">
        <f t="shared" si="2"/>
        <v>6.18</v>
      </c>
      <c r="O23" s="127" t="str">
        <f>FINAL!R23</f>
        <v/>
      </c>
      <c r="P23" s="129">
        <f>IF(K23="NE","NE",MAX(O23,FINAL!Q23))</f>
        <v>6</v>
      </c>
      <c r="Q23" s="130">
        <f>FINAL!Q23</f>
        <v>6</v>
      </c>
      <c r="R23" s="131">
        <f>IF(FINAL!S23="NE","NE",'EVALUACIÓN'!AD23)</f>
        <v>6</v>
      </c>
      <c r="S23" s="128">
        <f>IF(FINAL!S23="NE","NE",'EVALUACIÓN'!AL23)</f>
        <v>6.75</v>
      </c>
      <c r="T23" s="132">
        <f>IF(FINAL!S23="NE","NE",'EVALUACIÓN'!AN23)</f>
        <v>10</v>
      </c>
      <c r="U23" s="128">
        <f t="shared" si="3"/>
        <v>6.85</v>
      </c>
      <c r="V23" s="127" t="str">
        <f>FINAL!T23</f>
        <v/>
      </c>
      <c r="W23" s="129">
        <f>IF(R23="NE","NE",MAX(V23,FINAL!S23))</f>
        <v>7</v>
      </c>
      <c r="X23" s="130">
        <f>FINAL!S23</f>
        <v>7</v>
      </c>
      <c r="Y23" s="133">
        <f>FINAL!U23</f>
        <v>7</v>
      </c>
      <c r="Z23" s="127" t="str">
        <f>FINAL!V23</f>
        <v/>
      </c>
      <c r="AA23" s="127" t="str">
        <f>IF(A23="REP",FINAL!U23,)</f>
        <v/>
      </c>
      <c r="AB23" s="127" t="str">
        <f>IF(A23="REP",FINAL!V23,)</f>
        <v/>
      </c>
      <c r="AC23" s="127">
        <f t="shared" si="4"/>
        <v>7</v>
      </c>
    </row>
    <row r="24" ht="15.75" customHeight="1">
      <c r="A24" s="124" t="s">
        <v>55</v>
      </c>
      <c r="B24" s="134">
        <v>15.0</v>
      </c>
      <c r="C24" s="126" t="str">
        <f>IFERROR(__xludf.DUMMYFUNCTION("""COMPUTED_VALUE"""),"Gómez García, Irene")</f>
        <v>Gómez García, Irene</v>
      </c>
      <c r="D24" s="127">
        <f>IF(FINAL!O24="NE","NE",'EVALUACIÓN'!D24)</f>
        <v>5.3</v>
      </c>
      <c r="E24" s="128">
        <f>IF(FINAL!O24="NE","NE",'EVALUACIÓN'!N24)</f>
        <v>7.65</v>
      </c>
      <c r="F24" s="128">
        <f>IF(FINAL!O24="NE","NE",'EVALUACIÓN'!P24)</f>
        <v>8</v>
      </c>
      <c r="G24" s="128">
        <f t="shared" si="1"/>
        <v>6.98</v>
      </c>
      <c r="H24" s="127" t="str">
        <f>FINAL!P24</f>
        <v/>
      </c>
      <c r="I24" s="129">
        <f>IF(D24="NE","NE",MAX(H24,FINAL!O24))</f>
        <v>7</v>
      </c>
      <c r="J24" s="130">
        <f>FINAL!O24</f>
        <v>7</v>
      </c>
      <c r="K24" s="131">
        <f>IF(FINAL!Q24="NE","NE",'EVALUACIÓN'!R24)</f>
        <v>6.5</v>
      </c>
      <c r="L24" s="128">
        <f>IF(FINAL!Q24="NE","NE",'EVALUACIÓN'!Z24)</f>
        <v>8.275</v>
      </c>
      <c r="M24" s="132">
        <f>IF(FINAL!Q24="NE","NE",'EVALUACIÓN'!AB24)</f>
        <v>10</v>
      </c>
      <c r="N24" s="128">
        <f t="shared" si="2"/>
        <v>7.915</v>
      </c>
      <c r="O24" s="127" t="str">
        <f>FINAL!R24</f>
        <v/>
      </c>
      <c r="P24" s="129">
        <f>IF(K24="NE","NE",MAX(O24,FINAL!Q24))</f>
        <v>8</v>
      </c>
      <c r="Q24" s="130">
        <f>FINAL!Q24</f>
        <v>8</v>
      </c>
      <c r="R24" s="131">
        <f>IF(FINAL!S24="NE","NE",'EVALUACIÓN'!AD24)</f>
        <v>7.5</v>
      </c>
      <c r="S24" s="128">
        <f>IF(FINAL!S24="NE","NE",'EVALUACIÓN'!AL24)</f>
        <v>9.25</v>
      </c>
      <c r="T24" s="132">
        <f>IF(FINAL!S24="NE","NE",'EVALUACIÓN'!AN24)</f>
        <v>10</v>
      </c>
      <c r="U24" s="128">
        <f t="shared" si="3"/>
        <v>8.8</v>
      </c>
      <c r="V24" s="127" t="str">
        <f>FINAL!T24</f>
        <v/>
      </c>
      <c r="W24" s="129">
        <f>IF(R24="NE","NE",MAX(V24,FINAL!S24))</f>
        <v>9</v>
      </c>
      <c r="X24" s="130">
        <f>FINAL!S24</f>
        <v>9</v>
      </c>
      <c r="Y24" s="133">
        <f>FINAL!U24</f>
        <v>8</v>
      </c>
      <c r="Z24" s="127" t="str">
        <f>FINAL!V24</f>
        <v/>
      </c>
      <c r="AA24" s="127" t="str">
        <f>IF(A24="REP",FINAL!U24,)</f>
        <v/>
      </c>
      <c r="AB24" s="127" t="str">
        <f>IF(A24="REP",FINAL!V24,)</f>
        <v/>
      </c>
      <c r="AC24" s="127">
        <f t="shared" si="4"/>
        <v>8</v>
      </c>
    </row>
    <row r="25" ht="15.75" customHeight="1">
      <c r="A25" s="124" t="s">
        <v>55</v>
      </c>
      <c r="B25" s="134">
        <v>16.0</v>
      </c>
      <c r="C25" s="126" t="str">
        <f>IFERROR(__xludf.DUMMYFUNCTION("""COMPUTED_VALUE"""),"González Perdomo, Jonathan Vladimir")</f>
        <v>González Perdomo, Jonathan Vladimir</v>
      </c>
      <c r="D25" s="127">
        <f>IF(FINAL!O25="NE","NE",'EVALUACIÓN'!D25)</f>
        <v>5.7</v>
      </c>
      <c r="E25" s="128">
        <f>IF(FINAL!O25="NE","NE",'EVALUACIÓN'!N25)</f>
        <v>7.583333333</v>
      </c>
      <c r="F25" s="128">
        <f>IF(FINAL!O25="NE","NE",'EVALUACIÓN'!P25)</f>
        <v>8</v>
      </c>
      <c r="G25" s="128">
        <f t="shared" si="1"/>
        <v>7.06</v>
      </c>
      <c r="H25" s="127" t="str">
        <f>FINAL!P25</f>
        <v/>
      </c>
      <c r="I25" s="129">
        <f>IF(D25="NE","NE",MAX(H25,FINAL!O25))</f>
        <v>7</v>
      </c>
      <c r="J25" s="130">
        <f>FINAL!O25</f>
        <v>7</v>
      </c>
      <c r="K25" s="131">
        <f>IF(FINAL!Q25="NE","NE",'EVALUACIÓN'!R25)</f>
        <v>8.5</v>
      </c>
      <c r="L25" s="128">
        <f>IF(FINAL!Q25="NE","NE",'EVALUACIÓN'!Z25)</f>
        <v>6.75</v>
      </c>
      <c r="M25" s="132">
        <f>IF(FINAL!Q25="NE","NE",'EVALUACIÓN'!AB25)</f>
        <v>10</v>
      </c>
      <c r="N25" s="128">
        <f t="shared" si="2"/>
        <v>7.6</v>
      </c>
      <c r="O25" s="127" t="str">
        <f>FINAL!R25</f>
        <v/>
      </c>
      <c r="P25" s="129">
        <f>IF(K25="NE","NE",MAX(O25,FINAL!Q25))</f>
        <v>8</v>
      </c>
      <c r="Q25" s="130">
        <f>FINAL!Q25</f>
        <v>8</v>
      </c>
      <c r="R25" s="131">
        <f>IF(FINAL!S25="NE","NE",'EVALUACIÓN'!AD25)</f>
        <v>7.5</v>
      </c>
      <c r="S25" s="128">
        <f>IF(FINAL!S25="NE","NE",'EVALUACIÓN'!AL25)</f>
        <v>7.5</v>
      </c>
      <c r="T25" s="132">
        <f>IF(FINAL!S25="NE","NE",'EVALUACIÓN'!AN25)</f>
        <v>10</v>
      </c>
      <c r="U25" s="128">
        <f t="shared" si="3"/>
        <v>7.75</v>
      </c>
      <c r="V25" s="127" t="str">
        <f>FINAL!T25</f>
        <v/>
      </c>
      <c r="W25" s="129">
        <f>IF(R25="NE","NE",MAX(V25,FINAL!S25))</f>
        <v>8</v>
      </c>
      <c r="X25" s="130">
        <f>FINAL!S25</f>
        <v>8</v>
      </c>
      <c r="Y25" s="133">
        <f>FINAL!U25</f>
        <v>8</v>
      </c>
      <c r="Z25" s="127" t="str">
        <f>FINAL!V25</f>
        <v/>
      </c>
      <c r="AA25" s="127" t="str">
        <f>IF(A25="REP",FINAL!U25,)</f>
        <v/>
      </c>
      <c r="AB25" s="127" t="str">
        <f>IF(A25="REP",FINAL!V25,)</f>
        <v/>
      </c>
      <c r="AC25" s="127">
        <f t="shared" si="4"/>
        <v>8</v>
      </c>
    </row>
    <row r="26" ht="15.75" customHeight="1">
      <c r="A26" s="124" t="s">
        <v>55</v>
      </c>
      <c r="B26" s="134">
        <v>17.0</v>
      </c>
      <c r="C26" s="126" t="str">
        <f>IFERROR(__xludf.DUMMYFUNCTION("""COMPUTED_VALUE"""),"Jiménez Hernández, Jesús")</f>
        <v>Jiménez Hernández, Jesús</v>
      </c>
      <c r="D26" s="127">
        <f>IF(FINAL!O26="NE","NE",'EVALUACIÓN'!D26)</f>
        <v>6.9</v>
      </c>
      <c r="E26" s="128">
        <f>IF(FINAL!O26="NE","NE",'EVALUACIÓN'!N26)</f>
        <v>7.5</v>
      </c>
      <c r="F26" s="128">
        <f>IF(FINAL!O26="NE","NE",'EVALUACIÓN'!P26)</f>
        <v>5</v>
      </c>
      <c r="G26" s="128">
        <f t="shared" si="1"/>
        <v>7.07</v>
      </c>
      <c r="H26" s="127" t="str">
        <f>FINAL!P26</f>
        <v/>
      </c>
      <c r="I26" s="129">
        <f>IF(D26="NE","NE",MAX(H26,FINAL!O26))</f>
        <v>7</v>
      </c>
      <c r="J26" s="130">
        <f>FINAL!O26</f>
        <v>7</v>
      </c>
      <c r="K26" s="131">
        <f>IF(FINAL!Q26="NE","NE",'EVALUACIÓN'!R26)</f>
        <v>10</v>
      </c>
      <c r="L26" s="128">
        <f>IF(FINAL!Q26="NE","NE",'EVALUACIÓN'!Z26)</f>
        <v>6.775</v>
      </c>
      <c r="M26" s="132">
        <f>IF(FINAL!Q26="NE","NE",'EVALUACIÓN'!AB26)</f>
        <v>10</v>
      </c>
      <c r="N26" s="128">
        <f t="shared" si="2"/>
        <v>8.065</v>
      </c>
      <c r="O26" s="127" t="str">
        <f>FINAL!R26</f>
        <v/>
      </c>
      <c r="P26" s="129">
        <f>IF(K26="NE","NE",MAX(O26,FINAL!Q26))</f>
        <v>8</v>
      </c>
      <c r="Q26" s="130">
        <f>FINAL!Q26</f>
        <v>8</v>
      </c>
      <c r="R26" s="131">
        <f>IF(FINAL!S26="NE","NE",'EVALUACIÓN'!AD26)</f>
        <v>8</v>
      </c>
      <c r="S26" s="128">
        <f>IF(FINAL!S26="NE","NE",'EVALUACIÓN'!AL26)</f>
        <v>5.6</v>
      </c>
      <c r="T26" s="132">
        <f>IF(FINAL!S26="NE","NE",'EVALUACIÓN'!AN26)</f>
        <v>5</v>
      </c>
      <c r="U26" s="128">
        <f t="shared" si="3"/>
        <v>6.26</v>
      </c>
      <c r="V26" s="127" t="str">
        <f>FINAL!T26</f>
        <v/>
      </c>
      <c r="W26" s="129">
        <f>IF(R26="NE","NE",MAX(V26,FINAL!S26))</f>
        <v>6</v>
      </c>
      <c r="X26" s="130">
        <f>FINAL!S26</f>
        <v>6</v>
      </c>
      <c r="Y26" s="133">
        <f>FINAL!U26</f>
        <v>7</v>
      </c>
      <c r="Z26" s="127" t="str">
        <f>FINAL!V26</f>
        <v/>
      </c>
      <c r="AA26" s="127" t="str">
        <f>IF(A26="REP",FINAL!U26,)</f>
        <v/>
      </c>
      <c r="AB26" s="127" t="str">
        <f>IF(A26="REP",FINAL!V26,)</f>
        <v/>
      </c>
      <c r="AC26" s="127">
        <f t="shared" si="4"/>
        <v>7</v>
      </c>
    </row>
    <row r="27" ht="15.75" customHeight="1">
      <c r="A27" s="124" t="s">
        <v>55</v>
      </c>
      <c r="B27" s="134">
        <v>18.0</v>
      </c>
      <c r="C27" s="126" t="str">
        <f>IFERROR(__xludf.DUMMYFUNCTION("""COMPUTED_VALUE"""),"Martel León, Antonio")</f>
        <v>Martel León, Antonio</v>
      </c>
      <c r="D27" s="127">
        <f>IF(FINAL!O27="NE","NE",'EVALUACIÓN'!D27)</f>
        <v>5.3</v>
      </c>
      <c r="E27" s="128">
        <f>IF(FINAL!O27="NE","NE",'EVALUACIÓN'!N27)</f>
        <v>5.433333333</v>
      </c>
      <c r="F27" s="128">
        <f>IF(FINAL!O27="NE","NE",'EVALUACIÓN'!P27)</f>
        <v>6</v>
      </c>
      <c r="G27" s="128">
        <f t="shared" si="1"/>
        <v>5.45</v>
      </c>
      <c r="H27" s="127" t="str">
        <f>FINAL!P27</f>
        <v/>
      </c>
      <c r="I27" s="129">
        <f>IF(D27="NE","NE",MAX(H27,FINAL!O27))</f>
        <v>5</v>
      </c>
      <c r="J27" s="130">
        <f>FINAL!O27</f>
        <v>5</v>
      </c>
      <c r="K27" s="131">
        <f>IF(FINAL!Q27="NE","NE",'EVALUACIÓN'!R27)</f>
        <v>9.5</v>
      </c>
      <c r="L27" s="128">
        <f>IF(FINAL!Q27="NE","NE",'EVALUACIÓN'!Z27)</f>
        <v>5.75</v>
      </c>
      <c r="M27" s="132">
        <f>IF(FINAL!Q27="NE","NE",'EVALUACIÓN'!AB27)</f>
        <v>0</v>
      </c>
      <c r="N27" s="128">
        <f t="shared" si="2"/>
        <v>6.3</v>
      </c>
      <c r="O27" s="127" t="str">
        <f>FINAL!R27</f>
        <v/>
      </c>
      <c r="P27" s="129">
        <f>IF(K27="NE","NE",MAX(O27,FINAL!Q27))</f>
        <v>6</v>
      </c>
      <c r="Q27" s="130">
        <f>FINAL!Q27</f>
        <v>6</v>
      </c>
      <c r="R27" s="131">
        <f>IF(FINAL!S27="NE","NE",'EVALUACIÓN'!AD27)</f>
        <v>8.5</v>
      </c>
      <c r="S27" s="128">
        <f>IF(FINAL!S27="NE","NE",'EVALUACIÓN'!AL27)</f>
        <v>7.375</v>
      </c>
      <c r="T27" s="132">
        <f>IF(FINAL!S27="NE","NE",'EVALUACIÓN'!AN27)</f>
        <v>10</v>
      </c>
      <c r="U27" s="128">
        <f t="shared" si="3"/>
        <v>7.975</v>
      </c>
      <c r="V27" s="127" t="str">
        <f>FINAL!T27</f>
        <v/>
      </c>
      <c r="W27" s="129">
        <f>IF(R27="NE","NE",MAX(V27,FINAL!S27))</f>
        <v>8</v>
      </c>
      <c r="X27" s="130">
        <f>FINAL!S27</f>
        <v>8</v>
      </c>
      <c r="Y27" s="133">
        <f>FINAL!U27</f>
        <v>7</v>
      </c>
      <c r="Z27" s="127" t="str">
        <f>FINAL!V27</f>
        <v/>
      </c>
      <c r="AA27" s="127" t="str">
        <f>IF(A27="REP",FINAL!U27,)</f>
        <v/>
      </c>
      <c r="AB27" s="127" t="str">
        <f>IF(A27="REP",FINAL!V27,)</f>
        <v/>
      </c>
      <c r="AC27" s="127">
        <f t="shared" si="4"/>
        <v>7</v>
      </c>
    </row>
    <row r="28" ht="15.75" customHeight="1">
      <c r="A28" s="135" t="s">
        <v>55</v>
      </c>
      <c r="B28" s="134">
        <v>19.0</v>
      </c>
      <c r="C28" s="126" t="str">
        <f>IFERROR(__xludf.DUMMYFUNCTION("""COMPUTED_VALUE"""),"Montero Gutiérrez, Sergio")</f>
        <v>Montero Gutiérrez, Sergio</v>
      </c>
      <c r="D28" s="127">
        <f>IF(FINAL!O28="NE","NE",'EVALUACIÓN'!D28)</f>
        <v>7.4</v>
      </c>
      <c r="E28" s="128">
        <f>IF(FINAL!O28="NE","NE",'EVALUACIÓN'!N28)</f>
        <v>9.016666667</v>
      </c>
      <c r="F28" s="128">
        <f>IF(FINAL!O28="NE","NE",'EVALUACIÓN'!P28)</f>
        <v>10</v>
      </c>
      <c r="G28" s="128">
        <f t="shared" si="1"/>
        <v>8.63</v>
      </c>
      <c r="H28" s="127" t="str">
        <f>FINAL!P28</f>
        <v/>
      </c>
      <c r="I28" s="129">
        <f>IF(D28="NE","NE",MAX(H28,FINAL!O28))</f>
        <v>9</v>
      </c>
      <c r="J28" s="130">
        <f>FINAL!O28</f>
        <v>9</v>
      </c>
      <c r="K28" s="131">
        <f>IF(FINAL!Q28="NE","NE",'EVALUACIÓN'!R28)</f>
        <v>7.5</v>
      </c>
      <c r="L28" s="128">
        <f>IF(FINAL!Q28="NE","NE",'EVALUACIÓN'!Z28)</f>
        <v>7.85</v>
      </c>
      <c r="M28" s="132">
        <f>IF(FINAL!Q28="NE","NE",'EVALUACIÓN'!AB28)</f>
        <v>5</v>
      </c>
      <c r="N28" s="128">
        <f t="shared" si="2"/>
        <v>7.46</v>
      </c>
      <c r="O28" s="127" t="str">
        <f>FINAL!R28</f>
        <v/>
      </c>
      <c r="P28" s="129">
        <f>IF(K28="NE","NE",MAX(O28,FINAL!Q28))</f>
        <v>8</v>
      </c>
      <c r="Q28" s="130">
        <f>FINAL!Q28</f>
        <v>8</v>
      </c>
      <c r="R28" s="131">
        <f>IF(FINAL!S28="NE","NE",'EVALUACIÓN'!AD28)</f>
        <v>8.5</v>
      </c>
      <c r="S28" s="128">
        <f>IF(FINAL!S28="NE","NE",'EVALUACIÓN'!AL28)</f>
        <v>8.25</v>
      </c>
      <c r="T28" s="132">
        <f>IF(FINAL!S28="NE","NE",'EVALUACIÓN'!AN28)</f>
        <v>10</v>
      </c>
      <c r="U28" s="128">
        <f t="shared" si="3"/>
        <v>8.5</v>
      </c>
      <c r="V28" s="127" t="str">
        <f>FINAL!T28</f>
        <v/>
      </c>
      <c r="W28" s="129">
        <f>IF(R28="NE","NE",MAX(V28,FINAL!S28))</f>
        <v>9</v>
      </c>
      <c r="X28" s="130">
        <f>FINAL!S28</f>
        <v>9</v>
      </c>
      <c r="Y28" s="133">
        <f>FINAL!U28</f>
        <v>8</v>
      </c>
      <c r="Z28" s="127" t="str">
        <f>FINAL!V28</f>
        <v/>
      </c>
      <c r="AA28" s="127" t="str">
        <f>IF(A28="REP",FINAL!U28,)</f>
        <v/>
      </c>
      <c r="AB28" s="127" t="str">
        <f>IF(A28="REP",FINAL!V28,)</f>
        <v/>
      </c>
      <c r="AC28" s="127">
        <f t="shared" si="4"/>
        <v>8</v>
      </c>
    </row>
    <row r="29" ht="15.75" customHeight="1">
      <c r="A29" s="135" t="s">
        <v>55</v>
      </c>
      <c r="B29" s="134">
        <v>20.0</v>
      </c>
      <c r="C29" s="136" t="str">
        <f>IFERROR(__xludf.DUMMYFUNCTION("""COMPUTED_VALUE"""),"Montero Ramos, Manuel")</f>
        <v>Montero Ramos, Manuel</v>
      </c>
      <c r="D29" s="127">
        <f>IF(FINAL!O29="NE","NE",'EVALUACIÓN'!D29)</f>
        <v>6.5</v>
      </c>
      <c r="E29" s="128">
        <f>IF(FINAL!O29="NE","NE",'EVALUACIÓN'!N29)</f>
        <v>8.316666667</v>
      </c>
      <c r="F29" s="128">
        <f>IF(FINAL!O29="NE","NE",'EVALUACIÓN'!P29)</f>
        <v>10</v>
      </c>
      <c r="G29" s="128">
        <f t="shared" si="1"/>
        <v>7.94</v>
      </c>
      <c r="H29" s="127" t="str">
        <f>FINAL!P29</f>
        <v/>
      </c>
      <c r="I29" s="129">
        <f>IF(D29="NE","NE",MAX(H29,FINAL!O29))</f>
        <v>8</v>
      </c>
      <c r="J29" s="130">
        <f>FINAL!O29</f>
        <v>8</v>
      </c>
      <c r="K29" s="131">
        <f>IF(FINAL!Q29="NE","NE",'EVALUACIÓN'!R29)</f>
        <v>9</v>
      </c>
      <c r="L29" s="128">
        <f>IF(FINAL!Q29="NE","NE",'EVALUACIÓN'!Z29)</f>
        <v>8.25</v>
      </c>
      <c r="M29" s="132">
        <f>IF(FINAL!Q29="NE","NE",'EVALUACIÓN'!AB29)</f>
        <v>10</v>
      </c>
      <c r="N29" s="128">
        <f t="shared" si="2"/>
        <v>8.65</v>
      </c>
      <c r="O29" s="127" t="str">
        <f>FINAL!R29</f>
        <v/>
      </c>
      <c r="P29" s="129">
        <f>IF(K29="NE","NE",MAX(O29,FINAL!Q29))</f>
        <v>9</v>
      </c>
      <c r="Q29" s="130">
        <f>FINAL!Q29</f>
        <v>9</v>
      </c>
      <c r="R29" s="131">
        <f>IF(FINAL!S29="NE","NE",'EVALUACIÓN'!AD29)</f>
        <v>5.5</v>
      </c>
      <c r="S29" s="128">
        <f>IF(FINAL!S29="NE","NE",'EVALUACIÓN'!AL29)</f>
        <v>8.55</v>
      </c>
      <c r="T29" s="132">
        <f>IF(FINAL!S29="NE","NE",'EVALUACIÓN'!AN29)</f>
        <v>10</v>
      </c>
      <c r="U29" s="128">
        <f t="shared" si="3"/>
        <v>7.78</v>
      </c>
      <c r="V29" s="127" t="str">
        <f>FINAL!T29</f>
        <v/>
      </c>
      <c r="W29" s="129">
        <f>IF(R29="NE","NE",MAX(V29,FINAL!S29))</f>
        <v>8</v>
      </c>
      <c r="X29" s="130">
        <f>FINAL!S29</f>
        <v>8</v>
      </c>
      <c r="Y29" s="133">
        <f>FINAL!U29</f>
        <v>8</v>
      </c>
      <c r="Z29" s="127" t="str">
        <f>FINAL!V29</f>
        <v/>
      </c>
      <c r="AA29" s="127" t="str">
        <f>IF(A29="REP",FINAL!U29,)</f>
        <v/>
      </c>
      <c r="AB29" s="127" t="str">
        <f>IF(A29="REP",FINAL!V29,)</f>
        <v/>
      </c>
      <c r="AC29" s="127">
        <f t="shared" si="4"/>
        <v>8</v>
      </c>
    </row>
    <row r="30" ht="15.75" customHeight="1">
      <c r="A30" s="135" t="s">
        <v>55</v>
      </c>
      <c r="B30" s="134">
        <v>21.0</v>
      </c>
      <c r="C30" s="136" t="str">
        <f>IFERROR(__xludf.DUMMYFUNCTION("""COMPUTED_VALUE"""),"Murillo Villar, Javier")</f>
        <v>Murillo Villar, Javier</v>
      </c>
      <c r="D30" s="127">
        <f>IF(FINAL!O30="NE","NE",'EVALUACIÓN'!D30)</f>
        <v>7</v>
      </c>
      <c r="E30" s="128">
        <f>IF(FINAL!O30="NE","NE",'EVALUACIÓN'!N30)</f>
        <v>8.25</v>
      </c>
      <c r="F30" s="128">
        <f>IF(FINAL!O30="NE","NE",'EVALUACIÓN'!P30)</f>
        <v>6</v>
      </c>
      <c r="G30" s="128">
        <f t="shared" si="1"/>
        <v>7.65</v>
      </c>
      <c r="H30" s="127" t="str">
        <f>FINAL!P30</f>
        <v/>
      </c>
      <c r="I30" s="129">
        <f>IF(D30="NE","NE",MAX(H30,FINAL!O30))</f>
        <v>8</v>
      </c>
      <c r="J30" s="130">
        <f>FINAL!O30</f>
        <v>8</v>
      </c>
      <c r="K30" s="131">
        <f>IF(FINAL!Q30="NE","NE",'EVALUACIÓN'!R30)</f>
        <v>10</v>
      </c>
      <c r="L30" s="128">
        <f>IF(FINAL!Q30="NE","NE",'EVALUACIÓN'!Z30)</f>
        <v>7.85</v>
      </c>
      <c r="M30" s="132">
        <f>IF(FINAL!Q30="NE","NE",'EVALUACIÓN'!AB30)</f>
        <v>10</v>
      </c>
      <c r="N30" s="128">
        <f t="shared" si="2"/>
        <v>8.71</v>
      </c>
      <c r="O30" s="127" t="str">
        <f>FINAL!R30</f>
        <v/>
      </c>
      <c r="P30" s="129">
        <f>IF(K30="NE","NE",MAX(O30,FINAL!Q30))</f>
        <v>9</v>
      </c>
      <c r="Q30" s="130">
        <f>FINAL!Q30</f>
        <v>9</v>
      </c>
      <c r="R30" s="131">
        <f>IF(FINAL!S30="NE","NE",'EVALUACIÓN'!AD30)</f>
        <v>9.5</v>
      </c>
      <c r="S30" s="128">
        <f>IF(FINAL!S30="NE","NE",'EVALUACIÓN'!AL30)</f>
        <v>8.2</v>
      </c>
      <c r="T30" s="132">
        <f>IF(FINAL!S30="NE","NE",'EVALUACIÓN'!AN30)</f>
        <v>10</v>
      </c>
      <c r="U30" s="128">
        <f t="shared" si="3"/>
        <v>8.77</v>
      </c>
      <c r="V30" s="127" t="str">
        <f>FINAL!T30</f>
        <v/>
      </c>
      <c r="W30" s="129">
        <f>IF(R30="NE","NE",MAX(V30,FINAL!S30))</f>
        <v>9</v>
      </c>
      <c r="X30" s="130">
        <f>FINAL!S30</f>
        <v>9</v>
      </c>
      <c r="Y30" s="133">
        <f>FINAL!U30</f>
        <v>8</v>
      </c>
      <c r="Z30" s="127" t="str">
        <f>FINAL!V30</f>
        <v/>
      </c>
      <c r="AA30" s="127" t="str">
        <f>IF(A30="REP",FINAL!U30,)</f>
        <v/>
      </c>
      <c r="AB30" s="127" t="str">
        <f>IF(A30="REP",FINAL!V30,)</f>
        <v/>
      </c>
      <c r="AC30" s="127">
        <f t="shared" si="4"/>
        <v>8</v>
      </c>
    </row>
    <row r="31" ht="15.75" customHeight="1">
      <c r="A31" s="135" t="s">
        <v>55</v>
      </c>
      <c r="B31" s="134">
        <v>22.0</v>
      </c>
      <c r="C31" s="136" t="str">
        <f>IFERROR(__xludf.DUMMYFUNCTION("""COMPUTED_VALUE"""),"Pérez del Saz, Juan Ángel")</f>
        <v>Pérez del Saz, Juan Ángel</v>
      </c>
      <c r="D31" s="127">
        <f>IF(FINAL!O31="NE","NE",'EVALUACIÓN'!D31)</f>
        <v>5.6</v>
      </c>
      <c r="E31" s="128">
        <f>IF(FINAL!O31="NE","NE",'EVALUACIÓN'!N31)</f>
        <v>5.266666667</v>
      </c>
      <c r="F31" s="128">
        <f>IF(FINAL!O31="NE","NE",'EVALUACIÓN'!P31)</f>
        <v>6</v>
      </c>
      <c r="G31" s="128">
        <f t="shared" si="1"/>
        <v>5.44</v>
      </c>
      <c r="H31" s="127" t="str">
        <f>FINAL!P31</f>
        <v/>
      </c>
      <c r="I31" s="129">
        <f>IF(D31="NE","NE",MAX(H31,FINAL!O31))</f>
        <v>5</v>
      </c>
      <c r="J31" s="130">
        <f>FINAL!O31</f>
        <v>5</v>
      </c>
      <c r="K31" s="131">
        <f>IF(FINAL!Q31="NE","NE",'EVALUACIÓN'!R31)</f>
        <v>9</v>
      </c>
      <c r="L31" s="128">
        <f>IF(FINAL!Q31="NE","NE",'EVALUACIÓN'!Z31)</f>
        <v>6.75</v>
      </c>
      <c r="M31" s="132">
        <f>IF(FINAL!Q31="NE","NE",'EVALUACIÓN'!AB31)</f>
        <v>5</v>
      </c>
      <c r="N31" s="128">
        <f t="shared" si="2"/>
        <v>7.25</v>
      </c>
      <c r="O31" s="127" t="str">
        <f>FINAL!R31</f>
        <v/>
      </c>
      <c r="P31" s="129">
        <f>IF(K31="NE","NE",MAX(O31,FINAL!Q31))</f>
        <v>7</v>
      </c>
      <c r="Q31" s="130">
        <f>FINAL!Q31</f>
        <v>7</v>
      </c>
      <c r="R31" s="131">
        <f>IF(FINAL!S31="NE","NE",'EVALUACIÓN'!AD31)</f>
        <v>8</v>
      </c>
      <c r="S31" s="128">
        <f>IF(FINAL!S31="NE","NE",'EVALUACIÓN'!AL31)</f>
        <v>5.15</v>
      </c>
      <c r="T31" s="132">
        <f>IF(FINAL!S31="NE","NE",'EVALUACIÓN'!AN31)</f>
        <v>5</v>
      </c>
      <c r="U31" s="128">
        <f t="shared" si="3"/>
        <v>5.99</v>
      </c>
      <c r="V31" s="127" t="str">
        <f>FINAL!T31</f>
        <v/>
      </c>
      <c r="W31" s="129">
        <f>IF(R31="NE","NE",MAX(V31,FINAL!S31))</f>
        <v>6</v>
      </c>
      <c r="X31" s="130">
        <f>FINAL!S31</f>
        <v>6</v>
      </c>
      <c r="Y31" s="133">
        <f>FINAL!U31</f>
        <v>6</v>
      </c>
      <c r="Z31" s="127" t="str">
        <f>FINAL!V31</f>
        <v/>
      </c>
      <c r="AA31" s="127" t="str">
        <f>IF(A31="REP",FINAL!U31,)</f>
        <v/>
      </c>
      <c r="AB31" s="127" t="str">
        <f>IF(A31="REP",FINAL!V31,)</f>
        <v/>
      </c>
      <c r="AC31" s="127">
        <f t="shared" si="4"/>
        <v>6</v>
      </c>
    </row>
    <row r="32" ht="15.75" customHeight="1">
      <c r="A32" s="124" t="s">
        <v>55</v>
      </c>
      <c r="B32" s="134">
        <v>23.0</v>
      </c>
      <c r="C32" s="136" t="str">
        <f>IFERROR(__xludf.DUMMYFUNCTION("""COMPUTED_VALUE"""),"Ramírez Pérez, Daniel")</f>
        <v>Ramírez Pérez, Daniel</v>
      </c>
      <c r="D32" s="127">
        <f>IF(FINAL!O32="NE","NE",'EVALUACIÓN'!D32)</f>
        <v>5.2</v>
      </c>
      <c r="E32" s="128">
        <f>IF(FINAL!O32="NE","NE",'EVALUACIÓN'!N32)</f>
        <v>6.166666667</v>
      </c>
      <c r="F32" s="128">
        <f>IF(FINAL!O32="NE","NE",'EVALUACIÓN'!P32)</f>
        <v>3</v>
      </c>
      <c r="G32" s="128">
        <f t="shared" si="1"/>
        <v>5.56</v>
      </c>
      <c r="H32" s="127" t="str">
        <f>FINAL!P32</f>
        <v/>
      </c>
      <c r="I32" s="129">
        <f>IF(D32="NE","NE",MAX(H32,FINAL!O32))</f>
        <v>6</v>
      </c>
      <c r="J32" s="130">
        <f>FINAL!O32</f>
        <v>6</v>
      </c>
      <c r="K32" s="131">
        <f>IF(FINAL!Q32="NE","NE",'EVALUACIÓN'!R32)</f>
        <v>10</v>
      </c>
      <c r="L32" s="128">
        <f>IF(FINAL!Q32="NE","NE",'EVALUACIÓN'!Z32)</f>
        <v>4.3</v>
      </c>
      <c r="M32" s="132">
        <f>IF(FINAL!Q32="NE","NE",'EVALUACIÓN'!AB32)</f>
        <v>0</v>
      </c>
      <c r="N32" s="128">
        <f t="shared" si="2"/>
        <v>5.58</v>
      </c>
      <c r="O32" s="127" t="str">
        <f>FINAL!R32</f>
        <v/>
      </c>
      <c r="P32" s="129">
        <f>IF(K32="NE","NE",MAX(O32,FINAL!Q32))</f>
        <v>6</v>
      </c>
      <c r="Q32" s="130">
        <f>FINAL!Q32</f>
        <v>6</v>
      </c>
      <c r="R32" s="131">
        <f>IF(FINAL!S32="NE","NE",'EVALUACIÓN'!AD32)</f>
        <v>8</v>
      </c>
      <c r="S32" s="128">
        <f>IF(FINAL!S32="NE","NE",'EVALUACIÓN'!AL32)</f>
        <v>8</v>
      </c>
      <c r="T32" s="132">
        <f>IF(FINAL!S32="NE","NE",'EVALUACIÓN'!AN32)</f>
        <v>10</v>
      </c>
      <c r="U32" s="128">
        <f t="shared" si="3"/>
        <v>8.2</v>
      </c>
      <c r="V32" s="127" t="str">
        <f>FINAL!T32</f>
        <v/>
      </c>
      <c r="W32" s="129">
        <f>IF(R32="NE","NE",MAX(V32,FINAL!S32))</f>
        <v>8</v>
      </c>
      <c r="X32" s="130">
        <f>FINAL!S32</f>
        <v>8</v>
      </c>
      <c r="Y32" s="133">
        <f>FINAL!U32</f>
        <v>7</v>
      </c>
      <c r="Z32" s="127" t="str">
        <f>FINAL!V32</f>
        <v/>
      </c>
      <c r="AA32" s="127" t="str">
        <f>IF(A32="REP",FINAL!U32,)</f>
        <v/>
      </c>
      <c r="AB32" s="127" t="str">
        <f>IF(A32="REP",FINAL!V32,)</f>
        <v/>
      </c>
      <c r="AC32" s="127">
        <f t="shared" si="4"/>
        <v>7</v>
      </c>
    </row>
    <row r="33" ht="15.75" customHeight="1">
      <c r="A33" s="135" t="s">
        <v>55</v>
      </c>
      <c r="B33" s="134">
        <v>24.0</v>
      </c>
      <c r="C33" s="136" t="str">
        <f>IFERROR(__xludf.DUMMYFUNCTION("""COMPUTED_VALUE"""),"Ramos De la Rosa, Rafael")</f>
        <v>Ramos De la Rosa, Rafael</v>
      </c>
      <c r="D33" s="127">
        <f>IF(FINAL!O33="NE","NE",'EVALUACIÓN'!D33)</f>
        <v>6</v>
      </c>
      <c r="E33" s="128">
        <f>IF(FINAL!O33="NE","NE",'EVALUACIÓN'!N33)</f>
        <v>7.15</v>
      </c>
      <c r="F33" s="128">
        <f>IF(FINAL!O33="NE","NE",'EVALUACIÓN'!P33)</f>
        <v>3</v>
      </c>
      <c r="G33" s="128">
        <f t="shared" si="1"/>
        <v>6.39</v>
      </c>
      <c r="H33" s="127" t="str">
        <f>FINAL!P33</f>
        <v/>
      </c>
      <c r="I33" s="129">
        <f>IF(D33="NE","NE",MAX(H33,FINAL!O33))</f>
        <v>6</v>
      </c>
      <c r="J33" s="130">
        <f>FINAL!O33</f>
        <v>6</v>
      </c>
      <c r="K33" s="131">
        <f>IF(FINAL!Q33="NE","NE",'EVALUACIÓN'!R33)</f>
        <v>8.5</v>
      </c>
      <c r="L33" s="128">
        <f>IF(FINAL!Q33="NE","NE",'EVALUACIÓN'!Z33)</f>
        <v>6.3</v>
      </c>
      <c r="M33" s="132">
        <f>IF(FINAL!Q33="NE","NE",'EVALUACIÓN'!AB33)</f>
        <v>0</v>
      </c>
      <c r="N33" s="128">
        <f t="shared" si="2"/>
        <v>6.33</v>
      </c>
      <c r="O33" s="127" t="str">
        <f>FINAL!R33</f>
        <v/>
      </c>
      <c r="P33" s="129">
        <f>IF(K33="NE","NE",MAX(O33,FINAL!Q33))</f>
        <v>6</v>
      </c>
      <c r="Q33" s="130">
        <f>FINAL!Q33</f>
        <v>6</v>
      </c>
      <c r="R33" s="131">
        <f>IF(FINAL!S33="NE","NE",'EVALUACIÓN'!AD33)</f>
        <v>8.5</v>
      </c>
      <c r="S33" s="128">
        <f>IF(FINAL!S33="NE","NE",'EVALUACIÓN'!AL33)</f>
        <v>8.25</v>
      </c>
      <c r="T33" s="132">
        <f>IF(FINAL!S33="NE","NE",'EVALUACIÓN'!AN33)</f>
        <v>10</v>
      </c>
      <c r="U33" s="128">
        <f t="shared" si="3"/>
        <v>8.5</v>
      </c>
      <c r="V33" s="127" t="str">
        <f>FINAL!T33</f>
        <v/>
      </c>
      <c r="W33" s="129">
        <f>IF(R33="NE","NE",MAX(V33,FINAL!S33))</f>
        <v>9</v>
      </c>
      <c r="X33" s="130">
        <f>FINAL!S33</f>
        <v>9</v>
      </c>
      <c r="Y33" s="133">
        <f>FINAL!U33</f>
        <v>7</v>
      </c>
      <c r="Z33" s="127" t="str">
        <f>FINAL!V33</f>
        <v/>
      </c>
      <c r="AA33" s="127" t="str">
        <f>IF(A33="REP",FINAL!U33,)</f>
        <v/>
      </c>
      <c r="AB33" s="127" t="str">
        <f>IF(A33="REP",FINAL!V33,)</f>
        <v/>
      </c>
      <c r="AC33" s="127">
        <f t="shared" si="4"/>
        <v>7</v>
      </c>
    </row>
    <row r="34" ht="15.75" customHeight="1">
      <c r="A34" s="135" t="s">
        <v>55</v>
      </c>
      <c r="B34" s="134">
        <v>25.0</v>
      </c>
      <c r="C34" s="136" t="str">
        <f>IFERROR(__xludf.DUMMYFUNCTION("""COMPUTED_VALUE"""),"Rodríguez Barrios, Manuel")</f>
        <v>Rodríguez Barrios, Manuel</v>
      </c>
      <c r="D34" s="127">
        <f>IF(FINAL!O34="NE","NE",'EVALUACIÓN'!D34)</f>
        <v>8.2</v>
      </c>
      <c r="E34" s="128">
        <f>IF(FINAL!O34="NE","NE",'EVALUACIÓN'!N34)</f>
        <v>8.35</v>
      </c>
      <c r="F34" s="128">
        <f>IF(FINAL!O34="NE","NE",'EVALUACIÓN'!P34)</f>
        <v>5</v>
      </c>
      <c r="G34" s="128">
        <f t="shared" si="1"/>
        <v>7.97</v>
      </c>
      <c r="H34" s="127" t="str">
        <f>FINAL!P34</f>
        <v/>
      </c>
      <c r="I34" s="129">
        <f>IF(D34="NE","NE",MAX(H34,FINAL!O34))</f>
        <v>8</v>
      </c>
      <c r="J34" s="130">
        <f>FINAL!O34</f>
        <v>8</v>
      </c>
      <c r="K34" s="131">
        <f>IF(FINAL!Q34="NE","NE",'EVALUACIÓN'!R34)</f>
        <v>9.5</v>
      </c>
      <c r="L34" s="128">
        <f>IF(FINAL!Q34="NE","NE",'EVALUACIÓN'!Z34)</f>
        <v>10</v>
      </c>
      <c r="M34" s="132">
        <f>IF(FINAL!Q34="NE","NE",'EVALUACIÓN'!AB34)</f>
        <v>5</v>
      </c>
      <c r="N34" s="128">
        <f t="shared" si="2"/>
        <v>9.35</v>
      </c>
      <c r="O34" s="127" t="str">
        <f>FINAL!R34</f>
        <v/>
      </c>
      <c r="P34" s="129">
        <f>IF(K34="NE","NE",MAX(O34,FINAL!Q34))</f>
        <v>10</v>
      </c>
      <c r="Q34" s="130">
        <f>FINAL!Q34</f>
        <v>10</v>
      </c>
      <c r="R34" s="131">
        <f>IF(FINAL!S34="NE","NE",'EVALUACIÓN'!AD34)</f>
        <v>8.5</v>
      </c>
      <c r="S34" s="128">
        <f>IF(FINAL!S34="NE","NE",'EVALUACIÓN'!AL34)</f>
        <v>10</v>
      </c>
      <c r="T34" s="132">
        <f>IF(FINAL!S34="NE","NE",'EVALUACIÓN'!AN34)</f>
        <v>10</v>
      </c>
      <c r="U34" s="128">
        <f t="shared" si="3"/>
        <v>9.55</v>
      </c>
      <c r="V34" s="127" t="str">
        <f>FINAL!T34</f>
        <v/>
      </c>
      <c r="W34" s="129">
        <f>IF(R34="NE","NE",MAX(V34,FINAL!S34))</f>
        <v>10</v>
      </c>
      <c r="X34" s="130">
        <f>FINAL!S34</f>
        <v>10</v>
      </c>
      <c r="Y34" s="133">
        <f>FINAL!U34</f>
        <v>10</v>
      </c>
      <c r="Z34" s="127" t="str">
        <f>FINAL!V34</f>
        <v/>
      </c>
      <c r="AA34" s="127" t="str">
        <f>IF(A34="REP",FINAL!U34,)</f>
        <v/>
      </c>
      <c r="AB34" s="127" t="str">
        <f>IF(A34="REP",FINAL!V34,)</f>
        <v/>
      </c>
      <c r="AC34" s="127">
        <f t="shared" si="4"/>
        <v>10</v>
      </c>
    </row>
    <row r="35" ht="15.75" customHeight="1">
      <c r="A35" s="135" t="s">
        <v>55</v>
      </c>
      <c r="B35" s="134">
        <v>26.0</v>
      </c>
      <c r="C35" s="136" t="str">
        <f>IFERROR(__xludf.DUMMYFUNCTION("""COMPUTED_VALUE"""),"Ruiz Franco, Arturo")</f>
        <v>Ruiz Franco, Arturo</v>
      </c>
      <c r="D35" s="127">
        <f>IF(FINAL!O35="NE","NE",'EVALUACIÓN'!D35)</f>
        <v>7.5</v>
      </c>
      <c r="E35" s="128">
        <f>IF(FINAL!O35="NE","NE",'EVALUACIÓN'!N35)</f>
        <v>7.716666667</v>
      </c>
      <c r="F35" s="128">
        <f>IF(FINAL!O35="NE","NE",'EVALUACIÓN'!P35)</f>
        <v>6</v>
      </c>
      <c r="G35" s="128">
        <f t="shared" si="1"/>
        <v>7.48</v>
      </c>
      <c r="H35" s="127" t="str">
        <f>FINAL!P35</f>
        <v/>
      </c>
      <c r="I35" s="129">
        <f>IF(D35="NE","NE",MAX(H35,FINAL!O35))</f>
        <v>8</v>
      </c>
      <c r="J35" s="130">
        <f>FINAL!O35</f>
        <v>8</v>
      </c>
      <c r="K35" s="131">
        <f>IF(FINAL!Q35="NE","NE",'EVALUACIÓN'!R35)</f>
        <v>10</v>
      </c>
      <c r="L35" s="128">
        <f>IF(FINAL!Q35="NE","NE",'EVALUACIÓN'!Z35)</f>
        <v>6.525</v>
      </c>
      <c r="M35" s="132">
        <f>IF(FINAL!Q35="NE","NE",'EVALUACIÓN'!AB35)</f>
        <v>5</v>
      </c>
      <c r="N35" s="128">
        <f t="shared" si="2"/>
        <v>7.415</v>
      </c>
      <c r="O35" s="127" t="str">
        <f>FINAL!R35</f>
        <v/>
      </c>
      <c r="P35" s="129">
        <f>IF(K35="NE","NE",MAX(O35,FINAL!Q35))</f>
        <v>7</v>
      </c>
      <c r="Q35" s="130">
        <f>FINAL!Q35</f>
        <v>7</v>
      </c>
      <c r="R35" s="131">
        <f>IF(FINAL!S35="NE","NE",'EVALUACIÓN'!AD35)</f>
        <v>6</v>
      </c>
      <c r="S35" s="128">
        <f>IF(FINAL!S35="NE","NE",'EVALUACIÓN'!AL35)</f>
        <v>8.5</v>
      </c>
      <c r="T35" s="132">
        <f>IF(FINAL!S35="NE","NE",'EVALUACIÓN'!AN35)</f>
        <v>10</v>
      </c>
      <c r="U35" s="128">
        <f t="shared" si="3"/>
        <v>7.9</v>
      </c>
      <c r="V35" s="127" t="str">
        <f>FINAL!T35</f>
        <v/>
      </c>
      <c r="W35" s="129">
        <f>IF(R35="NE","NE",MAX(V35,FINAL!S35))</f>
        <v>8</v>
      </c>
      <c r="X35" s="130">
        <f>FINAL!S35</f>
        <v>8</v>
      </c>
      <c r="Y35" s="133">
        <f>FINAL!U35</f>
        <v>8</v>
      </c>
      <c r="Z35" s="127" t="str">
        <f>FINAL!V35</f>
        <v/>
      </c>
      <c r="AA35" s="127" t="str">
        <f>IF(A35="REP",FINAL!U35,)</f>
        <v/>
      </c>
      <c r="AB35" s="127" t="str">
        <f>IF(A35="REP",FINAL!V35,)</f>
        <v/>
      </c>
      <c r="AC35" s="127">
        <f t="shared" si="4"/>
        <v>8</v>
      </c>
    </row>
    <row r="36" ht="15.75" customHeight="1">
      <c r="A36" s="135" t="s">
        <v>55</v>
      </c>
      <c r="B36" s="134">
        <v>27.0</v>
      </c>
      <c r="C36" s="136" t="str">
        <f>IFERROR(__xludf.DUMMYFUNCTION("""COMPUTED_VALUE"""),"Ruiz Ridao, Cristina")</f>
        <v>Ruiz Ridao, Cristina</v>
      </c>
      <c r="D36" s="127">
        <f>IF(FINAL!O36="NE","NE",'EVALUACIÓN'!D36)</f>
        <v>6.7</v>
      </c>
      <c r="E36" s="128">
        <f>IF(FINAL!O36="NE","NE",'EVALUACIÓN'!N36)</f>
        <v>8.05</v>
      </c>
      <c r="F36" s="128">
        <f>IF(FINAL!O36="NE","NE",'EVALUACIÓN'!P36)</f>
        <v>10</v>
      </c>
      <c r="G36" s="128">
        <f t="shared" si="1"/>
        <v>7.84</v>
      </c>
      <c r="H36" s="127" t="str">
        <f>FINAL!P36</f>
        <v/>
      </c>
      <c r="I36" s="129">
        <f>IF(D36="NE","NE",MAX(H36,FINAL!O36))</f>
        <v>8</v>
      </c>
      <c r="J36" s="130">
        <f>FINAL!O36</f>
        <v>8</v>
      </c>
      <c r="K36" s="131">
        <f>IF(FINAL!Q36="NE","NE",'EVALUACIÓN'!R36)</f>
        <v>10</v>
      </c>
      <c r="L36" s="128">
        <f>IF(FINAL!Q36="NE","NE",'EVALUACIÓN'!Z36)</f>
        <v>8</v>
      </c>
      <c r="M36" s="132">
        <f>IF(FINAL!Q36="NE","NE",'EVALUACIÓN'!AB36)</f>
        <v>10</v>
      </c>
      <c r="N36" s="128">
        <f t="shared" si="2"/>
        <v>8.8</v>
      </c>
      <c r="O36" s="127" t="str">
        <f>FINAL!R36</f>
        <v/>
      </c>
      <c r="P36" s="129">
        <f>IF(K36="NE","NE",MAX(O36,FINAL!Q36))</f>
        <v>9</v>
      </c>
      <c r="Q36" s="130">
        <f>FINAL!Q36</f>
        <v>9</v>
      </c>
      <c r="R36" s="131">
        <f>IF(FINAL!S36="NE","NE",'EVALUACIÓN'!AD36)</f>
        <v>5</v>
      </c>
      <c r="S36" s="128">
        <f>IF(FINAL!S36="NE","NE",'EVALUACIÓN'!AL36)</f>
        <v>8.875</v>
      </c>
      <c r="T36" s="132">
        <f>IF(FINAL!S36="NE","NE",'EVALUACIÓN'!AN36)</f>
        <v>10</v>
      </c>
      <c r="U36" s="128">
        <f t="shared" si="3"/>
        <v>7.825</v>
      </c>
      <c r="V36" s="127" t="str">
        <f>FINAL!T36</f>
        <v/>
      </c>
      <c r="W36" s="129">
        <f>IF(R36="NE","NE",MAX(V36,FINAL!S36))</f>
        <v>8</v>
      </c>
      <c r="X36" s="130">
        <f>FINAL!S36</f>
        <v>8</v>
      </c>
      <c r="Y36" s="133">
        <f>FINAL!U36</f>
        <v>8</v>
      </c>
      <c r="Z36" s="127" t="str">
        <f>FINAL!V36</f>
        <v/>
      </c>
      <c r="AA36" s="127" t="str">
        <f>IF(A36="REP",FINAL!U36,)</f>
        <v/>
      </c>
      <c r="AB36" s="127" t="str">
        <f>IF(A36="REP",FINAL!V36,)</f>
        <v/>
      </c>
      <c r="AC36" s="127">
        <f t="shared" si="4"/>
        <v>8</v>
      </c>
    </row>
    <row r="37" ht="15.75" customHeight="1">
      <c r="A37" s="135" t="s">
        <v>55</v>
      </c>
      <c r="B37" s="134">
        <v>28.0</v>
      </c>
      <c r="C37" s="136" t="str">
        <f>IFERROR(__xludf.DUMMYFUNCTION("""COMPUTED_VALUE"""),"Salcedo Peñalosa, Pablo")</f>
        <v>Salcedo Peñalosa, Pablo</v>
      </c>
      <c r="D37" s="127">
        <f>IF(FINAL!O37="NE","NE",'EVALUACIÓN'!D37)</f>
        <v>7</v>
      </c>
      <c r="E37" s="128">
        <f>IF(FINAL!O37="NE","NE",'EVALUACIÓN'!N37)</f>
        <v>7.95</v>
      </c>
      <c r="F37" s="128">
        <f>IF(FINAL!O37="NE","NE",'EVALUACIÓN'!P37)</f>
        <v>6</v>
      </c>
      <c r="G37" s="128">
        <f t="shared" si="1"/>
        <v>7.47</v>
      </c>
      <c r="H37" s="127" t="str">
        <f>FINAL!P37</f>
        <v/>
      </c>
      <c r="I37" s="129">
        <f>IF(D37="NE","NE",MAX(H37,FINAL!O37))</f>
        <v>8</v>
      </c>
      <c r="J37" s="130">
        <f>FINAL!O37</f>
        <v>8</v>
      </c>
      <c r="K37" s="131">
        <f>IF(FINAL!Q37="NE","NE",'EVALUACIÓN'!R37)</f>
        <v>7.5</v>
      </c>
      <c r="L37" s="128">
        <f>IF(FINAL!Q37="NE","NE",'EVALUACIÓN'!Z37)</f>
        <v>5.775</v>
      </c>
      <c r="M37" s="132">
        <f>IF(FINAL!Q37="NE","NE",'EVALUACIÓN'!AB37)</f>
        <v>0</v>
      </c>
      <c r="N37" s="128">
        <f t="shared" si="2"/>
        <v>5.715</v>
      </c>
      <c r="O37" s="127" t="str">
        <f>FINAL!R37</f>
        <v/>
      </c>
      <c r="P37" s="129">
        <f>IF(K37="NE","NE",MAX(O37,FINAL!Q37))</f>
        <v>6</v>
      </c>
      <c r="Q37" s="130">
        <f>FINAL!Q37</f>
        <v>6</v>
      </c>
      <c r="R37" s="131">
        <f>IF(FINAL!S37="NE","NE",'EVALUACIÓN'!AD37)</f>
        <v>5</v>
      </c>
      <c r="S37" s="128">
        <f>IF(FINAL!S37="NE","NE",'EVALUACIÓN'!AL37)</f>
        <v>7.625</v>
      </c>
      <c r="T37" s="132">
        <f>IF(FINAL!S37="NE","NE",'EVALUACIÓN'!AN37)</f>
        <v>10</v>
      </c>
      <c r="U37" s="128">
        <f t="shared" si="3"/>
        <v>7.075</v>
      </c>
      <c r="V37" s="127" t="str">
        <f>FINAL!T37</f>
        <v/>
      </c>
      <c r="W37" s="129">
        <f>IF(R37="NE","NE",MAX(V37,FINAL!S37))</f>
        <v>7</v>
      </c>
      <c r="X37" s="130">
        <f>FINAL!S37</f>
        <v>7</v>
      </c>
      <c r="Y37" s="133">
        <f>FINAL!U37</f>
        <v>7</v>
      </c>
      <c r="Z37" s="127" t="str">
        <f>FINAL!V37</f>
        <v/>
      </c>
      <c r="AA37" s="127" t="str">
        <f>IF(A37="REP",FINAL!U37,)</f>
        <v/>
      </c>
      <c r="AB37" s="127" t="str">
        <f>IF(A37="REP",FINAL!V37,)</f>
        <v/>
      </c>
      <c r="AC37" s="127">
        <f t="shared" si="4"/>
        <v>7</v>
      </c>
    </row>
    <row r="38" ht="15.75" customHeight="1">
      <c r="A38" s="135" t="s">
        <v>55</v>
      </c>
      <c r="B38" s="134">
        <v>29.0</v>
      </c>
      <c r="C38" s="136" t="str">
        <f>IFERROR(__xludf.DUMMYFUNCTION("""COMPUTED_VALUE"""),"Segura Díaz, Esteban")</f>
        <v>Segura Díaz, Esteban</v>
      </c>
      <c r="D38" s="127">
        <f>IF(FINAL!O38="NE","NE",'EVALUACIÓN'!D38)</f>
        <v>6.9</v>
      </c>
      <c r="E38" s="128">
        <f>IF(FINAL!O38="NE","NE",'EVALUACIÓN'!N38)</f>
        <v>8.283333333</v>
      </c>
      <c r="F38" s="128">
        <f>IF(FINAL!O38="NE","NE",'EVALUACIÓN'!P38)</f>
        <v>10</v>
      </c>
      <c r="G38" s="128">
        <f t="shared" si="1"/>
        <v>8.04</v>
      </c>
      <c r="H38" s="127" t="str">
        <f>FINAL!P38</f>
        <v/>
      </c>
      <c r="I38" s="129">
        <f>IF(D38="NE","NE",MAX(H38,FINAL!O38))</f>
        <v>8</v>
      </c>
      <c r="J38" s="130">
        <f>FINAL!O38</f>
        <v>8</v>
      </c>
      <c r="K38" s="131">
        <f>IF(FINAL!Q38="NE","NE",'EVALUACIÓN'!R38)</f>
        <v>8.5</v>
      </c>
      <c r="L38" s="128">
        <f>IF(FINAL!Q38="NE","NE",'EVALUACIÓN'!Z38)</f>
        <v>6.8</v>
      </c>
      <c r="M38" s="132">
        <f>IF(FINAL!Q38="NE","NE",'EVALUACIÓN'!AB38)</f>
        <v>0</v>
      </c>
      <c r="N38" s="128">
        <f t="shared" si="2"/>
        <v>6.63</v>
      </c>
      <c r="O38" s="127" t="str">
        <f>FINAL!R38</f>
        <v/>
      </c>
      <c r="P38" s="129">
        <f>IF(K38="NE","NE",MAX(O38,FINAL!Q38))</f>
        <v>7</v>
      </c>
      <c r="Q38" s="130">
        <f>FINAL!Q38</f>
        <v>7</v>
      </c>
      <c r="R38" s="131">
        <f>IF(FINAL!S38="NE","NE",'EVALUACIÓN'!AD38)</f>
        <v>7.5</v>
      </c>
      <c r="S38" s="128">
        <f>IF(FINAL!S38="NE","NE",'EVALUACIÓN'!AL38)</f>
        <v>7.125</v>
      </c>
      <c r="T38" s="132">
        <f>IF(FINAL!S38="NE","NE",'EVALUACIÓN'!AN38)</f>
        <v>5</v>
      </c>
      <c r="U38" s="128">
        <f t="shared" si="3"/>
        <v>7.025</v>
      </c>
      <c r="V38" s="127" t="str">
        <f>FINAL!T38</f>
        <v/>
      </c>
      <c r="W38" s="129">
        <f>IF(R38="NE","NE",MAX(V38,FINAL!S38))</f>
        <v>7</v>
      </c>
      <c r="X38" s="130">
        <f>FINAL!S38</f>
        <v>7</v>
      </c>
      <c r="Y38" s="133">
        <f>FINAL!U38</f>
        <v>7</v>
      </c>
      <c r="Z38" s="127" t="str">
        <f>FINAL!V38</f>
        <v/>
      </c>
      <c r="AA38" s="127" t="str">
        <f>IF(A38="REP",FINAL!U38,)</f>
        <v/>
      </c>
      <c r="AB38" s="127" t="str">
        <f>IF(A38="REP",FINAL!V38,)</f>
        <v/>
      </c>
      <c r="AC38" s="127">
        <f t="shared" si="4"/>
        <v>7</v>
      </c>
    </row>
    <row r="39" ht="15.75" customHeight="1">
      <c r="A39" s="135" t="s">
        <v>55</v>
      </c>
      <c r="B39" s="134">
        <v>30.0</v>
      </c>
      <c r="C39" s="136"/>
      <c r="D39" s="127" t="str">
        <f>IF(FINAL!O39="NE","NE",'EVALUACIÓN'!D39)</f>
        <v/>
      </c>
      <c r="E39" s="128" t="str">
        <f>IF(FINAL!O39="NE","NE",'EVALUACIÓN'!N39)</f>
        <v>#DIV/0!</v>
      </c>
      <c r="F39" s="128" t="str">
        <f>IF(FINAL!O39="NE","NE",'EVALUACIÓN'!P39)</f>
        <v/>
      </c>
      <c r="G39" s="128" t="str">
        <f t="shared" si="1"/>
        <v>#DIV/0!</v>
      </c>
      <c r="H39" s="127" t="str">
        <f>FINAL!P39</f>
        <v/>
      </c>
      <c r="I39" s="129">
        <f>IF(D39="NE","NE",MAX(H39,FINAL!O39))</f>
        <v>0</v>
      </c>
      <c r="J39" s="130" t="str">
        <f>FINAL!O39</f>
        <v/>
      </c>
      <c r="K39" s="131" t="str">
        <f>IF(FINAL!Q39="NE","NE",'EVALUACIÓN'!R39)</f>
        <v/>
      </c>
      <c r="L39" s="128">
        <f>IF(FINAL!Q39="NE","NE",'EVALUACIÓN'!Z39)</f>
        <v>10</v>
      </c>
      <c r="M39" s="132" t="str">
        <f>IF(FINAL!Q39="NE","NE",'EVALUACIÓN'!AB39)</f>
        <v/>
      </c>
      <c r="N39" s="128">
        <f t="shared" si="2"/>
        <v>6</v>
      </c>
      <c r="O39" s="127" t="str">
        <f>FINAL!R39</f>
        <v/>
      </c>
      <c r="P39" s="129">
        <f>IF(K39="NE","NE",MAX(O39,FINAL!Q39))</f>
        <v>0</v>
      </c>
      <c r="Q39" s="130" t="str">
        <f>FINAL!Q39</f>
        <v/>
      </c>
      <c r="R39" s="131" t="str">
        <f>IF(FINAL!S39="NE","NE",'EVALUACIÓN'!AD39)</f>
        <v/>
      </c>
      <c r="S39" s="128" t="str">
        <f>IF(FINAL!S39="NE","NE",'EVALUACIÓN'!AL39)</f>
        <v>#DIV/0!</v>
      </c>
      <c r="T39" s="132" t="str">
        <f>IF(FINAL!S39="NE","NE",'EVALUACIÓN'!AN39)</f>
        <v/>
      </c>
      <c r="U39" s="128" t="str">
        <f t="shared" si="3"/>
        <v>#DIV/0!</v>
      </c>
      <c r="V39" s="127" t="str">
        <f>FINAL!T39</f>
        <v/>
      </c>
      <c r="W39" s="129">
        <f>IF(R39="NE","NE",MAX(V39,FINAL!S39))</f>
        <v>0</v>
      </c>
      <c r="X39" s="130" t="str">
        <f>FINAL!S39</f>
        <v/>
      </c>
      <c r="Y39" s="133" t="str">
        <f>FINAL!U39</f>
        <v/>
      </c>
      <c r="Z39" s="127" t="str">
        <f>FINAL!V39</f>
        <v/>
      </c>
      <c r="AA39" s="127" t="str">
        <f>IF(A39="REP",FINAL!U39,)</f>
        <v/>
      </c>
      <c r="AB39" s="127" t="str">
        <f>IF(A39="REP",FINAL!V39,)</f>
        <v/>
      </c>
      <c r="AC39" s="127">
        <f t="shared" si="4"/>
        <v>0</v>
      </c>
    </row>
    <row r="40" ht="15.75" customHeight="1">
      <c r="A40" s="135" t="s">
        <v>55</v>
      </c>
      <c r="B40" s="134">
        <v>31.0</v>
      </c>
      <c r="C40" s="136"/>
      <c r="D40" s="127" t="str">
        <f>IF(FINAL!O40="NE","NE",'EVALUACIÓN'!D40)</f>
        <v/>
      </c>
      <c r="E40" s="128" t="str">
        <f>IF(FINAL!O40="NE","NE",'EVALUACIÓN'!N40)</f>
        <v>#DIV/0!</v>
      </c>
      <c r="F40" s="128" t="str">
        <f>IF(FINAL!O40="NE","NE",'EVALUACIÓN'!P40)</f>
        <v/>
      </c>
      <c r="G40" s="128" t="str">
        <f t="shared" si="1"/>
        <v>#DIV/0!</v>
      </c>
      <c r="H40" s="127" t="str">
        <f>FINAL!P40</f>
        <v/>
      </c>
      <c r="I40" s="129">
        <f>IF(D40="NE","NE",MAX(H40,FINAL!O40))</f>
        <v>0</v>
      </c>
      <c r="J40" s="130" t="str">
        <f>FINAL!O40</f>
        <v/>
      </c>
      <c r="K40" s="131" t="str">
        <f>IF(FINAL!Q40="NE","NE",'EVALUACIÓN'!R40)</f>
        <v/>
      </c>
      <c r="L40" s="128" t="str">
        <f>IF(FINAL!Q40="NE","NE",'EVALUACIÓN'!Z40)</f>
        <v>#DIV/0!</v>
      </c>
      <c r="M40" s="132" t="str">
        <f>IF(FINAL!Q40="NE","NE",'EVALUACIÓN'!AB40)</f>
        <v/>
      </c>
      <c r="N40" s="128" t="str">
        <f t="shared" si="2"/>
        <v>#DIV/0!</v>
      </c>
      <c r="O40" s="127" t="str">
        <f>FINAL!R40</f>
        <v/>
      </c>
      <c r="P40" s="129">
        <f>IF(K40="NE","NE",MAX(O40,FINAL!Q40))</f>
        <v>0</v>
      </c>
      <c r="Q40" s="130" t="str">
        <f>FINAL!Q40</f>
        <v/>
      </c>
      <c r="R40" s="131" t="str">
        <f>IF(FINAL!S40="NE","NE",'EVALUACIÓN'!AD40)</f>
        <v/>
      </c>
      <c r="S40" s="128" t="str">
        <f>IF(FINAL!S40="NE","NE",'EVALUACIÓN'!AL40)</f>
        <v>#DIV/0!</v>
      </c>
      <c r="T40" s="132" t="str">
        <f>IF(FINAL!S40="NE","NE",'EVALUACIÓN'!AN40)</f>
        <v/>
      </c>
      <c r="U40" s="128" t="str">
        <f t="shared" si="3"/>
        <v>#DIV/0!</v>
      </c>
      <c r="V40" s="127" t="str">
        <f>FINAL!T40</f>
        <v/>
      </c>
      <c r="W40" s="129">
        <f>IF(R40="NE","NE",MAX(V40,FINAL!S40))</f>
        <v>0</v>
      </c>
      <c r="X40" s="130" t="str">
        <f>FINAL!S40</f>
        <v/>
      </c>
      <c r="Y40" s="133" t="str">
        <f>FINAL!U40</f>
        <v/>
      </c>
      <c r="Z40" s="127" t="str">
        <f>FINAL!V40</f>
        <v/>
      </c>
      <c r="AA40" s="127" t="str">
        <f>IF(A40="REP",FINAL!U40,)</f>
        <v/>
      </c>
      <c r="AB40" s="127" t="str">
        <f>IF(A40="REP",FINAL!V40,)</f>
        <v/>
      </c>
      <c r="AC40" s="127">
        <f t="shared" si="4"/>
        <v>0</v>
      </c>
    </row>
    <row r="41" ht="15.75" customHeight="1">
      <c r="A41" s="135" t="s">
        <v>55</v>
      </c>
      <c r="B41" s="134">
        <v>32.0</v>
      </c>
      <c r="C41" s="136"/>
      <c r="D41" s="127" t="str">
        <f>IF(FINAL!O41="NE","NE",'EVALUACIÓN'!D41)</f>
        <v/>
      </c>
      <c r="E41" s="128" t="str">
        <f>IF(FINAL!O41="NE","NE",'EVALUACIÓN'!N41)</f>
        <v>#DIV/0!</v>
      </c>
      <c r="F41" s="128" t="str">
        <f>IF(FINAL!O41="NE","NE",'EVALUACIÓN'!P41)</f>
        <v/>
      </c>
      <c r="G41" s="128" t="str">
        <f t="shared" si="1"/>
        <v>#DIV/0!</v>
      </c>
      <c r="H41" s="127" t="str">
        <f>FINAL!P41</f>
        <v/>
      </c>
      <c r="I41" s="129">
        <f>IF(D41="NE","NE",MAX(H41,FINAL!O41))</f>
        <v>0</v>
      </c>
      <c r="J41" s="130" t="str">
        <f>FINAL!O41</f>
        <v/>
      </c>
      <c r="K41" s="131" t="str">
        <f>IF(FINAL!Q41="NE","NE",'EVALUACIÓN'!R41)</f>
        <v/>
      </c>
      <c r="L41" s="128" t="str">
        <f>IF(FINAL!Q41="NE","NE",'EVALUACIÓN'!Z41)</f>
        <v>#DIV/0!</v>
      </c>
      <c r="M41" s="132" t="str">
        <f>IF(FINAL!Q41="NE","NE",'EVALUACIÓN'!AB41)</f>
        <v/>
      </c>
      <c r="N41" s="128" t="str">
        <f t="shared" si="2"/>
        <v>#DIV/0!</v>
      </c>
      <c r="O41" s="127" t="str">
        <f>FINAL!R41</f>
        <v/>
      </c>
      <c r="P41" s="129">
        <f>IF(K41="NE","NE",MAX(O41,FINAL!Q41))</f>
        <v>0</v>
      </c>
      <c r="Q41" s="130" t="str">
        <f>FINAL!Q41</f>
        <v/>
      </c>
      <c r="R41" s="131" t="str">
        <f>IF(FINAL!S41="NE","NE",'EVALUACIÓN'!AD41)</f>
        <v/>
      </c>
      <c r="S41" s="128" t="str">
        <f>IF(FINAL!S41="NE","NE",'EVALUACIÓN'!AL41)</f>
        <v>#DIV/0!</v>
      </c>
      <c r="T41" s="132" t="str">
        <f>IF(FINAL!S41="NE","NE",'EVALUACIÓN'!AN41)</f>
        <v/>
      </c>
      <c r="U41" s="128" t="str">
        <f t="shared" si="3"/>
        <v>#DIV/0!</v>
      </c>
      <c r="V41" s="127" t="str">
        <f>FINAL!T41</f>
        <v/>
      </c>
      <c r="W41" s="129">
        <f>IF(R41="NE","NE",MAX(V41,FINAL!S41))</f>
        <v>0</v>
      </c>
      <c r="X41" s="130" t="str">
        <f>FINAL!S41</f>
        <v/>
      </c>
      <c r="Y41" s="133" t="str">
        <f>FINAL!U41</f>
        <v/>
      </c>
      <c r="Z41" s="127" t="str">
        <f>FINAL!V41</f>
        <v/>
      </c>
      <c r="AA41" s="127" t="str">
        <f>IF(A41="REP",FINAL!U41,)</f>
        <v/>
      </c>
      <c r="AB41" s="127" t="str">
        <f>IF(A41="REP",FINAL!V41,)</f>
        <v/>
      </c>
      <c r="AC41" s="127">
        <f t="shared" si="4"/>
        <v>0</v>
      </c>
    </row>
    <row r="42" ht="15.75" customHeight="1">
      <c r="A42" s="135" t="s">
        <v>55</v>
      </c>
      <c r="B42" s="134">
        <v>33.0</v>
      </c>
      <c r="C42" s="136"/>
      <c r="D42" s="127" t="str">
        <f>IF(FINAL!O42="NE","NE",'EVALUACIÓN'!D42)</f>
        <v/>
      </c>
      <c r="E42" s="128" t="str">
        <f>IF(FINAL!O42="NE","NE",'EVALUACIÓN'!N42)</f>
        <v>#DIV/0!</v>
      </c>
      <c r="F42" s="128" t="str">
        <f>IF(FINAL!O42="NE","NE",'EVALUACIÓN'!P42)</f>
        <v/>
      </c>
      <c r="G42" s="128" t="str">
        <f t="shared" si="1"/>
        <v>#DIV/0!</v>
      </c>
      <c r="H42" s="127" t="str">
        <f>FINAL!P42</f>
        <v/>
      </c>
      <c r="I42" s="129">
        <f>IF(D42="NE","NE",MAX(H42,FINAL!O42))</f>
        <v>0</v>
      </c>
      <c r="J42" s="130" t="str">
        <f>FINAL!O42</f>
        <v/>
      </c>
      <c r="K42" s="131" t="str">
        <f>IF(FINAL!Q42="NE","NE",'EVALUACIÓN'!R42)</f>
        <v/>
      </c>
      <c r="L42" s="128" t="str">
        <f>IF(FINAL!Q42="NE","NE",'EVALUACIÓN'!Z42)</f>
        <v>#DIV/0!</v>
      </c>
      <c r="M42" s="132" t="str">
        <f>IF(FINAL!Q42="NE","NE",'EVALUACIÓN'!AB42)</f>
        <v/>
      </c>
      <c r="N42" s="128" t="str">
        <f t="shared" si="2"/>
        <v>#DIV/0!</v>
      </c>
      <c r="O42" s="127" t="str">
        <f>FINAL!R42</f>
        <v/>
      </c>
      <c r="P42" s="129">
        <f>IF(K42="NE","NE",MAX(O42,FINAL!Q42))</f>
        <v>0</v>
      </c>
      <c r="Q42" s="130" t="str">
        <f>FINAL!Q42</f>
        <v/>
      </c>
      <c r="R42" s="131" t="str">
        <f>IF(FINAL!S42="NE","NE",'EVALUACIÓN'!AD42)</f>
        <v/>
      </c>
      <c r="S42" s="128" t="str">
        <f>IF(FINAL!S42="NE","NE",'EVALUACIÓN'!AL42)</f>
        <v>#DIV/0!</v>
      </c>
      <c r="T42" s="132" t="str">
        <f>IF(FINAL!S42="NE","NE",'EVALUACIÓN'!AN42)</f>
        <v/>
      </c>
      <c r="U42" s="128" t="str">
        <f t="shared" si="3"/>
        <v>#DIV/0!</v>
      </c>
      <c r="V42" s="127" t="str">
        <f>FINAL!T42</f>
        <v/>
      </c>
      <c r="W42" s="129">
        <f>IF(R42="NE","NE",MAX(V42,FINAL!S42))</f>
        <v>0</v>
      </c>
      <c r="X42" s="130" t="str">
        <f>FINAL!S42</f>
        <v/>
      </c>
      <c r="Y42" s="133" t="str">
        <f>FINAL!U42</f>
        <v/>
      </c>
      <c r="Z42" s="127" t="str">
        <f>FINAL!V42</f>
        <v/>
      </c>
      <c r="AA42" s="127" t="str">
        <f>IF(A42="REP",FINAL!U42,)</f>
        <v/>
      </c>
      <c r="AB42" s="127" t="str">
        <f>IF(A42="REP",FINAL!V42,)</f>
        <v/>
      </c>
      <c r="AC42" s="127">
        <f t="shared" si="4"/>
        <v>0</v>
      </c>
    </row>
    <row r="43" ht="15.75" customHeight="1">
      <c r="A43" s="135" t="s">
        <v>55</v>
      </c>
      <c r="B43" s="134">
        <v>34.0</v>
      </c>
      <c r="C43" s="136"/>
      <c r="D43" s="127" t="str">
        <f>IF(FINAL!O43="NE","NE",'EVALUACIÓN'!D43)</f>
        <v/>
      </c>
      <c r="E43" s="128" t="str">
        <f>IF(FINAL!O43="NE","NE",'EVALUACIÓN'!N43)</f>
        <v>#DIV/0!</v>
      </c>
      <c r="F43" s="128" t="str">
        <f>IF(FINAL!O43="NE","NE",'EVALUACIÓN'!P43)</f>
        <v/>
      </c>
      <c r="G43" s="128" t="str">
        <f t="shared" si="1"/>
        <v>#DIV/0!</v>
      </c>
      <c r="H43" s="127" t="str">
        <f>FINAL!P43</f>
        <v/>
      </c>
      <c r="I43" s="129">
        <f>IF(D43="NE","NE",MAX(H43,FINAL!O43))</f>
        <v>0</v>
      </c>
      <c r="J43" s="130" t="str">
        <f>FINAL!O43</f>
        <v/>
      </c>
      <c r="K43" s="131" t="str">
        <f>IF(FINAL!Q43="NE","NE",'EVALUACIÓN'!R43)</f>
        <v/>
      </c>
      <c r="L43" s="128" t="str">
        <f>IF(FINAL!Q43="NE","NE",'EVALUACIÓN'!Z43)</f>
        <v>#DIV/0!</v>
      </c>
      <c r="M43" s="132" t="str">
        <f>IF(FINAL!Q43="NE","NE",'EVALUACIÓN'!AB43)</f>
        <v/>
      </c>
      <c r="N43" s="128" t="str">
        <f t="shared" si="2"/>
        <v>#DIV/0!</v>
      </c>
      <c r="O43" s="127" t="str">
        <f>FINAL!R43</f>
        <v/>
      </c>
      <c r="P43" s="129">
        <f>IF(K43="NE","NE",MAX(O43,FINAL!Q43))</f>
        <v>0</v>
      </c>
      <c r="Q43" s="130" t="str">
        <f>FINAL!Q43</f>
        <v/>
      </c>
      <c r="R43" s="131" t="str">
        <f>IF(FINAL!S43="NE","NE",'EVALUACIÓN'!AD43)</f>
        <v/>
      </c>
      <c r="S43" s="128" t="str">
        <f>IF(FINAL!S43="NE","NE",'EVALUACIÓN'!AL43)</f>
        <v>#DIV/0!</v>
      </c>
      <c r="T43" s="132" t="str">
        <f>IF(FINAL!S43="NE","NE",'EVALUACIÓN'!AN43)</f>
        <v/>
      </c>
      <c r="U43" s="128" t="str">
        <f t="shared" si="3"/>
        <v>#DIV/0!</v>
      </c>
      <c r="V43" s="127" t="str">
        <f>FINAL!T43</f>
        <v/>
      </c>
      <c r="W43" s="129">
        <f>IF(R43="NE","NE",MAX(V43,FINAL!S43))</f>
        <v>0</v>
      </c>
      <c r="X43" s="130" t="str">
        <f>FINAL!S43</f>
        <v/>
      </c>
      <c r="Y43" s="133" t="str">
        <f>FINAL!U43</f>
        <v/>
      </c>
      <c r="Z43" s="127" t="str">
        <f>FINAL!V43</f>
        <v/>
      </c>
      <c r="AA43" s="127" t="str">
        <f>IF(A43="REP",FINAL!U43,)</f>
        <v/>
      </c>
      <c r="AB43" s="127" t="str">
        <f>IF(A43="REP",FINAL!V43,)</f>
        <v/>
      </c>
      <c r="AC43" s="127">
        <f t="shared" si="4"/>
        <v>0</v>
      </c>
    </row>
    <row r="44" ht="15.75" customHeight="1">
      <c r="A44" s="137" t="s">
        <v>55</v>
      </c>
      <c r="B44" s="134">
        <v>35.0</v>
      </c>
      <c r="C44" s="136"/>
      <c r="D44" s="127" t="str">
        <f>IF(FINAL!O44="NE","NE",'EVALUACIÓN'!D44)</f>
        <v/>
      </c>
      <c r="E44" s="128" t="str">
        <f>IF(FINAL!O44="NE","NE",'EVALUACIÓN'!N44)</f>
        <v>#DIV/0!</v>
      </c>
      <c r="F44" s="128" t="str">
        <f>IF(FINAL!O44="NE","NE",'EVALUACIÓN'!P44)</f>
        <v/>
      </c>
      <c r="G44" s="128" t="str">
        <f t="shared" si="1"/>
        <v>#DIV/0!</v>
      </c>
      <c r="H44" s="127" t="str">
        <f>FINAL!P44</f>
        <v/>
      </c>
      <c r="I44" s="129">
        <f>IF(D44="NE","NE",MAX(H44,FINAL!O44))</f>
        <v>0</v>
      </c>
      <c r="J44" s="130" t="str">
        <f>FINAL!O44</f>
        <v/>
      </c>
      <c r="K44" s="131" t="str">
        <f>IF(FINAL!Q44="NE","NE",'EVALUACIÓN'!R44)</f>
        <v/>
      </c>
      <c r="L44" s="128" t="str">
        <f>IF(FINAL!Q44="NE","NE",'EVALUACIÓN'!Z44)</f>
        <v>#DIV/0!</v>
      </c>
      <c r="M44" s="132" t="str">
        <f>IF(FINAL!Q44="NE","NE",'EVALUACIÓN'!AB44)</f>
        <v/>
      </c>
      <c r="N44" s="128" t="str">
        <f t="shared" si="2"/>
        <v>#DIV/0!</v>
      </c>
      <c r="O44" s="127" t="str">
        <f>FINAL!R44</f>
        <v/>
      </c>
      <c r="P44" s="129">
        <f>IF(K44="NE","NE",MAX(O44,FINAL!Q44))</f>
        <v>0</v>
      </c>
      <c r="Q44" s="130" t="str">
        <f>FINAL!Q44</f>
        <v/>
      </c>
      <c r="R44" s="131" t="str">
        <f>IF(FINAL!S44="NE","NE",'EVALUACIÓN'!AD44)</f>
        <v/>
      </c>
      <c r="S44" s="128" t="str">
        <f>IF(FINAL!S44="NE","NE",'EVALUACIÓN'!AL44)</f>
        <v>#DIV/0!</v>
      </c>
      <c r="T44" s="132" t="str">
        <f>IF(FINAL!S44="NE","NE",'EVALUACIÓN'!AN44)</f>
        <v/>
      </c>
      <c r="U44" s="128" t="str">
        <f t="shared" si="3"/>
        <v>#DIV/0!</v>
      </c>
      <c r="V44" s="127" t="str">
        <f>FINAL!T44</f>
        <v/>
      </c>
      <c r="W44" s="129">
        <f>IF(R44="NE","NE",MAX(V44,FINAL!S44))</f>
        <v>0</v>
      </c>
      <c r="X44" s="130" t="str">
        <f>FINAL!S44</f>
        <v/>
      </c>
      <c r="Y44" s="133" t="str">
        <f>FINAL!U44</f>
        <v/>
      </c>
      <c r="Z44" s="127" t="str">
        <f>FINAL!V44</f>
        <v/>
      </c>
      <c r="AA44" s="127" t="str">
        <f>IF(A44="REP",FINAL!U44,)</f>
        <v/>
      </c>
      <c r="AB44" s="127" t="str">
        <f>IF(A44="REP",FINAL!V44,)</f>
        <v/>
      </c>
      <c r="AC44" s="127">
        <f t="shared" si="4"/>
        <v>0</v>
      </c>
    </row>
    <row r="45" ht="16.5" hidden="1" customHeight="1">
      <c r="A45" s="138" t="s">
        <v>56</v>
      </c>
      <c r="B45" s="139"/>
      <c r="C45" s="140" t="s">
        <v>57</v>
      </c>
      <c r="D45" s="141">
        <f>IFERROR(__xludf.DUMMYFUNCTION("+(COUNTIF(D10:D44,""&lt;5""))/COUNTA(D10:D44)"),0.06896551724137931)</f>
        <v>0.06896551724</v>
      </c>
      <c r="E45" s="142">
        <f>IFERROR(__xludf.DUMMYFUNCTION("+(COUNTIF(E10:E44,""&lt;5""))/COUNTA(E10:E44)"),0.0)</f>
        <v>0</v>
      </c>
      <c r="F45" s="142">
        <f>IFERROR(__xludf.DUMMYFUNCTION("+(COUNTIF(F10:F44,""&lt;5""))/COUNTA(F10:F44)"),0.06896551724137931)</f>
        <v>0.06896551724</v>
      </c>
      <c r="G45" s="142">
        <f>IFERROR(__xludf.DUMMYFUNCTION("+(COUNTIF(G10:G44,""&lt;5""))/COUNTA(G10:G44)"),0.0)</f>
        <v>0</v>
      </c>
      <c r="H45" s="142" t="str">
        <f>IFERROR(__xludf.DUMMYFUNCTION("+(COUNTIF(H10:H44,""&lt;5""))/COUNTA(H10:H44)"),"#DIV/0!")</f>
        <v>#DIV/0!</v>
      </c>
      <c r="I45" s="143">
        <f>IFERROR(__xludf.DUMMYFUNCTION("+(COUNTIF(I10:I44,""&lt;5""))/COUNTA(I10:I44)"),0.17142857142857143)</f>
        <v>0.1714285714</v>
      </c>
      <c r="J45" s="144"/>
      <c r="K45" s="145">
        <f>IFERROR(__xludf.DUMMYFUNCTION("+(COUNTIF(K10:K44,""&lt;5""))/COUNTA(K10:K44)"),0.034482758620689655)</f>
        <v>0.03448275862</v>
      </c>
      <c r="L45" s="146">
        <f>IFERROR(__xludf.DUMMYFUNCTION("+(COUNTIF(L10:L44,""&lt;5""))/COUNTA(L10:L44)"),0.05714285714285714)</f>
        <v>0.05714285714</v>
      </c>
      <c r="M45" s="146">
        <f>IFERROR(__xludf.DUMMYFUNCTION("+(COUNTIF(M10:M44,""&lt;5""))/COUNTA(M10:M44)"),0.2413793103448276)</f>
        <v>0.2413793103</v>
      </c>
      <c r="N45" s="146">
        <f>IFERROR(__xludf.DUMMYFUNCTION("+(COUNTIF(N10:N44,""&lt;5""))/COUNTA(N10:N44)"),0.02857142857142857)</f>
        <v>0.02857142857</v>
      </c>
      <c r="O45" s="146">
        <f>IFERROR(__xludf.DUMMYFUNCTION("+(COUNTIF(O10:O44,""&lt;5""))/COUNTA(O10:O44)"),1.0)</f>
        <v>1</v>
      </c>
      <c r="P45" s="147">
        <f>IFERROR(__xludf.DUMMYFUNCTION("+(COUNTIF(P10:P44,""&lt;5""))/COUNTA(P10:P44)"),0.2)</f>
        <v>0.2</v>
      </c>
      <c r="Q45" s="148"/>
      <c r="R45" s="149">
        <f>'EVALUACIÓN'!AF45</f>
        <v>0.02857142857</v>
      </c>
      <c r="S45" s="150">
        <f>IFERROR(__xludf.DUMMYFUNCTION("+(COUNTIF(S10:S44,""&lt;5""))/COUNTA(S10:S44)"),0.02857142857142857)</f>
        <v>0.02857142857</v>
      </c>
      <c r="T45" s="150">
        <f>IFERROR(__xludf.DUMMYFUNCTION("+(COUNTIF(T10:T44,""&lt;5""))/COUNTA(T10:T44)"),0.034482758620689655)</f>
        <v>0.03448275862</v>
      </c>
      <c r="U45" s="150">
        <f>IFERROR(__xludf.DUMMYFUNCTION("+(COUNTIF(U10:U44,""&lt;5""))/COUNTA(U10:U44)"),0.02857142857142857)</f>
        <v>0.02857142857</v>
      </c>
      <c r="V45" s="150">
        <f>IFERROR(__xludf.DUMMYFUNCTION("+(COUNTIF(V10:V44,""&lt;5""))/COUNTA(V10:V44)"),1.0)</f>
        <v>1</v>
      </c>
      <c r="W45" s="151">
        <f>IFERROR(__xludf.DUMMYFUNCTION("+(COUNTIF(W10:W44,""&lt;5""))/COUNTA(W10:W44)"),0.2)</f>
        <v>0.2</v>
      </c>
      <c r="X45" s="144"/>
      <c r="Y45" s="152">
        <f>IFERROR(__xludf.DUMMYFUNCTION("+(COUNTIF(Y10:Y44,""&lt;5""))/COUNTA(Y10:Y44)"),0.034482758620689655)</f>
        <v>0.03448275862</v>
      </c>
      <c r="Z45" s="153">
        <f>IFERROR(__xludf.DUMMYFUNCTION("+(COUNTIF(Z10:Z44,""&lt;5""))/COUNTA(Z10:Z44)"),1.0)</f>
        <v>1</v>
      </c>
      <c r="AA45" s="153" t="str">
        <f>IFERROR(__xludf.DUMMYFUNCTION("+(COUNTIF(AA10:AA44,""&lt;5""))/COUNTA(AA10:AA44)"),"#DIV/0!")</f>
        <v>#DIV/0!</v>
      </c>
      <c r="AB45" s="153" t="str">
        <f>IFERROR(__xludf.DUMMYFUNCTION("+(COUNTIF(AB10:AB44,""&lt;5""))/COUNTA(AB10:AB44)"),"#DIV/0!")</f>
        <v>#DIV/0!</v>
      </c>
      <c r="AC45" s="154">
        <f>IFERROR(__xludf.DUMMYFUNCTION("+(COUNTIF(AC10:AC44,""&lt;5""))/COUNTA(AC10:AC44)"),0.2)</f>
        <v>0.2</v>
      </c>
    </row>
    <row r="46" ht="15.75" hidden="1" customHeight="1">
      <c r="A46" s="155"/>
      <c r="B46" s="139"/>
      <c r="C46" s="156" t="s">
        <v>58</v>
      </c>
      <c r="D46" s="146">
        <f>IFERROR(__xludf.DUMMYFUNCTION("+(COUNTIFS(D$10:D$44,""&gt;4,99"",D$10:D$44,""&lt;7""))/COUNTA(D$10:D$44)"),0.5517241379310345)</f>
        <v>0.5517241379</v>
      </c>
      <c r="E46" s="157">
        <f>IFERROR(__xludf.DUMMYFUNCTION("+(COUNTIFS(E$10:E$44,""&gt;4,99"",E$10:E$44,""&lt;7""))/COUNTA(E$10:E$44)"),0.11428571428571428)</f>
        <v>0.1142857143</v>
      </c>
      <c r="F46" s="157">
        <f>IFERROR(__xludf.DUMMYFUNCTION("+(COUNTIFS(F$10:F$44,""&gt;4,99"",F$10:F$44,""&lt;7""))/COUNTA(F$10:F$44)"),0.5172413793103449)</f>
        <v>0.5172413793</v>
      </c>
      <c r="G46" s="157">
        <f>IFERROR(__xludf.DUMMYFUNCTION("+(COUNTIFS(G$10:G$44,""&gt;4,99"",G$10:G$44,""&lt;7""))/COUNTA(G$10:G$44)"),0.3142857142857143)</f>
        <v>0.3142857143</v>
      </c>
      <c r="H46" s="157" t="str">
        <f>IFERROR(__xludf.DUMMYFUNCTION("+(COUNTIFS(H$10:H$44,""&gt;4,99"",H$10:H$44,""&lt;7""))/COUNTA(H$10:H$44)"),"#DIV/0!")</f>
        <v>#DIV/0!</v>
      </c>
      <c r="I46" s="158">
        <f>IFERROR(__xludf.DUMMYFUNCTION("+(COUNTIFS(I$10:I$44,""&gt;4,99"",I$10:I$44,""&lt;7""))/COUNTA(I$10:I$44)"),0.17142857142857143)</f>
        <v>0.1714285714</v>
      </c>
      <c r="J46" s="159"/>
      <c r="K46" s="145">
        <f>IFERROR(__xludf.DUMMYFUNCTION("+(COUNTIFS(K$10:K$44,""&gt;4,99"",K$10:K$44,""&lt;7""))/COUNTA(K$10:K$44)"),0.06896551724137931)</f>
        <v>0.06896551724</v>
      </c>
      <c r="L46" s="146">
        <f>IFERROR(__xludf.DUMMYFUNCTION("+(COUNTIFS(L$10:L$44,""&gt;4,99"",L$10:L$44,""&lt;7""))/COUNTA(L$10:L$44)"),0.4857142857142857)</f>
        <v>0.4857142857</v>
      </c>
      <c r="M46" s="146">
        <f>IFERROR(__xludf.DUMMYFUNCTION("+(COUNTIFS(M$10:M$44,""&gt;4,99"",M$10:M$44,""&lt;7""))/COUNTA(M$10:M$44)"),0.4482758620689655)</f>
        <v>0.4482758621</v>
      </c>
      <c r="N46" s="146">
        <f>IFERROR(__xludf.DUMMYFUNCTION("+(COUNTIFS(N$10:N$44,""&gt;4,99"",N$10:N$44,""&lt;7""))/COUNTA(N$10:N$44)"),0.34285714285714286)</f>
        <v>0.3428571429</v>
      </c>
      <c r="O46" s="146">
        <f>IFERROR(__xludf.DUMMYFUNCTION("+(COUNTIFS(O$10:O$44,""&gt;4,99"",O$10:O$44,""&lt;7""))/COUNTA(O$10:O$44)"),0.0)</f>
        <v>0</v>
      </c>
      <c r="P46" s="147">
        <f>IFERROR(__xludf.DUMMYFUNCTION("+(COUNTIFS(P$10:P$44,""&gt;4,99"",P$10:P$44,""&lt;7""))/COUNTA(P$10:P$44)"),0.22857142857142856)</f>
        <v>0.2285714286</v>
      </c>
      <c r="Q46" s="159"/>
      <c r="R46" s="160">
        <f>IFERROR(__xludf.DUMMYFUNCTION("+(COUNTIFS(R$10:R$44,""&gt;4,99"",R$10:R$44,""&lt;7""))/COUNTA(R$10:R$44)"),0.41379310344827586)</f>
        <v>0.4137931034</v>
      </c>
      <c r="S46" s="161">
        <f>IFERROR(__xludf.DUMMYFUNCTION("+(COUNTIFS(S$10:S$44,""&gt;4,99"",S$10:S$44,""&lt;7""))/COUNTA(S$10:S$44)"),0.14285714285714285)</f>
        <v>0.1428571429</v>
      </c>
      <c r="T46" s="161">
        <f>IFERROR(__xludf.DUMMYFUNCTION("+(COUNTIFS(T$10:T$44,""&gt;4,99"",T$10:T$44,""&lt;7""))/COUNTA(T$10:T$44)"),0.13793103448275862)</f>
        <v>0.1379310345</v>
      </c>
      <c r="U46" s="161">
        <f>IFERROR(__xludf.DUMMYFUNCTION("+(COUNTIFS(U$10:U$44,""&gt;4,99"",U$10:U$44,""&lt;7""))/COUNTA(U$10:U$44)"),0.14285714285714285)</f>
        <v>0.1428571429</v>
      </c>
      <c r="V46" s="161">
        <f>IFERROR(__xludf.DUMMYFUNCTION("+(COUNTIFS(V$10:V$44,""&gt;4,99"",V$10:V$44,""&lt;7""))/COUNTA(V$10:V$44)"),0.0)</f>
        <v>0</v>
      </c>
      <c r="W46" s="147">
        <f>IFERROR(__xludf.DUMMYFUNCTION("+(COUNTIFS(W$10:W$44,""&gt;4,99"",W$10:W$44,""&lt;7""))/COUNTA(W$10:W$44)"),0.08571428571428572)</f>
        <v>0.08571428571</v>
      </c>
      <c r="X46" s="159"/>
      <c r="Y46" s="162">
        <f>IFERROR(__xludf.DUMMYFUNCTION("+(COUNTIFS(Y$10:Y$44,""&gt;4,99"",Y$10:Y$44,""&lt;7""))/COUNTA(Y$10:Y$44)"),0.10344827586206896)</f>
        <v>0.1034482759</v>
      </c>
      <c r="Z46" s="161">
        <f>IFERROR(__xludf.DUMMYFUNCTION("+(COUNTIFS(Z$10:Z$44,""&gt;4,99"",Z$10:Z$44,""&lt;7""))/COUNTA(Z$10:Z$44)"),0.0)</f>
        <v>0</v>
      </c>
      <c r="AA46" s="161" t="str">
        <f>IFERROR(__xludf.DUMMYFUNCTION("+(COUNTIFS(AA$10:AA$44,""&gt;4,99"",AA$10:AA$44,""&lt;7""))/COUNTA(AA$10:AA$44)"),"#DIV/0!")</f>
        <v>#DIV/0!</v>
      </c>
      <c r="AB46" s="161" t="str">
        <f>IFERROR(__xludf.DUMMYFUNCTION("+(COUNTIFS(AB$10:AB$44,""&gt;4,99"",AB$10:AB$44,""&lt;7""))/COUNTA(AB$10:AB$44)"),"#DIV/0!")</f>
        <v>#DIV/0!</v>
      </c>
      <c r="AC46" s="146">
        <f>IFERROR(__xludf.DUMMYFUNCTION("+(COUNTIFS(AC$10:AC$44,""&gt;4,99"",AC$10:AC$44,""&lt;7""))/COUNTA(AC$10:AC$44)"),0.08571428571428572)</f>
        <v>0.08571428571</v>
      </c>
    </row>
    <row r="47" ht="15.75" hidden="1" customHeight="1">
      <c r="A47" s="155"/>
      <c r="B47" s="139"/>
      <c r="C47" s="156" t="s">
        <v>59</v>
      </c>
      <c r="D47" s="146">
        <f>IFERROR(__xludf.DUMMYFUNCTION("+(COUNTIFS(D$10:D$44,""&gt;=7"",D$10:D$44,""&lt;8""))/COUNTA(D$10:D$44)"),0.3448275862068966)</f>
        <v>0.3448275862</v>
      </c>
      <c r="E47" s="157">
        <f>IFERROR(__xludf.DUMMYFUNCTION("+(COUNTIFS(E$10:E$44,""&gt;=7"",E$10:E$44,""&lt;8""))/COUNTA(E$10:E$44)"),0.4)</f>
        <v>0.4</v>
      </c>
      <c r="F47" s="157">
        <f>IFERROR(__xludf.DUMMYFUNCTION("+(COUNTIFS(F$10:F$44,""&gt;=7"",F$10:F$44,""&lt;8""))/COUNTA(F$10:F$44)"),0.0)</f>
        <v>0</v>
      </c>
      <c r="G47" s="157">
        <f>IFERROR(__xludf.DUMMYFUNCTION("+(COUNTIFS(G$10:G$44,""&gt;=7"",G$10:G$44,""&lt;8""))/COUNTA(G$10:G$44)"),0.34285714285714286)</f>
        <v>0.3428571429</v>
      </c>
      <c r="H47" s="157" t="str">
        <f>IFERROR(__xludf.DUMMYFUNCTION("+(COUNTIFS(H$10:H$44,""&gt;=7"",H$10:H$44,""&lt;8""))/COUNTA(H$10:H$44)"),"#DIV/0!")</f>
        <v>#DIV/0!</v>
      </c>
      <c r="I47" s="158">
        <f>IFERROR(__xludf.DUMMYFUNCTION("+(COUNTIFS(I$10:I$44,""&gt;=7"",I$10:I$44,""&lt;8""))/COUNTA(I$10:I$44)"),0.2857142857142857)</f>
        <v>0.2857142857</v>
      </c>
      <c r="J47" s="159"/>
      <c r="K47" s="145">
        <f>IFERROR(__xludf.DUMMYFUNCTION("+(COUNTIFS(K$10:K$44,""&gt;=7"",K$10:K$44,""&lt;8""))/COUNTA(K$10:K$44)"),0.10344827586206896)</f>
        <v>0.1034482759</v>
      </c>
      <c r="L47" s="146">
        <f>IFERROR(__xludf.DUMMYFUNCTION("+(COUNTIFS(L$10:L$44,""&gt;=7"",L$10:L$44,""&lt;8""))/COUNTA(L$10:L$44)"),0.11428571428571428)</f>
        <v>0.1142857143</v>
      </c>
      <c r="M47" s="146">
        <f>IFERROR(__xludf.DUMMYFUNCTION("+(COUNTIFS(M$10:M$44,""&gt;=7"",M$10:M$44,""&lt;8""))/COUNTA(M$10:M$44)"),0.0)</f>
        <v>0</v>
      </c>
      <c r="N47" s="146">
        <f>IFERROR(__xludf.DUMMYFUNCTION("+(COUNTIFS(N$10:N$44,""&gt;=7"",N$10:N$44,""&lt;8""))/COUNTA(N$10:N$44)"),0.2571428571428571)</f>
        <v>0.2571428571</v>
      </c>
      <c r="O47" s="146">
        <f>IFERROR(__xludf.DUMMYFUNCTION("+(COUNTIFS(O$10:O$44,""&gt;=7"",O$10:O$44,""&lt;8""))/COUNTA(O$10:O$44)"),0.0)</f>
        <v>0</v>
      </c>
      <c r="P47" s="147">
        <f>IFERROR(__xludf.DUMMYFUNCTION("+(COUNTIFS(P$10:P$44,""&gt;=7"",P$10:P$44,""&lt;8""))/COUNTA(P$10:P$44)"),0.2)</f>
        <v>0.2</v>
      </c>
      <c r="Q47" s="159"/>
      <c r="R47" s="160">
        <f>IFERROR(__xludf.DUMMYFUNCTION("+(COUNTIFS(R$10:R$44,""&gt;=7"",R$10:R$44,""&lt;8""))/COUNTA(R$10:R$44)"),0.13793103448275862)</f>
        <v>0.1379310345</v>
      </c>
      <c r="S47" s="161">
        <f>IFERROR(__xludf.DUMMYFUNCTION("+(COUNTIFS(S$10:S$44,""&gt;=7"",S$10:S$44,""&lt;8""))/COUNTA(S$10:S$44)"),0.22857142857142856)</f>
        <v>0.2285714286</v>
      </c>
      <c r="T47" s="161">
        <f>IFERROR(__xludf.DUMMYFUNCTION("+(COUNTIFS(T$10:T$44,""&gt;=7"",T$10:T$44,""&lt;8""))/COUNTA(T$10:T$44)"),0.0)</f>
        <v>0</v>
      </c>
      <c r="U47" s="161">
        <f>IFERROR(__xludf.DUMMYFUNCTION("+(COUNTIFS(U$10:U$44,""&gt;=7"",U$10:U$44,""&lt;8""))/COUNTA(U$10:U$44)"),0.37142857142857144)</f>
        <v>0.3714285714</v>
      </c>
      <c r="V47" s="161">
        <f>IFERROR(__xludf.DUMMYFUNCTION("+(COUNTIFS(V$10:V$44,""&gt;=7"",V$10:V$44,""&lt;8""))/COUNTA(V$10:V$44)"),0.0)</f>
        <v>0</v>
      </c>
      <c r="W47" s="147">
        <f>IFERROR(__xludf.DUMMYFUNCTION("+(COUNTIFS(W$10:W$44,""&gt;=7"",W$10:W$44,""&lt;8""))/COUNTA(W$10:W$44)"),0.17142857142857143)</f>
        <v>0.1714285714</v>
      </c>
      <c r="X47" s="159"/>
      <c r="Y47" s="162">
        <f>IFERROR(__xludf.DUMMYFUNCTION("+(COUNTIFS(Y$10:Y$44,""&gt;=7"",Y$10:Y$44,""&lt;8""))/COUNTA(Y$10:Y$44)"),0.4482758620689655)</f>
        <v>0.4482758621</v>
      </c>
      <c r="Z47" s="161">
        <f>IFERROR(__xludf.DUMMYFUNCTION("+(COUNTIFS(Z$10:Z$44,""&gt;=7"",Z$10:Z$44,""&lt;8""))/COUNTA(Z$10:Z$44)"),0.0)</f>
        <v>0</v>
      </c>
      <c r="AA47" s="161" t="str">
        <f>IFERROR(__xludf.DUMMYFUNCTION("+(COUNTIFS(AA$10:AA$44,""&gt;=7"",AA$10:AA$44,""&lt;8""))/COUNTA(AA$10:AA$44)"),"#DIV/0!")</f>
        <v>#DIV/0!</v>
      </c>
      <c r="AB47" s="161" t="str">
        <f>IFERROR(__xludf.DUMMYFUNCTION("+(COUNTIFS(AB$10:AB$44,""&gt;=7"",AB$10:AB$44,""&lt;8""))/COUNTA(AB$10:AB$44)"),"#DIV/0!")</f>
        <v>#DIV/0!</v>
      </c>
      <c r="AC47" s="146">
        <f>IFERROR(__xludf.DUMMYFUNCTION("+(COUNTIFS(AC$10:AC$44,""&gt;=7"",AC$10:AC$44,""&lt;8""))/COUNTA(AC$10:AC$44)"),0.37142857142857144)</f>
        <v>0.3714285714</v>
      </c>
    </row>
    <row r="48" ht="15.75" hidden="1" customHeight="1">
      <c r="A48" s="155"/>
      <c r="B48" s="139"/>
      <c r="C48" s="156" t="s">
        <v>60</v>
      </c>
      <c r="D48" s="146">
        <f>IFERROR(__xludf.DUMMYFUNCTION("+(COUNTIFS(D$10:D$44,""&gt;=8"",D$10:D$44,""&lt;9""))/COUNTA(D$10:D$44)"),0.034482758620689655)</f>
        <v>0.03448275862</v>
      </c>
      <c r="E48" s="157">
        <f>IFERROR(__xludf.DUMMYFUNCTION("+(COUNTIFS(E$10:E$44,""&gt;=8"",E$10:E$44,""&lt;9""))/COUNTA(E$10:E$44)"),0.2857142857142857)</f>
        <v>0.2857142857</v>
      </c>
      <c r="F48" s="157">
        <f>IFERROR(__xludf.DUMMYFUNCTION("+(COUNTIFS(F$10:F$44,""&gt;=8"",F$10:F$44,""&lt;9""))/COUNTA(F$10:F$44)"),0.10344827586206896)</f>
        <v>0.1034482759</v>
      </c>
      <c r="G48" s="157">
        <f>IFERROR(__xludf.DUMMYFUNCTION("+(COUNTIFS(G$10:G$44,""&gt;=8"",G$10:G$44,""&lt;9""))/COUNTA(G$10:G$44)"),0.17142857142857143)</f>
        <v>0.1714285714</v>
      </c>
      <c r="H48" s="157" t="str">
        <f>IFERROR(__xludf.DUMMYFUNCTION("+(COUNTIFS(H$10:H$44,""&gt;=8"",H$10:H$44,""&lt;9""))/COUNTA(H$10:H$44)"),"#DIV/0!")</f>
        <v>#DIV/0!</v>
      </c>
      <c r="I48" s="158">
        <f>IFERROR(__xludf.DUMMYFUNCTION("+(COUNTIFS(I$10:I$44,""&gt;=8"",I$10:I$44,""&lt;9""))/COUNTA(I$10:I$44)"),0.3142857142857143)</f>
        <v>0.3142857143</v>
      </c>
      <c r="J48" s="159"/>
      <c r="K48" s="145">
        <f>IFERROR(__xludf.DUMMYFUNCTION("+(COUNTIFS(K$10:K$44,""&gt;=8"",K$10:K$44,""&lt;9""))/COUNTA(K$10:K$44)"),0.20689655172413793)</f>
        <v>0.2068965517</v>
      </c>
      <c r="L48" s="146">
        <f>IFERROR(__xludf.DUMMYFUNCTION("+(COUNTIFS(L$10:L$44,""&gt;=8"",L$10:L$44,""&lt;9""))/COUNTA(L$10:L$44)"),0.08571428571428572)</f>
        <v>0.08571428571</v>
      </c>
      <c r="M48" s="146">
        <f>IFERROR(__xludf.DUMMYFUNCTION("+(COUNTIFS(M$10:M$44,""&gt;=8"",M$10:M$44,""&lt;9""))/COUNTA(M$10:M$44)"),0.0)</f>
        <v>0</v>
      </c>
      <c r="N48" s="146">
        <f>IFERROR(__xludf.DUMMYFUNCTION("+(COUNTIFS(N$10:N$44,""&gt;=8"",N$10:N$44,""&lt;9""))/COUNTA(N$10:N$44)"),0.17142857142857143)</f>
        <v>0.1714285714</v>
      </c>
      <c r="O48" s="146">
        <f>IFERROR(__xludf.DUMMYFUNCTION("+(COUNTIFS(O$10:O$44,""&gt;=8"",O$10:O$44,""&lt;9""))/COUNTA(O$10:O$44)"),0.0)</f>
        <v>0</v>
      </c>
      <c r="P48" s="147">
        <f>IFERROR(__xludf.DUMMYFUNCTION("+(COUNTIFS(P$10:P$44,""&gt;=8"",P$10:P$44,""&lt;9""))/COUNTA(P$10:P$44)"),0.17142857142857143)</f>
        <v>0.1714285714</v>
      </c>
      <c r="Q48" s="159"/>
      <c r="R48" s="160">
        <f>IFERROR(__xludf.DUMMYFUNCTION("+(COUNTIFS(R$10:R$44,""&gt;=8"",R$10:R$44,""&lt;9""))/COUNTA(R$10:R$44)"),0.27586206896551724)</f>
        <v>0.275862069</v>
      </c>
      <c r="S48" s="161">
        <f>IFERROR(__xludf.DUMMYFUNCTION("+(COUNTIFS(S$10:S$44,""&gt;=8"",S$10:S$44,""&lt;9""))/COUNTA(S$10:S$44)"),0.3142857142857143)</f>
        <v>0.3142857143</v>
      </c>
      <c r="T48" s="161">
        <f>IFERROR(__xludf.DUMMYFUNCTION("+(COUNTIFS(T$10:T$44,""&gt;=8"",T$10:T$44,""&lt;9""))/COUNTA(T$10:T$44)"),0.0)</f>
        <v>0</v>
      </c>
      <c r="U48" s="161">
        <f>IFERROR(__xludf.DUMMYFUNCTION("+(COUNTIFS(U$10:U$44,""&gt;=8"",U$10:U$44,""&lt;9""))/COUNTA(U$10:U$44)"),0.2)</f>
        <v>0.2</v>
      </c>
      <c r="V48" s="161">
        <f>IFERROR(__xludf.DUMMYFUNCTION("+(COUNTIFS(V$10:V$44,""&gt;=8"",V$10:V$44,""&lt;9""))/COUNTA(V$10:V$44)"),0.0)</f>
        <v>0</v>
      </c>
      <c r="W48" s="147">
        <f>IFERROR(__xludf.DUMMYFUNCTION("+(COUNTIFS(W$10:W$44,""&gt;=8"",W$10:W$44,""&lt;9""))/COUNTA(W$10:W$44)"),0.3142857142857143)</f>
        <v>0.3142857143</v>
      </c>
      <c r="X48" s="159"/>
      <c r="Y48" s="162">
        <f>IFERROR(__xludf.DUMMYFUNCTION("+(COUNTIFS(Y$10:Y$44,""&gt;=8"",Y$10:Y$44,""&lt;9""))/COUNTA(Y$10:Y$44)"),0.2413793103448276)</f>
        <v>0.2413793103</v>
      </c>
      <c r="Z48" s="161">
        <f>IFERROR(__xludf.DUMMYFUNCTION("+(COUNTIFS(Z$10:Z$44,""&gt;=8"",Z$10:Z$44,""&lt;9""))/COUNTA(Z$10:Z$44)"),0.0)</f>
        <v>0</v>
      </c>
      <c r="AA48" s="161" t="str">
        <f>IFERROR(__xludf.DUMMYFUNCTION("+(COUNTIFS(AA$10:AA$44,""&gt;=8"",AA$10:AA$44,""&lt;9""))/COUNTA(AA$10:AA$44)"),"#DIV/0!")</f>
        <v>#DIV/0!</v>
      </c>
      <c r="AB48" s="161" t="str">
        <f>IFERROR(__xludf.DUMMYFUNCTION("+(COUNTIFS(AB$10:AB$44,""&gt;=8"",AB$10:AB$44,""&lt;9""))/COUNTA(AB$10:AB$44)"),"#DIV/0!")</f>
        <v>#DIV/0!</v>
      </c>
      <c r="AC48" s="146">
        <f>IFERROR(__xludf.DUMMYFUNCTION("+(COUNTIFS(AC$10:AC$44,""&gt;=8"",AC$10:AC$44,""&lt;9""))/COUNTA(AC$10:AC$44)"),0.2)</f>
        <v>0.2</v>
      </c>
    </row>
    <row r="49" ht="15.75" hidden="1" customHeight="1">
      <c r="A49" s="155"/>
      <c r="B49" s="139"/>
      <c r="C49" s="163" t="s">
        <v>61</v>
      </c>
      <c r="D49" s="164">
        <f>IFERROR(__xludf.DUMMYFUNCTION("+(COUNTIFS(D$10:D$44,""&gt;=9"",D$10:D$44,""&lt;=10""))/COUNTA(D$10:D$44)"),0.0)</f>
        <v>0</v>
      </c>
      <c r="E49" s="165">
        <f>IFERROR(__xludf.DUMMYFUNCTION("+(COUNTIFS(E$10:E$44,""&gt;=9"",E$10:E$44,""&lt;=10""))/COUNTA(E$10:E$44)"),0.02857142857142857)</f>
        <v>0.02857142857</v>
      </c>
      <c r="F49" s="165">
        <f>IFERROR(__xludf.DUMMYFUNCTION("+(COUNTIFS(F$10:F$44,""&gt;=9"",F$10:F$44,""&lt;=10""))/COUNTA(F$10:F$44)"),0.3103448275862069)</f>
        <v>0.3103448276</v>
      </c>
      <c r="G49" s="165">
        <f>IFERROR(__xludf.DUMMYFUNCTION("+(COUNTIFS(G$10:G$44,""&gt;=9"",G$10:G$44,""&lt;=10""))/COUNTA(G$10:G$44)"),0.0)</f>
        <v>0</v>
      </c>
      <c r="H49" s="165" t="str">
        <f>IFERROR(__xludf.DUMMYFUNCTION("+(COUNTIFS(H$10:H$44,""&gt;=9"",H$10:H$44,""&lt;=10""))/COUNTA(H$10:H$44)"),"#DIV/0!")</f>
        <v>#DIV/0!</v>
      </c>
      <c r="I49" s="166">
        <f>IFERROR(__xludf.DUMMYFUNCTION("+(COUNTIFS(I$10:I$44,""&gt;=9"",I$10:I$44,""&lt;=10""))/COUNTA(I$10:I$44)"),0.05714285714285714)</f>
        <v>0.05714285714</v>
      </c>
      <c r="J49" s="167"/>
      <c r="K49" s="168">
        <f>IFERROR(__xludf.DUMMYFUNCTION("+(COUNTIFS(K$10:K$44,""&gt;=9"",K$10:K$44,""&lt;=10""))/COUNTA(K$10:K$44)"),0.5862068965517241)</f>
        <v>0.5862068966</v>
      </c>
      <c r="L49" s="164">
        <f>IFERROR(__xludf.DUMMYFUNCTION("+(COUNTIFS(L$10:L$44,""&gt;=9"",L$10:L$44,""&lt;=10""))/COUNTA(L$10:L$44)"),0.11428571428571428)</f>
        <v>0.1142857143</v>
      </c>
      <c r="M49" s="164">
        <f>IFERROR(__xludf.DUMMYFUNCTION("+(COUNTIFS(M$10:M$44,""&gt;=9"",M$10:M$44,""&lt;=10""))/COUNTA(M$10:M$44)"),0.3103448275862069)</f>
        <v>0.3103448276</v>
      </c>
      <c r="N49" s="164">
        <f>IFERROR(__xludf.DUMMYFUNCTION("+(COUNTIFS(N$10:N$44,""&gt;=9"",N$10:N$44,""&lt;=10""))/COUNTA(N$10:N$44)"),0.05714285714285714)</f>
        <v>0.05714285714</v>
      </c>
      <c r="O49" s="164">
        <f>IFERROR(__xludf.DUMMYFUNCTION("+(COUNTIFS(O$10:O$44,""&gt;=9"",O$10:O$44,""&lt;=10""))/COUNTA(O$10:O$44)"),0.0)</f>
        <v>0</v>
      </c>
      <c r="P49" s="169">
        <f>IFERROR(__xludf.DUMMYFUNCTION("+(COUNTIFS(P$10:P$44,""&gt;=9"",P$10:P$44,""&lt;=10""))/COUNTA(P$10:P$44)"),0.2)</f>
        <v>0.2</v>
      </c>
      <c r="Q49" s="167"/>
      <c r="R49" s="170">
        <f>IFERROR(__xludf.DUMMYFUNCTION("+(COUNTIFS(R$10:R$44,""&gt;=9"",R$10:R$44,""&lt;=10""))/COUNTA(R$10:R$44)"),0.13793103448275862)</f>
        <v>0.1379310345</v>
      </c>
      <c r="S49" s="171">
        <f>IFERROR(__xludf.DUMMYFUNCTION("+(COUNTIFS(S$10:S$44,""&gt;=9"",S$10:S$44,""&lt;=10""))/COUNTA(S$10:S$44)"),0.11428571428571428)</f>
        <v>0.1142857143</v>
      </c>
      <c r="T49" s="171">
        <f>IFERROR(__xludf.DUMMYFUNCTION("+(COUNTIFS(T$10:T$44,""&gt;=9"",T$10:T$44,""&lt;=10""))/COUNTA(T$10:T$44)"),0.8275862068965517)</f>
        <v>0.8275862069</v>
      </c>
      <c r="U49" s="171">
        <f>IFERROR(__xludf.DUMMYFUNCTION("+(COUNTIFS(U$10:U$44,""&gt;=9"",U$10:U$44,""&lt;=10""))/COUNTA(U$10:U$44)"),0.08571428571428572)</f>
        <v>0.08571428571</v>
      </c>
      <c r="V49" s="171">
        <f>IFERROR(__xludf.DUMMYFUNCTION("+(COUNTIFS(V$10:V$44,""&gt;=9"",V$10:V$44,""&lt;=10""))/COUNTA(V$10:V$44)"),0.0)</f>
        <v>0</v>
      </c>
      <c r="W49" s="169">
        <f>IFERROR(__xludf.DUMMYFUNCTION("+(COUNTIFS(W$10:W$44,""&gt;=9"",W$10:W$44,""&lt;=10""))/COUNTA(W$10:W$44)"),0.22857142857142856)</f>
        <v>0.2285714286</v>
      </c>
      <c r="X49" s="167"/>
      <c r="Y49" s="172">
        <f>IFERROR(__xludf.DUMMYFUNCTION("+(COUNTIFS(Y$10:Y$44,""&gt;=9"",Y$10:Y$44,""&lt;=10""))/COUNTA(Y$10:Y$44)"),0.1724137931034483)</f>
        <v>0.1724137931</v>
      </c>
      <c r="Z49" s="173">
        <f>IFERROR(__xludf.DUMMYFUNCTION("+(COUNTIFS(Z$10:Z$44,""&gt;=9"",Z$10:Z$44,""&lt;=10""))/COUNTA(Z$10:Z$44)"),0.0)</f>
        <v>0</v>
      </c>
      <c r="AA49" s="173" t="str">
        <f>IFERROR(__xludf.DUMMYFUNCTION("+(COUNTIFS(AA$10:AA$44,""&gt;=9"",AA$10:AA$44,""&lt;=10""))/COUNTA(AA$10:AA$44)"),"#DIV/0!")</f>
        <v>#DIV/0!</v>
      </c>
      <c r="AB49" s="173" t="str">
        <f>IFERROR(__xludf.DUMMYFUNCTION("+(COUNTIFS(AB$10:AB$44,""&gt;=9"",AB$10:AB$44,""&lt;=10""))/COUNTA(AB$10:AB$44)"),"#DIV/0!")</f>
        <v>#DIV/0!</v>
      </c>
      <c r="AC49" s="174">
        <f>IFERROR(__xludf.DUMMYFUNCTION("+(COUNTIFS(AC$10:AC$44,""&gt;=9"",AC$10:AC$44,""&lt;=10""))/COUNTA(AC$10:AC$44)"),0.14285714285714285)</f>
        <v>0.1428571429</v>
      </c>
    </row>
    <row r="50" ht="148.5" hidden="1" customHeight="1">
      <c r="A50" s="175" t="s">
        <v>62</v>
      </c>
      <c r="B50" s="176"/>
      <c r="C50" s="177"/>
      <c r="D50" s="178"/>
      <c r="E50" s="9"/>
      <c r="F50" s="9"/>
      <c r="G50" s="9"/>
      <c r="H50" s="9"/>
      <c r="I50" s="9"/>
      <c r="J50" s="179"/>
      <c r="K50" s="180"/>
      <c r="L50" s="9"/>
      <c r="M50" s="9"/>
      <c r="N50" s="9"/>
      <c r="O50" s="9"/>
      <c r="P50" s="179"/>
      <c r="Q50" s="181"/>
      <c r="R50" s="180"/>
      <c r="S50" s="9"/>
      <c r="T50" s="9"/>
      <c r="U50" s="9"/>
      <c r="V50" s="9"/>
      <c r="W50" s="179"/>
      <c r="X50" s="182"/>
      <c r="Y50" s="183"/>
      <c r="Z50" s="9"/>
      <c r="AA50" s="9"/>
      <c r="AB50" s="9"/>
      <c r="AC50" s="10"/>
    </row>
    <row r="51" ht="15.75" hidden="1" customHeight="1">
      <c r="A51" s="184"/>
      <c r="B51" s="184"/>
      <c r="C51" s="184"/>
      <c r="D51" s="184"/>
      <c r="E51" s="184"/>
      <c r="F51" s="184"/>
      <c r="G51" s="185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</row>
    <row r="52" ht="15.75" hidden="1" customHeight="1">
      <c r="A52" s="184"/>
      <c r="B52" s="184"/>
      <c r="C52" s="184"/>
      <c r="D52" s="184"/>
      <c r="E52" s="184"/>
      <c r="F52" s="184"/>
      <c r="G52" s="185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</row>
    <row r="53" ht="15.75" hidden="1" customHeight="1">
      <c r="A53" s="184"/>
      <c r="B53" s="184"/>
      <c r="C53" s="184"/>
      <c r="D53" s="184"/>
      <c r="E53" s="184"/>
      <c r="F53" s="184"/>
      <c r="G53" s="185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</row>
    <row r="54" ht="15.75" hidden="1" customHeight="1">
      <c r="A54" s="184"/>
      <c r="B54" s="184"/>
      <c r="C54" s="184"/>
      <c r="D54" s="184"/>
      <c r="E54" s="184"/>
      <c r="F54" s="184"/>
      <c r="G54" s="185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</row>
    <row r="55" ht="15.75" hidden="1" customHeight="1">
      <c r="A55" s="184"/>
      <c r="B55" s="184"/>
      <c r="C55" s="184"/>
      <c r="D55" s="184"/>
      <c r="E55" s="184"/>
      <c r="F55" s="184"/>
      <c r="G55" s="185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</row>
    <row r="56" ht="15.75" hidden="1" customHeight="1">
      <c r="A56" s="184"/>
      <c r="B56" s="184"/>
      <c r="C56" s="184"/>
      <c r="D56" s="184"/>
      <c r="E56" s="184"/>
      <c r="F56" s="184"/>
      <c r="G56" s="185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</row>
    <row r="57" ht="15.75" hidden="1" customHeight="1">
      <c r="A57" s="184"/>
      <c r="B57" s="184"/>
      <c r="C57" s="184"/>
      <c r="D57" s="184"/>
      <c r="E57" s="184"/>
      <c r="F57" s="184"/>
      <c r="G57" s="185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</row>
    <row r="58" ht="15.75" hidden="1" customHeight="1">
      <c r="A58" s="184"/>
      <c r="B58" s="184"/>
      <c r="C58" s="184"/>
      <c r="D58" s="184"/>
      <c r="E58" s="184"/>
      <c r="F58" s="184"/>
      <c r="G58" s="185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</row>
    <row r="59" ht="15.75" hidden="1" customHeight="1">
      <c r="A59" s="184"/>
      <c r="B59" s="184"/>
      <c r="C59" s="184"/>
      <c r="D59" s="184"/>
      <c r="E59" s="184"/>
      <c r="F59" s="184"/>
      <c r="G59" s="185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</row>
    <row r="60" ht="15.75" hidden="1" customHeight="1">
      <c r="A60" s="184"/>
      <c r="B60" s="184"/>
      <c r="C60" s="184"/>
      <c r="D60" s="184"/>
      <c r="E60" s="184"/>
      <c r="F60" s="184"/>
      <c r="G60" s="185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</row>
    <row r="61" ht="15.75" hidden="1" customHeight="1">
      <c r="A61" s="184"/>
      <c r="B61" s="184"/>
      <c r="C61" s="184"/>
      <c r="D61" s="184"/>
      <c r="E61" s="184"/>
      <c r="F61" s="184"/>
      <c r="G61" s="185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</row>
    <row r="62" ht="15.75" hidden="1" customHeight="1">
      <c r="A62" s="184"/>
      <c r="B62" s="184"/>
      <c r="C62" s="184"/>
      <c r="D62" s="184"/>
      <c r="E62" s="184"/>
      <c r="F62" s="184"/>
      <c r="G62" s="185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</row>
    <row r="63" ht="15.75" hidden="1" customHeight="1">
      <c r="A63" s="184"/>
      <c r="B63" s="184"/>
      <c r="C63" s="184"/>
      <c r="D63" s="184"/>
      <c r="E63" s="184"/>
      <c r="F63" s="184"/>
      <c r="G63" s="185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</row>
    <row r="64" ht="15.75" hidden="1" customHeight="1">
      <c r="A64" s="184"/>
      <c r="B64" s="184"/>
      <c r="C64" s="184"/>
      <c r="D64" s="184"/>
      <c r="E64" s="184"/>
      <c r="F64" s="184"/>
      <c r="G64" s="185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</row>
    <row r="65" ht="15.75" hidden="1" customHeight="1">
      <c r="A65" s="184"/>
      <c r="B65" s="184"/>
      <c r="C65" s="184"/>
      <c r="D65" s="184"/>
      <c r="E65" s="184"/>
      <c r="F65" s="184"/>
      <c r="G65" s="185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</row>
    <row r="66" ht="15.75" hidden="1" customHeight="1">
      <c r="A66" s="184"/>
      <c r="B66" s="184"/>
      <c r="C66" s="184"/>
      <c r="D66" s="184"/>
      <c r="E66" s="184"/>
      <c r="F66" s="184"/>
      <c r="G66" s="185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</row>
    <row r="67" ht="15.75" hidden="1" customHeight="1">
      <c r="A67" s="184"/>
      <c r="B67" s="184"/>
      <c r="C67" s="184"/>
      <c r="D67" s="184"/>
      <c r="E67" s="184"/>
      <c r="F67" s="184"/>
      <c r="G67" s="185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</row>
    <row r="68" ht="15.75" hidden="1" customHeight="1">
      <c r="A68" s="184"/>
      <c r="B68" s="184"/>
      <c r="C68" s="184"/>
      <c r="D68" s="184"/>
      <c r="E68" s="184"/>
      <c r="F68" s="184"/>
      <c r="G68" s="185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</row>
    <row r="69" ht="15.75" hidden="1" customHeight="1">
      <c r="A69" s="184"/>
      <c r="B69" s="184"/>
      <c r="C69" s="184"/>
      <c r="D69" s="184"/>
      <c r="E69" s="184"/>
      <c r="F69" s="184"/>
      <c r="G69" s="185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</row>
    <row r="70" ht="15.75" hidden="1" customHeight="1">
      <c r="A70" s="184"/>
      <c r="B70" s="184"/>
      <c r="C70" s="184"/>
      <c r="D70" s="184"/>
      <c r="E70" s="184"/>
      <c r="F70" s="184"/>
      <c r="G70" s="185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</row>
    <row r="71" ht="15.75" hidden="1" customHeight="1">
      <c r="A71" s="184"/>
      <c r="B71" s="184"/>
      <c r="C71" s="184"/>
      <c r="D71" s="184"/>
      <c r="E71" s="184"/>
      <c r="F71" s="184"/>
      <c r="G71" s="185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</row>
    <row r="72" ht="15.75" hidden="1" customHeight="1">
      <c r="A72" s="184"/>
      <c r="B72" s="184"/>
      <c r="C72" s="184"/>
      <c r="D72" s="184"/>
      <c r="E72" s="184"/>
      <c r="F72" s="184"/>
      <c r="G72" s="185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</row>
    <row r="73" ht="15.75" hidden="1" customHeight="1">
      <c r="A73" s="184"/>
      <c r="B73" s="184"/>
      <c r="C73" s="184"/>
      <c r="D73" s="184"/>
      <c r="E73" s="184"/>
      <c r="F73" s="184"/>
      <c r="G73" s="185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</row>
    <row r="74" ht="15.75" hidden="1" customHeight="1">
      <c r="A74" s="184"/>
      <c r="B74" s="184"/>
      <c r="C74" s="184"/>
      <c r="D74" s="184"/>
      <c r="E74" s="184"/>
      <c r="F74" s="184"/>
      <c r="G74" s="185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</row>
    <row r="75" ht="15.75" hidden="1" customHeight="1">
      <c r="A75" s="184"/>
      <c r="B75" s="184"/>
      <c r="C75" s="184"/>
      <c r="D75" s="184"/>
      <c r="E75" s="184"/>
      <c r="F75" s="184"/>
      <c r="G75" s="185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</row>
    <row r="76" ht="15.75" hidden="1" customHeight="1">
      <c r="A76" s="184"/>
      <c r="B76" s="184"/>
      <c r="C76" s="184"/>
      <c r="D76" s="184"/>
      <c r="E76" s="184"/>
      <c r="F76" s="184"/>
      <c r="G76" s="185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</row>
    <row r="77" ht="15.75" hidden="1" customHeight="1">
      <c r="A77" s="184"/>
      <c r="B77" s="184"/>
      <c r="C77" s="184"/>
      <c r="D77" s="184"/>
      <c r="E77" s="184"/>
      <c r="F77" s="184"/>
      <c r="G77" s="185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</row>
    <row r="78" ht="15.75" hidden="1" customHeight="1">
      <c r="A78" s="184"/>
      <c r="B78" s="184"/>
      <c r="C78" s="184"/>
      <c r="D78" s="184"/>
      <c r="E78" s="184"/>
      <c r="F78" s="184"/>
      <c r="G78" s="185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</row>
    <row r="79" ht="15.75" hidden="1" customHeight="1">
      <c r="A79" s="184"/>
      <c r="B79" s="184"/>
      <c r="C79" s="184"/>
      <c r="D79" s="184"/>
      <c r="E79" s="184"/>
      <c r="F79" s="184"/>
      <c r="G79" s="185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</row>
    <row r="80" ht="15.75" hidden="1" customHeight="1">
      <c r="A80" s="184"/>
      <c r="B80" s="184"/>
      <c r="C80" s="184"/>
      <c r="D80" s="184"/>
      <c r="E80" s="184"/>
      <c r="F80" s="184"/>
      <c r="G80" s="185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</row>
    <row r="81" ht="15.75" hidden="1" customHeight="1">
      <c r="A81" s="184"/>
      <c r="B81" s="184"/>
      <c r="C81" s="184"/>
      <c r="D81" s="184"/>
      <c r="E81" s="184"/>
      <c r="F81" s="184"/>
      <c r="G81" s="185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</row>
    <row r="82" ht="15.75" hidden="1" customHeight="1">
      <c r="A82" s="184"/>
      <c r="B82" s="184"/>
      <c r="C82" s="184"/>
      <c r="D82" s="184"/>
      <c r="E82" s="184"/>
      <c r="F82" s="184"/>
      <c r="G82" s="185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</row>
    <row r="83" ht="15.75" hidden="1" customHeight="1">
      <c r="A83" s="184"/>
      <c r="B83" s="184"/>
      <c r="C83" s="184"/>
      <c r="D83" s="184"/>
      <c r="E83" s="184"/>
      <c r="F83" s="184"/>
      <c r="G83" s="185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</row>
    <row r="84" ht="15.75" hidden="1" customHeight="1">
      <c r="A84" s="184"/>
      <c r="B84" s="184"/>
      <c r="C84" s="184"/>
      <c r="D84" s="184"/>
      <c r="E84" s="184"/>
      <c r="F84" s="184"/>
      <c r="G84" s="185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</row>
    <row r="85" ht="15.75" hidden="1" customHeight="1">
      <c r="A85" s="184"/>
      <c r="B85" s="184"/>
      <c r="C85" s="184"/>
      <c r="D85" s="184"/>
      <c r="E85" s="184"/>
      <c r="F85" s="184"/>
      <c r="G85" s="185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</row>
    <row r="86" ht="15.75" hidden="1" customHeight="1">
      <c r="A86" s="184"/>
      <c r="B86" s="184"/>
      <c r="C86" s="184"/>
      <c r="D86" s="184"/>
      <c r="E86" s="184"/>
      <c r="F86" s="184"/>
      <c r="G86" s="185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</row>
    <row r="87" ht="15.75" hidden="1" customHeight="1">
      <c r="A87" s="184"/>
      <c r="B87" s="184"/>
      <c r="C87" s="184"/>
      <c r="D87" s="184"/>
      <c r="E87" s="184"/>
      <c r="F87" s="184"/>
      <c r="G87" s="185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</row>
    <row r="88" ht="15.75" hidden="1" customHeight="1">
      <c r="A88" s="184"/>
      <c r="B88" s="184"/>
      <c r="C88" s="184"/>
      <c r="D88" s="184"/>
      <c r="E88" s="184"/>
      <c r="F88" s="184"/>
      <c r="G88" s="185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</row>
    <row r="89" ht="15.75" hidden="1" customHeight="1">
      <c r="A89" s="184"/>
      <c r="B89" s="184"/>
      <c r="C89" s="184"/>
      <c r="D89" s="184"/>
      <c r="E89" s="184"/>
      <c r="F89" s="184"/>
      <c r="G89" s="185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</row>
    <row r="90" ht="15.75" hidden="1" customHeight="1">
      <c r="A90" s="184"/>
      <c r="B90" s="184"/>
      <c r="C90" s="184"/>
      <c r="D90" s="184"/>
      <c r="E90" s="184"/>
      <c r="F90" s="184"/>
      <c r="G90" s="185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</row>
    <row r="91" ht="15.75" hidden="1" customHeight="1">
      <c r="A91" s="184"/>
      <c r="B91" s="184"/>
      <c r="C91" s="184"/>
      <c r="D91" s="184"/>
      <c r="E91" s="184"/>
      <c r="F91" s="184"/>
      <c r="G91" s="185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</row>
    <row r="92" ht="15.75" hidden="1" customHeight="1">
      <c r="A92" s="184"/>
      <c r="B92" s="184"/>
      <c r="C92" s="184"/>
      <c r="D92" s="184"/>
      <c r="E92" s="184"/>
      <c r="F92" s="184"/>
      <c r="G92" s="185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</row>
    <row r="93" ht="15.75" hidden="1" customHeight="1">
      <c r="A93" s="184"/>
      <c r="B93" s="184"/>
      <c r="C93" s="184"/>
      <c r="D93" s="184"/>
      <c r="E93" s="184"/>
      <c r="F93" s="184"/>
      <c r="G93" s="185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</row>
    <row r="94" ht="15.75" hidden="1" customHeight="1">
      <c r="A94" s="184"/>
      <c r="B94" s="184"/>
      <c r="C94" s="184"/>
      <c r="D94" s="184"/>
      <c r="E94" s="184"/>
      <c r="F94" s="184"/>
      <c r="G94" s="185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</row>
    <row r="95" ht="15.75" hidden="1" customHeight="1">
      <c r="A95" s="184"/>
      <c r="B95" s="184"/>
      <c r="C95" s="184"/>
      <c r="D95" s="184"/>
      <c r="E95" s="184"/>
      <c r="F95" s="184"/>
      <c r="G95" s="185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</row>
    <row r="96" ht="15.75" hidden="1" customHeight="1">
      <c r="A96" s="184"/>
      <c r="B96" s="184"/>
      <c r="C96" s="184"/>
      <c r="D96" s="184"/>
      <c r="E96" s="184"/>
      <c r="F96" s="184"/>
      <c r="G96" s="185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</row>
    <row r="97" ht="15.75" hidden="1" customHeight="1">
      <c r="A97" s="184"/>
      <c r="B97" s="184"/>
      <c r="C97" s="184"/>
      <c r="D97" s="184"/>
      <c r="E97" s="184"/>
      <c r="F97" s="184"/>
      <c r="G97" s="185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</row>
    <row r="98" ht="15.75" hidden="1" customHeight="1">
      <c r="A98" s="184"/>
      <c r="B98" s="184"/>
      <c r="C98" s="184"/>
      <c r="D98" s="184"/>
      <c r="E98" s="184"/>
      <c r="F98" s="184"/>
      <c r="G98" s="185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</row>
    <row r="99" ht="15.75" hidden="1" customHeight="1">
      <c r="A99" s="184"/>
      <c r="B99" s="184"/>
      <c r="C99" s="184"/>
      <c r="D99" s="184"/>
      <c r="E99" s="184"/>
      <c r="F99" s="184"/>
      <c r="G99" s="185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</row>
    <row r="100" ht="15.75" hidden="1" customHeight="1">
      <c r="A100" s="184"/>
      <c r="B100" s="184"/>
      <c r="C100" s="184"/>
      <c r="D100" s="184"/>
      <c r="E100" s="184"/>
      <c r="F100" s="184"/>
      <c r="G100" s="185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</row>
    <row r="101" ht="15.75" hidden="1" customHeight="1">
      <c r="A101" s="184"/>
      <c r="B101" s="184"/>
      <c r="C101" s="184"/>
      <c r="D101" s="184"/>
      <c r="E101" s="184"/>
      <c r="F101" s="184"/>
      <c r="G101" s="185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</row>
    <row r="102" ht="15.75" hidden="1" customHeight="1">
      <c r="A102" s="184"/>
      <c r="B102" s="184"/>
      <c r="C102" s="184"/>
      <c r="D102" s="184"/>
      <c r="E102" s="184"/>
      <c r="F102" s="184"/>
      <c r="G102" s="185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</row>
    <row r="103" ht="15.75" hidden="1" customHeight="1">
      <c r="A103" s="184"/>
      <c r="B103" s="184"/>
      <c r="C103" s="184"/>
      <c r="D103" s="184"/>
      <c r="E103" s="184"/>
      <c r="F103" s="184"/>
      <c r="G103" s="185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</row>
    <row r="104" ht="15.75" hidden="1" customHeight="1">
      <c r="A104" s="184"/>
      <c r="B104" s="184"/>
      <c r="C104" s="184"/>
      <c r="D104" s="184"/>
      <c r="E104" s="184"/>
      <c r="F104" s="184"/>
      <c r="G104" s="185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</row>
    <row r="105" ht="15.75" hidden="1" customHeight="1">
      <c r="A105" s="184"/>
      <c r="B105" s="184"/>
      <c r="C105" s="184"/>
      <c r="D105" s="184"/>
      <c r="E105" s="184"/>
      <c r="F105" s="184"/>
      <c r="G105" s="185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</row>
    <row r="106" ht="15.75" hidden="1" customHeight="1">
      <c r="A106" s="184"/>
      <c r="B106" s="184"/>
      <c r="C106" s="184"/>
      <c r="D106" s="184"/>
      <c r="E106" s="184"/>
      <c r="F106" s="184"/>
      <c r="G106" s="185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</row>
    <row r="107" ht="15.75" hidden="1" customHeight="1">
      <c r="A107" s="184"/>
      <c r="B107" s="184"/>
      <c r="C107" s="184"/>
      <c r="D107" s="184"/>
      <c r="E107" s="184"/>
      <c r="F107" s="184"/>
      <c r="G107" s="185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</row>
    <row r="108" ht="15.75" hidden="1" customHeight="1">
      <c r="A108" s="184"/>
      <c r="B108" s="184"/>
      <c r="C108" s="184"/>
      <c r="D108" s="184"/>
      <c r="E108" s="184"/>
      <c r="F108" s="184"/>
      <c r="G108" s="185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</row>
    <row r="109" ht="15.75" hidden="1" customHeight="1">
      <c r="A109" s="184"/>
      <c r="B109" s="184"/>
      <c r="C109" s="184"/>
      <c r="D109" s="184"/>
      <c r="E109" s="184"/>
      <c r="F109" s="184"/>
      <c r="G109" s="185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</row>
    <row r="110" ht="15.75" hidden="1" customHeight="1">
      <c r="A110" s="184"/>
      <c r="B110" s="184"/>
      <c r="C110" s="184"/>
      <c r="D110" s="184"/>
      <c r="E110" s="184"/>
      <c r="F110" s="184"/>
      <c r="G110" s="185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</row>
    <row r="111" ht="15.75" hidden="1" customHeight="1">
      <c r="A111" s="184"/>
      <c r="B111" s="184"/>
      <c r="C111" s="184"/>
      <c r="D111" s="184"/>
      <c r="E111" s="184"/>
      <c r="F111" s="184"/>
      <c r="G111" s="185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</row>
    <row r="112" ht="15.75" hidden="1" customHeight="1">
      <c r="A112" s="184"/>
      <c r="B112" s="184"/>
      <c r="C112" s="184"/>
      <c r="D112" s="184"/>
      <c r="E112" s="184"/>
      <c r="F112" s="184"/>
      <c r="G112" s="185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</row>
    <row r="113" ht="15.75" hidden="1" customHeight="1">
      <c r="A113" s="184"/>
      <c r="B113" s="184"/>
      <c r="C113" s="184"/>
      <c r="D113" s="184"/>
      <c r="E113" s="184"/>
      <c r="F113" s="184"/>
      <c r="G113" s="185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</row>
    <row r="114" ht="15.75" hidden="1" customHeight="1">
      <c r="A114" s="184"/>
      <c r="B114" s="184"/>
      <c r="C114" s="184"/>
      <c r="D114" s="184"/>
      <c r="E114" s="184"/>
      <c r="F114" s="184"/>
      <c r="G114" s="185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</row>
    <row r="115" ht="15.75" hidden="1" customHeight="1">
      <c r="A115" s="184"/>
      <c r="B115" s="184"/>
      <c r="C115" s="184"/>
      <c r="D115" s="184"/>
      <c r="E115" s="184"/>
      <c r="F115" s="184"/>
      <c r="G115" s="185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</row>
    <row r="116" ht="15.75" hidden="1" customHeight="1">
      <c r="A116" s="184"/>
      <c r="B116" s="184"/>
      <c r="C116" s="184"/>
      <c r="D116" s="184"/>
      <c r="E116" s="184"/>
      <c r="F116" s="184"/>
      <c r="G116" s="185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</row>
    <row r="117" ht="15.75" hidden="1" customHeight="1">
      <c r="A117" s="184"/>
      <c r="B117" s="184"/>
      <c r="C117" s="184"/>
      <c r="D117" s="184"/>
      <c r="E117" s="184"/>
      <c r="F117" s="184"/>
      <c r="G117" s="185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</row>
    <row r="118" ht="15.75" hidden="1" customHeight="1">
      <c r="A118" s="184"/>
      <c r="B118" s="184"/>
      <c r="C118" s="184"/>
      <c r="D118" s="184"/>
      <c r="E118" s="184"/>
      <c r="F118" s="184"/>
      <c r="G118" s="185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</row>
    <row r="119" ht="15.75" hidden="1" customHeight="1">
      <c r="A119" s="184"/>
      <c r="B119" s="184"/>
      <c r="C119" s="184"/>
      <c r="D119" s="184"/>
      <c r="E119" s="184"/>
      <c r="F119" s="184"/>
      <c r="G119" s="185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</row>
    <row r="120" ht="15.75" hidden="1" customHeight="1">
      <c r="A120" s="184"/>
      <c r="B120" s="184"/>
      <c r="C120" s="184"/>
      <c r="D120" s="184"/>
      <c r="E120" s="184"/>
      <c r="F120" s="184"/>
      <c r="G120" s="185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</row>
    <row r="121" ht="15.75" hidden="1" customHeight="1">
      <c r="A121" s="184"/>
      <c r="B121" s="184"/>
      <c r="C121" s="184"/>
      <c r="D121" s="184"/>
      <c r="E121" s="184"/>
      <c r="F121" s="184"/>
      <c r="G121" s="185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</row>
    <row r="122" ht="15.75" hidden="1" customHeight="1">
      <c r="A122" s="184"/>
      <c r="B122" s="184"/>
      <c r="C122" s="184"/>
      <c r="D122" s="184"/>
      <c r="E122" s="184"/>
      <c r="F122" s="184"/>
      <c r="G122" s="185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</row>
    <row r="123" ht="15.75" hidden="1" customHeight="1">
      <c r="A123" s="184"/>
      <c r="B123" s="184"/>
      <c r="C123" s="184"/>
      <c r="D123" s="184"/>
      <c r="E123" s="184"/>
      <c r="F123" s="184"/>
      <c r="G123" s="185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</row>
    <row r="124" ht="15.75" hidden="1" customHeight="1">
      <c r="A124" s="184"/>
      <c r="B124" s="184"/>
      <c r="C124" s="184"/>
      <c r="D124" s="184"/>
      <c r="E124" s="184"/>
      <c r="F124" s="184"/>
      <c r="G124" s="185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</row>
    <row r="125" ht="15.75" hidden="1" customHeight="1">
      <c r="A125" s="184"/>
      <c r="B125" s="184"/>
      <c r="C125" s="184"/>
      <c r="D125" s="184"/>
      <c r="E125" s="184"/>
      <c r="F125" s="184"/>
      <c r="G125" s="185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</row>
    <row r="126" ht="15.75" hidden="1" customHeight="1">
      <c r="A126" s="184"/>
      <c r="B126" s="184"/>
      <c r="C126" s="184"/>
      <c r="D126" s="184"/>
      <c r="E126" s="184"/>
      <c r="F126" s="184"/>
      <c r="G126" s="185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</row>
    <row r="127" ht="15.75" hidden="1" customHeight="1">
      <c r="A127" s="184"/>
      <c r="B127" s="184"/>
      <c r="C127" s="184"/>
      <c r="D127" s="184"/>
      <c r="E127" s="184"/>
      <c r="F127" s="184"/>
      <c r="G127" s="185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</row>
    <row r="128" ht="15.75" hidden="1" customHeight="1">
      <c r="A128" s="184"/>
      <c r="B128" s="184"/>
      <c r="C128" s="184"/>
      <c r="D128" s="184"/>
      <c r="E128" s="184"/>
      <c r="F128" s="184"/>
      <c r="G128" s="185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</row>
    <row r="129" ht="15.75" hidden="1" customHeight="1">
      <c r="A129" s="184"/>
      <c r="B129" s="184"/>
      <c r="C129" s="184"/>
      <c r="D129" s="184"/>
      <c r="E129" s="184"/>
      <c r="F129" s="184"/>
      <c r="G129" s="185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</row>
    <row r="130" ht="15.75" hidden="1" customHeight="1">
      <c r="A130" s="184"/>
      <c r="B130" s="184"/>
      <c r="C130" s="184"/>
      <c r="D130" s="184"/>
      <c r="E130" s="184"/>
      <c r="F130" s="184"/>
      <c r="G130" s="185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</row>
    <row r="131" ht="15.75" hidden="1" customHeight="1">
      <c r="A131" s="184"/>
      <c r="B131" s="184"/>
      <c r="C131" s="184"/>
      <c r="D131" s="184"/>
      <c r="E131" s="184"/>
      <c r="F131" s="184"/>
      <c r="G131" s="185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</row>
    <row r="132" ht="15.75" hidden="1" customHeight="1">
      <c r="A132" s="184"/>
      <c r="B132" s="184"/>
      <c r="C132" s="184"/>
      <c r="D132" s="184"/>
      <c r="E132" s="184"/>
      <c r="F132" s="184"/>
      <c r="G132" s="185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</row>
    <row r="133" ht="15.75" hidden="1" customHeight="1">
      <c r="A133" s="184"/>
      <c r="B133" s="184"/>
      <c r="C133" s="184"/>
      <c r="D133" s="184"/>
      <c r="E133" s="184"/>
      <c r="F133" s="184"/>
      <c r="G133" s="185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</row>
    <row r="134" ht="15.75" hidden="1" customHeight="1">
      <c r="A134" s="184"/>
      <c r="B134" s="184"/>
      <c r="C134" s="184"/>
      <c r="D134" s="184"/>
      <c r="E134" s="184"/>
      <c r="F134" s="184"/>
      <c r="G134" s="185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</row>
    <row r="135" ht="15.75" hidden="1" customHeight="1">
      <c r="A135" s="184"/>
      <c r="B135" s="184"/>
      <c r="C135" s="184"/>
      <c r="D135" s="184"/>
      <c r="E135" s="184"/>
      <c r="F135" s="184"/>
      <c r="G135" s="185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</row>
    <row r="136" ht="15.75" hidden="1" customHeight="1">
      <c r="A136" s="184"/>
      <c r="B136" s="184"/>
      <c r="C136" s="184"/>
      <c r="D136" s="184"/>
      <c r="E136" s="184"/>
      <c r="F136" s="184"/>
      <c r="G136" s="185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</row>
    <row r="137" ht="15.75" hidden="1" customHeight="1">
      <c r="A137" s="184"/>
      <c r="B137" s="184"/>
      <c r="C137" s="184"/>
      <c r="D137" s="184"/>
      <c r="E137" s="184"/>
      <c r="F137" s="184"/>
      <c r="G137" s="185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</row>
    <row r="138" ht="15.75" hidden="1" customHeight="1">
      <c r="A138" s="184"/>
      <c r="B138" s="184"/>
      <c r="C138" s="184"/>
      <c r="D138" s="184"/>
      <c r="E138" s="184"/>
      <c r="F138" s="184"/>
      <c r="G138" s="185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</row>
    <row r="139" ht="15.75" hidden="1" customHeight="1">
      <c r="A139" s="184"/>
      <c r="B139" s="184"/>
      <c r="C139" s="184"/>
      <c r="D139" s="184"/>
      <c r="E139" s="184"/>
      <c r="F139" s="184"/>
      <c r="G139" s="185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</row>
    <row r="140" ht="15.75" hidden="1" customHeight="1">
      <c r="A140" s="184"/>
      <c r="B140" s="184"/>
      <c r="C140" s="184"/>
      <c r="D140" s="184"/>
      <c r="E140" s="184"/>
      <c r="F140" s="184"/>
      <c r="G140" s="185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</row>
    <row r="141" ht="15.75" hidden="1" customHeight="1">
      <c r="A141" s="184"/>
      <c r="B141" s="184"/>
      <c r="C141" s="184"/>
      <c r="D141" s="184"/>
      <c r="E141" s="184"/>
      <c r="F141" s="184"/>
      <c r="G141" s="185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</row>
    <row r="142" ht="15.75" hidden="1" customHeight="1">
      <c r="A142" s="184"/>
      <c r="B142" s="184"/>
      <c r="C142" s="184"/>
      <c r="D142" s="184"/>
      <c r="E142" s="184"/>
      <c r="F142" s="184"/>
      <c r="G142" s="185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</row>
    <row r="143" ht="15.75" hidden="1" customHeight="1">
      <c r="A143" s="184"/>
      <c r="B143" s="184"/>
      <c r="C143" s="184"/>
      <c r="D143" s="184"/>
      <c r="E143" s="184"/>
      <c r="F143" s="184"/>
      <c r="G143" s="185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</row>
    <row r="144" ht="15.75" hidden="1" customHeight="1">
      <c r="A144" s="184"/>
      <c r="B144" s="184"/>
      <c r="C144" s="184"/>
      <c r="D144" s="184"/>
      <c r="E144" s="184"/>
      <c r="F144" s="184"/>
      <c r="G144" s="185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</row>
    <row r="145" ht="15.75" hidden="1" customHeight="1">
      <c r="A145" s="184"/>
      <c r="B145" s="184"/>
      <c r="C145" s="184"/>
      <c r="D145" s="184"/>
      <c r="E145" s="184"/>
      <c r="F145" s="184"/>
      <c r="G145" s="185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</row>
    <row r="146" ht="15.75" hidden="1" customHeight="1">
      <c r="A146" s="184"/>
      <c r="B146" s="184"/>
      <c r="C146" s="184"/>
      <c r="D146" s="184"/>
      <c r="E146" s="184"/>
      <c r="F146" s="184"/>
      <c r="G146" s="185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</row>
    <row r="147" ht="15.75" hidden="1" customHeight="1">
      <c r="A147" s="184"/>
      <c r="B147" s="184"/>
      <c r="C147" s="184"/>
      <c r="D147" s="184"/>
      <c r="E147" s="184"/>
      <c r="F147" s="184"/>
      <c r="G147" s="185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</row>
    <row r="148" ht="15.75" hidden="1" customHeight="1">
      <c r="A148" s="184"/>
      <c r="B148" s="184"/>
      <c r="C148" s="184"/>
      <c r="D148" s="184"/>
      <c r="E148" s="184"/>
      <c r="F148" s="184"/>
      <c r="G148" s="185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</row>
    <row r="149" ht="15.75" hidden="1" customHeight="1">
      <c r="A149" s="184"/>
      <c r="B149" s="184"/>
      <c r="C149" s="184"/>
      <c r="D149" s="184"/>
      <c r="E149" s="184"/>
      <c r="F149" s="184"/>
      <c r="G149" s="185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</row>
    <row r="150" ht="15.75" hidden="1" customHeight="1">
      <c r="A150" s="184"/>
      <c r="B150" s="184"/>
      <c r="C150" s="184"/>
      <c r="D150" s="184"/>
      <c r="E150" s="184"/>
      <c r="F150" s="184"/>
      <c r="G150" s="185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</row>
    <row r="151" ht="15.75" hidden="1" customHeight="1">
      <c r="A151" s="184"/>
      <c r="B151" s="184"/>
      <c r="C151" s="184"/>
      <c r="D151" s="184"/>
      <c r="E151" s="184"/>
      <c r="F151" s="184"/>
      <c r="G151" s="185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</row>
    <row r="152" ht="15.75" hidden="1" customHeight="1">
      <c r="A152" s="184"/>
      <c r="B152" s="184"/>
      <c r="C152" s="184"/>
      <c r="D152" s="184"/>
      <c r="E152" s="184"/>
      <c r="F152" s="184"/>
      <c r="G152" s="185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</row>
    <row r="153" ht="15.75" hidden="1" customHeight="1">
      <c r="A153" s="184"/>
      <c r="B153" s="184"/>
      <c r="C153" s="184"/>
      <c r="D153" s="184"/>
      <c r="E153" s="184"/>
      <c r="F153" s="184"/>
      <c r="G153" s="185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</row>
    <row r="154" ht="15.75" hidden="1" customHeight="1">
      <c r="A154" s="184"/>
      <c r="B154" s="184"/>
      <c r="C154" s="184"/>
      <c r="D154" s="184"/>
      <c r="E154" s="184"/>
      <c r="F154" s="184"/>
      <c r="G154" s="185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</row>
    <row r="155" ht="15.75" hidden="1" customHeight="1">
      <c r="A155" s="184"/>
      <c r="B155" s="184"/>
      <c r="C155" s="184"/>
      <c r="D155" s="184"/>
      <c r="E155" s="184"/>
      <c r="F155" s="184"/>
      <c r="G155" s="185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</row>
    <row r="156" ht="15.75" hidden="1" customHeight="1">
      <c r="A156" s="184"/>
      <c r="B156" s="184"/>
      <c r="C156" s="184"/>
      <c r="D156" s="184"/>
      <c r="E156" s="184"/>
      <c r="F156" s="184"/>
      <c r="G156" s="185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</row>
    <row r="157" ht="15.75" hidden="1" customHeight="1">
      <c r="A157" s="184"/>
      <c r="B157" s="184"/>
      <c r="C157" s="184"/>
      <c r="D157" s="184"/>
      <c r="E157" s="184"/>
      <c r="F157" s="184"/>
      <c r="G157" s="185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</row>
    <row r="158" ht="15.75" hidden="1" customHeight="1">
      <c r="A158" s="184"/>
      <c r="B158" s="184"/>
      <c r="C158" s="184"/>
      <c r="D158" s="184"/>
      <c r="E158" s="184"/>
      <c r="F158" s="184"/>
      <c r="G158" s="185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</row>
    <row r="159" ht="15.75" hidden="1" customHeight="1">
      <c r="A159" s="184"/>
      <c r="B159" s="184"/>
      <c r="C159" s="184"/>
      <c r="D159" s="184"/>
      <c r="E159" s="184"/>
      <c r="F159" s="184"/>
      <c r="G159" s="185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</row>
    <row r="160" ht="15.75" hidden="1" customHeight="1">
      <c r="A160" s="184"/>
      <c r="B160" s="184"/>
      <c r="C160" s="184"/>
      <c r="D160" s="184"/>
      <c r="E160" s="184"/>
      <c r="F160" s="184"/>
      <c r="G160" s="185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</row>
    <row r="161" ht="15.75" hidden="1" customHeight="1">
      <c r="A161" s="184"/>
      <c r="B161" s="184"/>
      <c r="C161" s="184"/>
      <c r="D161" s="184"/>
      <c r="E161" s="184"/>
      <c r="F161" s="184"/>
      <c r="G161" s="185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</row>
    <row r="162" ht="15.75" hidden="1" customHeight="1">
      <c r="A162" s="184"/>
      <c r="B162" s="184"/>
      <c r="C162" s="184"/>
      <c r="D162" s="184"/>
      <c r="E162" s="184"/>
      <c r="F162" s="184"/>
      <c r="G162" s="185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</row>
    <row r="163" ht="15.75" hidden="1" customHeight="1">
      <c r="A163" s="184"/>
      <c r="B163" s="184"/>
      <c r="C163" s="184"/>
      <c r="D163" s="184"/>
      <c r="E163" s="184"/>
      <c r="F163" s="184"/>
      <c r="G163" s="185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</row>
    <row r="164" ht="15.75" hidden="1" customHeight="1">
      <c r="A164" s="184"/>
      <c r="B164" s="184"/>
      <c r="C164" s="184"/>
      <c r="D164" s="184"/>
      <c r="E164" s="184"/>
      <c r="F164" s="184"/>
      <c r="G164" s="185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</row>
    <row r="165" ht="15.75" hidden="1" customHeight="1">
      <c r="A165" s="184"/>
      <c r="B165" s="184"/>
      <c r="C165" s="184"/>
      <c r="D165" s="184"/>
      <c r="E165" s="184"/>
      <c r="F165" s="184"/>
      <c r="G165" s="185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</row>
    <row r="166" ht="15.75" hidden="1" customHeight="1">
      <c r="A166" s="184"/>
      <c r="B166" s="184"/>
      <c r="C166" s="184"/>
      <c r="D166" s="184"/>
      <c r="E166" s="184"/>
      <c r="F166" s="184"/>
      <c r="G166" s="185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</row>
    <row r="167" ht="15.75" hidden="1" customHeight="1">
      <c r="A167" s="184"/>
      <c r="B167" s="184"/>
      <c r="C167" s="184"/>
      <c r="D167" s="184"/>
      <c r="E167" s="184"/>
      <c r="F167" s="184"/>
      <c r="G167" s="185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</row>
    <row r="168" ht="15.75" hidden="1" customHeight="1">
      <c r="A168" s="184"/>
      <c r="B168" s="184"/>
      <c r="C168" s="184"/>
      <c r="D168" s="184"/>
      <c r="E168" s="184"/>
      <c r="F168" s="184"/>
      <c r="G168" s="185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</row>
    <row r="169" ht="15.75" hidden="1" customHeight="1">
      <c r="A169" s="184"/>
      <c r="B169" s="184"/>
      <c r="C169" s="184"/>
      <c r="D169" s="184"/>
      <c r="E169" s="184"/>
      <c r="F169" s="184"/>
      <c r="G169" s="185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</row>
    <row r="170" ht="15.75" hidden="1" customHeight="1">
      <c r="A170" s="184"/>
      <c r="B170" s="184"/>
      <c r="C170" s="184"/>
      <c r="D170" s="184"/>
      <c r="E170" s="184"/>
      <c r="F170" s="184"/>
      <c r="G170" s="185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</row>
    <row r="171" ht="15.75" hidden="1" customHeight="1">
      <c r="A171" s="184"/>
      <c r="B171" s="184"/>
      <c r="C171" s="184"/>
      <c r="D171" s="184"/>
      <c r="E171" s="184"/>
      <c r="F171" s="184"/>
      <c r="G171" s="185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</row>
    <row r="172" ht="15.75" hidden="1" customHeight="1">
      <c r="A172" s="184"/>
      <c r="B172" s="184"/>
      <c r="C172" s="184"/>
      <c r="D172" s="184"/>
      <c r="E172" s="184"/>
      <c r="F172" s="184"/>
      <c r="G172" s="185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</row>
    <row r="173" ht="15.75" hidden="1" customHeight="1">
      <c r="A173" s="184"/>
      <c r="B173" s="184"/>
      <c r="C173" s="184"/>
      <c r="D173" s="184"/>
      <c r="E173" s="184"/>
      <c r="F173" s="184"/>
      <c r="G173" s="185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</row>
    <row r="174" ht="15.75" hidden="1" customHeight="1">
      <c r="A174" s="184"/>
      <c r="B174" s="184"/>
      <c r="C174" s="184"/>
      <c r="D174" s="184"/>
      <c r="E174" s="184"/>
      <c r="F174" s="184"/>
      <c r="G174" s="185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</row>
    <row r="175" ht="15.75" hidden="1" customHeight="1">
      <c r="A175" s="184"/>
      <c r="B175" s="184"/>
      <c r="C175" s="184"/>
      <c r="D175" s="184"/>
      <c r="E175" s="184"/>
      <c r="F175" s="184"/>
      <c r="G175" s="185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</row>
    <row r="176" ht="15.75" hidden="1" customHeight="1">
      <c r="A176" s="184"/>
      <c r="B176" s="184"/>
      <c r="C176" s="184"/>
      <c r="D176" s="184"/>
      <c r="E176" s="184"/>
      <c r="F176" s="184"/>
      <c r="G176" s="185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</row>
    <row r="177" ht="15.75" hidden="1" customHeight="1">
      <c r="A177" s="184"/>
      <c r="B177" s="184"/>
      <c r="C177" s="184"/>
      <c r="D177" s="184"/>
      <c r="E177" s="184"/>
      <c r="F177" s="184"/>
      <c r="G177" s="185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</row>
    <row r="178" ht="15.75" hidden="1" customHeight="1">
      <c r="A178" s="184"/>
      <c r="B178" s="184"/>
      <c r="C178" s="184"/>
      <c r="D178" s="184"/>
      <c r="E178" s="184"/>
      <c r="F178" s="184"/>
      <c r="G178" s="185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</row>
    <row r="179" ht="15.75" hidden="1" customHeight="1">
      <c r="A179" s="184"/>
      <c r="B179" s="184"/>
      <c r="C179" s="184"/>
      <c r="D179" s="184"/>
      <c r="E179" s="184"/>
      <c r="F179" s="184"/>
      <c r="G179" s="185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</row>
    <row r="180" ht="15.75" hidden="1" customHeight="1">
      <c r="A180" s="184"/>
      <c r="B180" s="184"/>
      <c r="C180" s="184"/>
      <c r="D180" s="184"/>
      <c r="E180" s="184"/>
      <c r="F180" s="184"/>
      <c r="G180" s="185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</row>
    <row r="181" ht="15.75" hidden="1" customHeight="1">
      <c r="A181" s="184"/>
      <c r="B181" s="184"/>
      <c r="C181" s="184"/>
      <c r="D181" s="184"/>
      <c r="E181" s="184"/>
      <c r="F181" s="184"/>
      <c r="G181" s="185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</row>
    <row r="182" ht="15.75" hidden="1" customHeight="1">
      <c r="A182" s="184"/>
      <c r="B182" s="184"/>
      <c r="C182" s="184"/>
      <c r="D182" s="184"/>
      <c r="E182" s="184"/>
      <c r="F182" s="184"/>
      <c r="G182" s="185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</row>
    <row r="183" ht="15.75" hidden="1" customHeight="1">
      <c r="A183" s="184"/>
      <c r="B183" s="184"/>
      <c r="C183" s="184"/>
      <c r="D183" s="184"/>
      <c r="E183" s="184"/>
      <c r="F183" s="184"/>
      <c r="G183" s="185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</row>
    <row r="184" ht="15.75" hidden="1" customHeight="1">
      <c r="A184" s="184"/>
      <c r="B184" s="184"/>
      <c r="C184" s="184"/>
      <c r="D184" s="184"/>
      <c r="E184" s="184"/>
      <c r="F184" s="184"/>
      <c r="G184" s="185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</row>
    <row r="185" ht="15.75" hidden="1" customHeight="1">
      <c r="A185" s="184"/>
      <c r="B185" s="184"/>
      <c r="C185" s="184"/>
      <c r="D185" s="184"/>
      <c r="E185" s="184"/>
      <c r="F185" s="184"/>
      <c r="G185" s="185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</row>
    <row r="186" ht="15.75" hidden="1" customHeight="1">
      <c r="A186" s="184"/>
      <c r="B186" s="184"/>
      <c r="C186" s="184"/>
      <c r="D186" s="184"/>
      <c r="E186" s="184"/>
      <c r="F186" s="184"/>
      <c r="G186" s="185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</row>
    <row r="187" ht="15.75" hidden="1" customHeight="1">
      <c r="A187" s="184"/>
      <c r="B187" s="184"/>
      <c r="C187" s="184"/>
      <c r="D187" s="184"/>
      <c r="E187" s="184"/>
      <c r="F187" s="184"/>
      <c r="G187" s="185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</row>
    <row r="188" ht="15.75" hidden="1" customHeight="1">
      <c r="A188" s="184"/>
      <c r="B188" s="184"/>
      <c r="C188" s="184"/>
      <c r="D188" s="184"/>
      <c r="E188" s="184"/>
      <c r="F188" s="184"/>
      <c r="G188" s="185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</row>
    <row r="189" ht="15.75" hidden="1" customHeight="1">
      <c r="A189" s="184"/>
      <c r="B189" s="184"/>
      <c r="C189" s="184"/>
      <c r="D189" s="184"/>
      <c r="E189" s="184"/>
      <c r="F189" s="184"/>
      <c r="G189" s="185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</row>
    <row r="190" ht="15.75" hidden="1" customHeight="1">
      <c r="A190" s="184"/>
      <c r="B190" s="184"/>
      <c r="C190" s="184"/>
      <c r="D190" s="184"/>
      <c r="E190" s="184"/>
      <c r="F190" s="184"/>
      <c r="G190" s="185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</row>
    <row r="191" ht="15.75" hidden="1" customHeight="1">
      <c r="A191" s="184"/>
      <c r="B191" s="184"/>
      <c r="C191" s="184"/>
      <c r="D191" s="184"/>
      <c r="E191" s="184"/>
      <c r="F191" s="184"/>
      <c r="G191" s="185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</row>
    <row r="192" ht="15.75" hidden="1" customHeight="1">
      <c r="A192" s="184"/>
      <c r="B192" s="184"/>
      <c r="C192" s="184"/>
      <c r="D192" s="184"/>
      <c r="E192" s="184"/>
      <c r="F192" s="184"/>
      <c r="G192" s="185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</row>
    <row r="193" ht="15.75" hidden="1" customHeight="1">
      <c r="A193" s="184"/>
      <c r="B193" s="184"/>
      <c r="C193" s="184"/>
      <c r="D193" s="184"/>
      <c r="E193" s="184"/>
      <c r="F193" s="184"/>
      <c r="G193" s="185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</row>
    <row r="194" ht="15.75" hidden="1" customHeight="1">
      <c r="A194" s="184"/>
      <c r="B194" s="184"/>
      <c r="C194" s="184"/>
      <c r="D194" s="184"/>
      <c r="E194" s="184"/>
      <c r="F194" s="184"/>
      <c r="G194" s="185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</row>
    <row r="195" ht="15.75" hidden="1" customHeight="1">
      <c r="A195" s="184"/>
      <c r="B195" s="184"/>
      <c r="C195" s="184"/>
      <c r="D195" s="184"/>
      <c r="E195" s="184"/>
      <c r="F195" s="184"/>
      <c r="G195" s="185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</row>
    <row r="196" ht="15.75" hidden="1" customHeight="1">
      <c r="A196" s="184"/>
      <c r="B196" s="184"/>
      <c r="C196" s="184"/>
      <c r="D196" s="184"/>
      <c r="E196" s="184"/>
      <c r="F196" s="184"/>
      <c r="G196" s="185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</row>
    <row r="197" ht="15.75" hidden="1" customHeight="1">
      <c r="A197" s="184"/>
      <c r="B197" s="184"/>
      <c r="C197" s="184"/>
      <c r="D197" s="184"/>
      <c r="E197" s="184"/>
      <c r="F197" s="184"/>
      <c r="G197" s="185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</row>
    <row r="198" ht="15.75" hidden="1" customHeight="1">
      <c r="A198" s="184"/>
      <c r="B198" s="184"/>
      <c r="C198" s="184"/>
      <c r="D198" s="184"/>
      <c r="E198" s="184"/>
      <c r="F198" s="184"/>
      <c r="G198" s="185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</row>
    <row r="199" ht="15.75" hidden="1" customHeight="1">
      <c r="A199" s="184"/>
      <c r="B199" s="184"/>
      <c r="C199" s="184"/>
      <c r="D199" s="184"/>
      <c r="E199" s="184"/>
      <c r="F199" s="184"/>
      <c r="G199" s="185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</row>
    <row r="200" ht="15.75" hidden="1" customHeight="1">
      <c r="A200" s="184"/>
      <c r="B200" s="184"/>
      <c r="C200" s="184"/>
      <c r="D200" s="184"/>
      <c r="E200" s="184"/>
      <c r="F200" s="184"/>
      <c r="G200" s="185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</row>
    <row r="201" ht="15.75" hidden="1" customHeight="1">
      <c r="A201" s="184"/>
      <c r="B201" s="184"/>
      <c r="C201" s="184"/>
      <c r="D201" s="184"/>
      <c r="E201" s="184"/>
      <c r="F201" s="184"/>
      <c r="G201" s="185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</row>
    <row r="202" ht="15.75" hidden="1" customHeight="1">
      <c r="A202" s="184"/>
      <c r="B202" s="184"/>
      <c r="C202" s="184"/>
      <c r="D202" s="184"/>
      <c r="E202" s="184"/>
      <c r="F202" s="184"/>
      <c r="G202" s="185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</row>
    <row r="203" ht="15.75" hidden="1" customHeight="1">
      <c r="A203" s="184"/>
      <c r="B203" s="184"/>
      <c r="C203" s="184"/>
      <c r="D203" s="184"/>
      <c r="E203" s="184"/>
      <c r="F203" s="184"/>
      <c r="G203" s="185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</row>
    <row r="204" ht="15.75" hidden="1" customHeight="1">
      <c r="A204" s="184"/>
      <c r="B204" s="184"/>
      <c r="C204" s="184"/>
      <c r="D204" s="184"/>
      <c r="E204" s="184"/>
      <c r="F204" s="184"/>
      <c r="G204" s="185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</row>
    <row r="205" ht="15.75" hidden="1" customHeight="1">
      <c r="A205" s="184"/>
      <c r="B205" s="184"/>
      <c r="C205" s="184"/>
      <c r="D205" s="184"/>
      <c r="E205" s="184"/>
      <c r="F205" s="184"/>
      <c r="G205" s="185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</row>
    <row r="206" ht="15.75" hidden="1" customHeight="1">
      <c r="A206" s="184"/>
      <c r="B206" s="184"/>
      <c r="C206" s="184"/>
      <c r="D206" s="184"/>
      <c r="E206" s="184"/>
      <c r="F206" s="184"/>
      <c r="G206" s="185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</row>
    <row r="207" ht="15.75" hidden="1" customHeight="1">
      <c r="A207" s="184"/>
      <c r="B207" s="184"/>
      <c r="C207" s="184"/>
      <c r="D207" s="184"/>
      <c r="E207" s="184"/>
      <c r="F207" s="184"/>
      <c r="G207" s="185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</row>
    <row r="208" ht="15.75" hidden="1" customHeight="1">
      <c r="A208" s="184"/>
      <c r="B208" s="184"/>
      <c r="C208" s="184"/>
      <c r="D208" s="184"/>
      <c r="E208" s="184"/>
      <c r="F208" s="184"/>
      <c r="G208" s="185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</row>
    <row r="209" ht="15.75" hidden="1" customHeight="1">
      <c r="A209" s="184"/>
      <c r="B209" s="184"/>
      <c r="C209" s="184"/>
      <c r="D209" s="184"/>
      <c r="E209" s="184"/>
      <c r="F209" s="184"/>
      <c r="G209" s="185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</row>
    <row r="210" ht="15.75" hidden="1" customHeight="1">
      <c r="A210" s="184"/>
      <c r="B210" s="184"/>
      <c r="C210" s="184"/>
      <c r="D210" s="184"/>
      <c r="E210" s="184"/>
      <c r="F210" s="184"/>
      <c r="G210" s="185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</row>
    <row r="211" ht="15.75" hidden="1" customHeight="1">
      <c r="A211" s="184"/>
      <c r="B211" s="184"/>
      <c r="C211" s="184"/>
      <c r="D211" s="184"/>
      <c r="E211" s="184"/>
      <c r="F211" s="184"/>
      <c r="G211" s="185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</row>
    <row r="212" ht="15.75" hidden="1" customHeight="1">
      <c r="A212" s="184"/>
      <c r="B212" s="184"/>
      <c r="C212" s="184"/>
      <c r="D212" s="184"/>
      <c r="E212" s="184"/>
      <c r="F212" s="184"/>
      <c r="G212" s="185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</row>
    <row r="213" ht="15.75" hidden="1" customHeight="1">
      <c r="A213" s="184"/>
      <c r="B213" s="184"/>
      <c r="C213" s="184"/>
      <c r="D213" s="184"/>
      <c r="E213" s="184"/>
      <c r="F213" s="184"/>
      <c r="G213" s="185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</row>
    <row r="214" ht="15.75" hidden="1" customHeight="1">
      <c r="A214" s="184"/>
      <c r="B214" s="184"/>
      <c r="C214" s="184"/>
      <c r="D214" s="184"/>
      <c r="E214" s="184"/>
      <c r="F214" s="184"/>
      <c r="G214" s="185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</row>
    <row r="215" ht="15.75" hidden="1" customHeight="1">
      <c r="A215" s="184"/>
      <c r="B215" s="184"/>
      <c r="C215" s="184"/>
      <c r="D215" s="184"/>
      <c r="E215" s="184"/>
      <c r="F215" s="184"/>
      <c r="G215" s="185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</row>
    <row r="216" ht="15.75" hidden="1" customHeight="1">
      <c r="A216" s="184"/>
      <c r="B216" s="184"/>
      <c r="C216" s="184"/>
      <c r="D216" s="184"/>
      <c r="E216" s="184"/>
      <c r="F216" s="184"/>
      <c r="G216" s="185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</row>
    <row r="217" ht="15.75" hidden="1" customHeight="1">
      <c r="A217" s="184"/>
      <c r="B217" s="184"/>
      <c r="C217" s="184"/>
      <c r="D217" s="184"/>
      <c r="E217" s="184"/>
      <c r="F217" s="184"/>
      <c r="G217" s="185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</row>
    <row r="218" ht="15.75" hidden="1" customHeight="1">
      <c r="A218" s="184"/>
      <c r="B218" s="184"/>
      <c r="C218" s="184"/>
      <c r="D218" s="184"/>
      <c r="E218" s="184"/>
      <c r="F218" s="184"/>
      <c r="G218" s="185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</row>
    <row r="219" ht="15.75" hidden="1" customHeight="1">
      <c r="A219" s="184"/>
      <c r="B219" s="184"/>
      <c r="C219" s="184"/>
      <c r="D219" s="184"/>
      <c r="E219" s="184"/>
      <c r="F219" s="184"/>
      <c r="G219" s="185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</row>
    <row r="220" ht="15.75" hidden="1" customHeight="1">
      <c r="A220" s="184"/>
      <c r="B220" s="184"/>
      <c r="C220" s="184"/>
      <c r="D220" s="184"/>
      <c r="E220" s="184"/>
      <c r="F220" s="184"/>
      <c r="G220" s="185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</row>
    <row r="221" ht="15.75" hidden="1" customHeight="1">
      <c r="A221" s="184"/>
      <c r="B221" s="184"/>
      <c r="C221" s="184"/>
      <c r="D221" s="184"/>
      <c r="E221" s="184"/>
      <c r="F221" s="184"/>
      <c r="G221" s="185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</row>
    <row r="222" ht="15.75" hidden="1" customHeight="1">
      <c r="A222" s="184"/>
      <c r="B222" s="184"/>
      <c r="C222" s="184"/>
      <c r="D222" s="184"/>
      <c r="E222" s="184"/>
      <c r="F222" s="184"/>
      <c r="G222" s="185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</row>
    <row r="223" ht="15.75" hidden="1" customHeight="1">
      <c r="A223" s="184"/>
      <c r="B223" s="184"/>
      <c r="C223" s="184"/>
      <c r="D223" s="184"/>
      <c r="E223" s="184"/>
      <c r="F223" s="184"/>
      <c r="G223" s="185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</row>
    <row r="224" ht="15.75" hidden="1" customHeight="1">
      <c r="A224" s="184"/>
      <c r="B224" s="184"/>
      <c r="C224" s="184"/>
      <c r="D224" s="184"/>
      <c r="E224" s="184"/>
      <c r="F224" s="184"/>
      <c r="G224" s="185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</row>
    <row r="225" ht="15.75" hidden="1" customHeight="1">
      <c r="A225" s="184"/>
      <c r="B225" s="184"/>
      <c r="C225" s="184"/>
      <c r="D225" s="184"/>
      <c r="E225" s="184"/>
      <c r="F225" s="184"/>
      <c r="G225" s="185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</row>
    <row r="226" ht="15.75" hidden="1" customHeight="1">
      <c r="A226" s="184"/>
      <c r="B226" s="184"/>
      <c r="C226" s="184"/>
      <c r="D226" s="184"/>
      <c r="E226" s="184"/>
      <c r="F226" s="184"/>
      <c r="G226" s="185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</row>
    <row r="227" ht="15.75" hidden="1" customHeight="1">
      <c r="A227" s="184"/>
      <c r="B227" s="184"/>
      <c r="C227" s="184"/>
      <c r="D227" s="184"/>
      <c r="E227" s="184"/>
      <c r="F227" s="184"/>
      <c r="G227" s="185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</row>
    <row r="228" ht="15.75" hidden="1" customHeight="1">
      <c r="A228" s="184"/>
      <c r="B228" s="184"/>
      <c r="C228" s="184"/>
      <c r="D228" s="184"/>
      <c r="E228" s="184"/>
      <c r="F228" s="184"/>
      <c r="G228" s="185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</row>
    <row r="229" ht="15.75" hidden="1" customHeight="1">
      <c r="A229" s="184"/>
      <c r="B229" s="184"/>
      <c r="C229" s="184"/>
      <c r="D229" s="184"/>
      <c r="E229" s="184"/>
      <c r="F229" s="184"/>
      <c r="G229" s="185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</row>
    <row r="230" ht="15.75" hidden="1" customHeight="1">
      <c r="A230" s="184"/>
      <c r="B230" s="184"/>
      <c r="C230" s="184"/>
      <c r="D230" s="184"/>
      <c r="E230" s="184"/>
      <c r="F230" s="184"/>
      <c r="G230" s="185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</row>
    <row r="231" ht="15.75" hidden="1" customHeight="1">
      <c r="A231" s="184"/>
      <c r="B231" s="184"/>
      <c r="C231" s="184"/>
      <c r="D231" s="184"/>
      <c r="E231" s="184"/>
      <c r="F231" s="184"/>
      <c r="G231" s="185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</row>
    <row r="232" ht="15.75" hidden="1" customHeight="1">
      <c r="A232" s="184"/>
      <c r="B232" s="184"/>
      <c r="C232" s="184"/>
      <c r="D232" s="184"/>
      <c r="E232" s="184"/>
      <c r="F232" s="184"/>
      <c r="G232" s="185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</row>
    <row r="233" ht="15.75" hidden="1" customHeight="1">
      <c r="A233" s="184"/>
      <c r="B233" s="184"/>
      <c r="C233" s="184"/>
      <c r="D233" s="184"/>
      <c r="E233" s="184"/>
      <c r="F233" s="184"/>
      <c r="G233" s="185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</row>
    <row r="234" ht="15.75" hidden="1" customHeight="1">
      <c r="A234" s="184"/>
      <c r="B234" s="184"/>
      <c r="C234" s="184"/>
      <c r="D234" s="184"/>
      <c r="E234" s="184"/>
      <c r="F234" s="184"/>
      <c r="G234" s="185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</row>
    <row r="235" ht="15.75" hidden="1" customHeight="1">
      <c r="A235" s="184"/>
      <c r="B235" s="184"/>
      <c r="C235" s="184"/>
      <c r="D235" s="184"/>
      <c r="E235" s="184"/>
      <c r="F235" s="184"/>
      <c r="G235" s="185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</row>
    <row r="236" ht="15.75" hidden="1" customHeight="1">
      <c r="A236" s="184"/>
      <c r="B236" s="184"/>
      <c r="C236" s="184"/>
      <c r="D236" s="184"/>
      <c r="E236" s="184"/>
      <c r="F236" s="184"/>
      <c r="G236" s="185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</row>
    <row r="237" ht="15.75" hidden="1" customHeight="1">
      <c r="A237" s="184"/>
      <c r="B237" s="184"/>
      <c r="C237" s="184"/>
      <c r="D237" s="184"/>
      <c r="E237" s="184"/>
      <c r="F237" s="184"/>
      <c r="G237" s="185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</row>
    <row r="238" ht="15.75" hidden="1" customHeight="1">
      <c r="A238" s="184"/>
      <c r="B238" s="184"/>
      <c r="C238" s="184"/>
      <c r="D238" s="184"/>
      <c r="E238" s="184"/>
      <c r="F238" s="184"/>
      <c r="G238" s="185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</row>
    <row r="239" ht="15.75" hidden="1" customHeight="1">
      <c r="A239" s="184"/>
      <c r="B239" s="184"/>
      <c r="C239" s="184"/>
      <c r="D239" s="184"/>
      <c r="E239" s="184"/>
      <c r="F239" s="184"/>
      <c r="G239" s="185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</row>
    <row r="240" ht="15.75" hidden="1" customHeight="1">
      <c r="A240" s="184"/>
      <c r="B240" s="184"/>
      <c r="C240" s="184"/>
      <c r="D240" s="184"/>
      <c r="E240" s="184"/>
      <c r="F240" s="184"/>
      <c r="G240" s="185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</row>
    <row r="241" ht="15.75" hidden="1" customHeight="1">
      <c r="A241" s="184"/>
      <c r="B241" s="184"/>
      <c r="C241" s="184"/>
      <c r="D241" s="184"/>
      <c r="E241" s="184"/>
      <c r="F241" s="184"/>
      <c r="G241" s="185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</row>
    <row r="242" ht="15.75" hidden="1" customHeight="1">
      <c r="A242" s="184"/>
      <c r="B242" s="184"/>
      <c r="C242" s="184"/>
      <c r="D242" s="184"/>
      <c r="E242" s="184"/>
      <c r="F242" s="184"/>
      <c r="G242" s="185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</row>
    <row r="243" ht="15.75" hidden="1" customHeight="1">
      <c r="A243" s="184"/>
      <c r="B243" s="184"/>
      <c r="C243" s="184"/>
      <c r="D243" s="184"/>
      <c r="E243" s="184"/>
      <c r="F243" s="184"/>
      <c r="G243" s="185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</row>
    <row r="244" ht="15.75" hidden="1" customHeight="1">
      <c r="A244" s="184"/>
      <c r="B244" s="184"/>
      <c r="C244" s="184"/>
      <c r="D244" s="184"/>
      <c r="E244" s="184"/>
      <c r="F244" s="184"/>
      <c r="G244" s="185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</row>
    <row r="245" ht="15.75" hidden="1" customHeight="1">
      <c r="A245" s="184"/>
      <c r="B245" s="184"/>
      <c r="C245" s="184"/>
      <c r="D245" s="184"/>
      <c r="E245" s="184"/>
      <c r="F245" s="184"/>
      <c r="G245" s="185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</row>
    <row r="246" ht="15.75" hidden="1" customHeight="1">
      <c r="A246" s="184"/>
      <c r="B246" s="184"/>
      <c r="C246" s="184"/>
      <c r="D246" s="184"/>
      <c r="E246" s="184"/>
      <c r="F246" s="184"/>
      <c r="G246" s="185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</row>
    <row r="247" ht="15.75" hidden="1" customHeight="1">
      <c r="A247" s="184"/>
      <c r="B247" s="184"/>
      <c r="C247" s="184"/>
      <c r="D247" s="184"/>
      <c r="E247" s="184"/>
      <c r="F247" s="184"/>
      <c r="G247" s="185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</row>
    <row r="248" ht="15.75" hidden="1" customHeight="1">
      <c r="A248" s="184"/>
      <c r="B248" s="184"/>
      <c r="C248" s="184"/>
      <c r="D248" s="184"/>
      <c r="E248" s="184"/>
      <c r="F248" s="184"/>
      <c r="G248" s="185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</row>
    <row r="249" ht="15.75" hidden="1" customHeight="1">
      <c r="A249" s="184"/>
      <c r="B249" s="184"/>
      <c r="C249" s="184"/>
      <c r="D249" s="184"/>
      <c r="E249" s="184"/>
      <c r="F249" s="184"/>
      <c r="G249" s="185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</row>
    <row r="250" ht="15.75" hidden="1" customHeight="1">
      <c r="A250" s="184"/>
      <c r="B250" s="184"/>
      <c r="C250" s="184"/>
      <c r="D250" s="184"/>
      <c r="E250" s="184"/>
      <c r="F250" s="184"/>
      <c r="G250" s="185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</row>
    <row r="251" ht="15.75" hidden="1" customHeight="1">
      <c r="A251" s="184"/>
      <c r="B251" s="184"/>
      <c r="C251" s="184"/>
      <c r="D251" s="184"/>
      <c r="E251" s="184"/>
      <c r="F251" s="184"/>
      <c r="G251" s="185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</row>
    <row r="252" ht="15.75" hidden="1" customHeight="1">
      <c r="A252" s="184"/>
      <c r="B252" s="184"/>
      <c r="C252" s="184"/>
      <c r="D252" s="184"/>
      <c r="E252" s="184"/>
      <c r="F252" s="184"/>
      <c r="G252" s="185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</row>
    <row r="253" ht="15.75" hidden="1" customHeight="1">
      <c r="A253" s="184"/>
      <c r="B253" s="184"/>
      <c r="C253" s="184"/>
      <c r="D253" s="184"/>
      <c r="E253" s="184"/>
      <c r="F253" s="184"/>
      <c r="G253" s="185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</row>
    <row r="254" ht="15.75" hidden="1" customHeight="1">
      <c r="A254" s="184"/>
      <c r="B254" s="184"/>
      <c r="C254" s="184"/>
      <c r="D254" s="184"/>
      <c r="E254" s="184"/>
      <c r="F254" s="184"/>
      <c r="G254" s="185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</row>
    <row r="255" ht="15.75" hidden="1" customHeight="1">
      <c r="A255" s="184"/>
      <c r="B255" s="184"/>
      <c r="C255" s="184"/>
      <c r="D255" s="184"/>
      <c r="E255" s="184"/>
      <c r="F255" s="184"/>
      <c r="G255" s="185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</row>
    <row r="256" ht="15.75" hidden="1" customHeight="1">
      <c r="A256" s="184"/>
      <c r="B256" s="184"/>
      <c r="C256" s="184"/>
      <c r="D256" s="184"/>
      <c r="E256" s="184"/>
      <c r="F256" s="184"/>
      <c r="G256" s="185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</row>
    <row r="257" ht="15.75" hidden="1" customHeight="1">
      <c r="A257" s="184"/>
      <c r="B257" s="184"/>
      <c r="C257" s="184"/>
      <c r="D257" s="184"/>
      <c r="E257" s="184"/>
      <c r="F257" s="184"/>
      <c r="G257" s="185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</row>
    <row r="258" ht="15.75" hidden="1" customHeight="1">
      <c r="A258" s="184"/>
      <c r="B258" s="184"/>
      <c r="C258" s="184"/>
      <c r="D258" s="184"/>
      <c r="E258" s="184"/>
      <c r="F258" s="184"/>
      <c r="G258" s="185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</row>
    <row r="259" ht="15.75" hidden="1" customHeight="1">
      <c r="A259" s="184"/>
      <c r="B259" s="184"/>
      <c r="C259" s="184"/>
      <c r="D259" s="184"/>
      <c r="E259" s="184"/>
      <c r="F259" s="184"/>
      <c r="G259" s="185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</row>
    <row r="260" ht="15.75" hidden="1" customHeight="1">
      <c r="A260" s="184"/>
      <c r="B260" s="184"/>
      <c r="C260" s="184"/>
      <c r="D260" s="184"/>
      <c r="E260" s="184"/>
      <c r="F260" s="184"/>
      <c r="G260" s="185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</row>
    <row r="261" ht="15.75" hidden="1" customHeight="1">
      <c r="A261" s="184"/>
      <c r="B261" s="184"/>
      <c r="C261" s="184"/>
      <c r="D261" s="184"/>
      <c r="E261" s="184"/>
      <c r="F261" s="184"/>
      <c r="G261" s="185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</row>
    <row r="262" ht="15.75" hidden="1" customHeight="1">
      <c r="A262" s="184"/>
      <c r="B262" s="184"/>
      <c r="C262" s="184"/>
      <c r="D262" s="184"/>
      <c r="E262" s="184"/>
      <c r="F262" s="184"/>
      <c r="G262" s="185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</row>
    <row r="263" ht="15.75" hidden="1" customHeight="1">
      <c r="A263" s="184"/>
      <c r="B263" s="184"/>
      <c r="C263" s="184"/>
      <c r="D263" s="184"/>
      <c r="E263" s="184"/>
      <c r="F263" s="184"/>
      <c r="G263" s="185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</row>
    <row r="264" ht="15.75" hidden="1" customHeight="1">
      <c r="A264" s="184"/>
      <c r="B264" s="184"/>
      <c r="C264" s="184"/>
      <c r="D264" s="184"/>
      <c r="E264" s="184"/>
      <c r="F264" s="184"/>
      <c r="G264" s="185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</row>
    <row r="265" ht="15.75" hidden="1" customHeight="1">
      <c r="A265" s="184"/>
      <c r="B265" s="184"/>
      <c r="C265" s="184"/>
      <c r="D265" s="184"/>
      <c r="E265" s="184"/>
      <c r="F265" s="184"/>
      <c r="G265" s="185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</row>
    <row r="266" ht="15.75" hidden="1" customHeight="1">
      <c r="A266" s="184"/>
      <c r="B266" s="184"/>
      <c r="C266" s="184"/>
      <c r="D266" s="184"/>
      <c r="E266" s="184"/>
      <c r="F266" s="184"/>
      <c r="G266" s="185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</row>
    <row r="267" ht="15.75" hidden="1" customHeight="1">
      <c r="A267" s="184"/>
      <c r="B267" s="184"/>
      <c r="C267" s="184"/>
      <c r="D267" s="184"/>
      <c r="E267" s="184"/>
      <c r="F267" s="184"/>
      <c r="G267" s="185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</row>
    <row r="268" ht="15.75" hidden="1" customHeight="1">
      <c r="A268" s="184"/>
      <c r="B268" s="184"/>
      <c r="C268" s="184"/>
      <c r="D268" s="184"/>
      <c r="E268" s="184"/>
      <c r="F268" s="184"/>
      <c r="G268" s="185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</row>
    <row r="269" ht="15.75" hidden="1" customHeight="1">
      <c r="A269" s="184"/>
      <c r="B269" s="184"/>
      <c r="C269" s="184"/>
      <c r="D269" s="184"/>
      <c r="E269" s="184"/>
      <c r="F269" s="184"/>
      <c r="G269" s="185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</row>
    <row r="270" ht="15.75" hidden="1" customHeight="1">
      <c r="A270" s="184"/>
      <c r="B270" s="184"/>
      <c r="C270" s="184"/>
      <c r="D270" s="184"/>
      <c r="E270" s="184"/>
      <c r="F270" s="184"/>
      <c r="G270" s="185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</row>
    <row r="271" ht="15.75" hidden="1" customHeight="1">
      <c r="A271" s="184"/>
      <c r="B271" s="184"/>
      <c r="C271" s="184"/>
      <c r="D271" s="184"/>
      <c r="E271" s="184"/>
      <c r="F271" s="184"/>
      <c r="G271" s="185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</row>
    <row r="272" ht="15.75" hidden="1" customHeight="1">
      <c r="A272" s="184"/>
      <c r="B272" s="184"/>
      <c r="C272" s="184"/>
      <c r="D272" s="184"/>
      <c r="E272" s="184"/>
      <c r="F272" s="184"/>
      <c r="G272" s="185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</row>
    <row r="273" ht="15.75" hidden="1" customHeight="1">
      <c r="A273" s="184"/>
      <c r="B273" s="184"/>
      <c r="C273" s="184"/>
      <c r="D273" s="184"/>
      <c r="E273" s="184"/>
      <c r="F273" s="184"/>
      <c r="G273" s="185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</row>
    <row r="274" ht="15.75" hidden="1" customHeight="1">
      <c r="A274" s="184"/>
      <c r="B274" s="184"/>
      <c r="C274" s="184"/>
      <c r="D274" s="184"/>
      <c r="E274" s="184"/>
      <c r="F274" s="184"/>
      <c r="G274" s="185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</row>
    <row r="275" ht="15.75" hidden="1" customHeight="1">
      <c r="A275" s="184"/>
      <c r="B275" s="184"/>
      <c r="C275" s="184"/>
      <c r="D275" s="184"/>
      <c r="E275" s="184"/>
      <c r="F275" s="184"/>
      <c r="G275" s="185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</row>
    <row r="276" ht="15.75" hidden="1" customHeight="1">
      <c r="A276" s="184"/>
      <c r="B276" s="184"/>
      <c r="C276" s="184"/>
      <c r="D276" s="184"/>
      <c r="E276" s="184"/>
      <c r="F276" s="184"/>
      <c r="G276" s="185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</row>
    <row r="277" ht="15.75" hidden="1" customHeight="1">
      <c r="A277" s="184"/>
      <c r="B277" s="184"/>
      <c r="C277" s="184"/>
      <c r="D277" s="184"/>
      <c r="E277" s="184"/>
      <c r="F277" s="184"/>
      <c r="G277" s="185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</row>
    <row r="278" ht="15.75" hidden="1" customHeight="1">
      <c r="A278" s="184"/>
      <c r="B278" s="184"/>
      <c r="C278" s="184"/>
      <c r="D278" s="184"/>
      <c r="E278" s="184"/>
      <c r="F278" s="184"/>
      <c r="G278" s="185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</row>
    <row r="279" ht="15.75" hidden="1" customHeight="1">
      <c r="A279" s="184"/>
      <c r="B279" s="184"/>
      <c r="C279" s="184"/>
      <c r="D279" s="184"/>
      <c r="E279" s="184"/>
      <c r="F279" s="184"/>
      <c r="G279" s="185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</row>
    <row r="280" ht="15.75" hidden="1" customHeight="1">
      <c r="A280" s="184"/>
      <c r="B280" s="184"/>
      <c r="C280" s="184"/>
      <c r="D280" s="184"/>
      <c r="E280" s="184"/>
      <c r="F280" s="184"/>
      <c r="G280" s="185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</row>
    <row r="281" ht="15.75" hidden="1" customHeight="1">
      <c r="A281" s="184"/>
      <c r="B281" s="184"/>
      <c r="C281" s="184"/>
      <c r="D281" s="184"/>
      <c r="E281" s="184"/>
      <c r="F281" s="184"/>
      <c r="G281" s="185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</row>
    <row r="282" ht="15.75" hidden="1" customHeight="1">
      <c r="A282" s="184"/>
      <c r="B282" s="184"/>
      <c r="C282" s="184"/>
      <c r="D282" s="184"/>
      <c r="E282" s="184"/>
      <c r="F282" s="184"/>
      <c r="G282" s="185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</row>
    <row r="283" ht="15.75" hidden="1" customHeight="1">
      <c r="A283" s="184"/>
      <c r="B283" s="184"/>
      <c r="C283" s="184"/>
      <c r="D283" s="184"/>
      <c r="E283" s="184"/>
      <c r="F283" s="184"/>
      <c r="G283" s="185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</row>
    <row r="284" ht="15.75" hidden="1" customHeight="1">
      <c r="A284" s="184"/>
      <c r="B284" s="184"/>
      <c r="C284" s="184"/>
      <c r="D284" s="184"/>
      <c r="E284" s="184"/>
      <c r="F284" s="184"/>
      <c r="G284" s="185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</row>
    <row r="285" ht="15.75" hidden="1" customHeight="1">
      <c r="A285" s="184"/>
      <c r="B285" s="184"/>
      <c r="C285" s="184"/>
      <c r="D285" s="184"/>
      <c r="E285" s="184"/>
      <c r="F285" s="184"/>
      <c r="G285" s="185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</row>
    <row r="286" ht="15.75" hidden="1" customHeight="1">
      <c r="A286" s="184"/>
      <c r="B286" s="184"/>
      <c r="C286" s="184"/>
      <c r="D286" s="184"/>
      <c r="E286" s="184"/>
      <c r="F286" s="184"/>
      <c r="G286" s="185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</row>
    <row r="287" ht="15.75" hidden="1" customHeight="1">
      <c r="A287" s="184"/>
      <c r="B287" s="184"/>
      <c r="C287" s="184"/>
      <c r="D287" s="184"/>
      <c r="E287" s="184"/>
      <c r="F287" s="184"/>
      <c r="G287" s="185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</row>
    <row r="288" ht="15.75" hidden="1" customHeight="1">
      <c r="A288" s="184"/>
      <c r="B288" s="184"/>
      <c r="C288" s="184"/>
      <c r="D288" s="184"/>
      <c r="E288" s="184"/>
      <c r="F288" s="184"/>
      <c r="G288" s="185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</row>
    <row r="289" ht="15.75" hidden="1" customHeight="1">
      <c r="A289" s="184"/>
      <c r="B289" s="184"/>
      <c r="C289" s="184"/>
      <c r="D289" s="184"/>
      <c r="E289" s="184"/>
      <c r="F289" s="184"/>
      <c r="G289" s="185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</row>
    <row r="290" ht="15.75" hidden="1" customHeight="1">
      <c r="A290" s="184"/>
      <c r="B290" s="184"/>
      <c r="C290" s="184"/>
      <c r="D290" s="184"/>
      <c r="E290" s="184"/>
      <c r="F290" s="184"/>
      <c r="G290" s="185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</row>
    <row r="291" ht="15.75" hidden="1" customHeight="1">
      <c r="A291" s="184"/>
      <c r="B291" s="184"/>
      <c r="C291" s="184"/>
      <c r="D291" s="184"/>
      <c r="E291" s="184"/>
      <c r="F291" s="184"/>
      <c r="G291" s="185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</row>
    <row r="292" ht="15.75" hidden="1" customHeight="1">
      <c r="A292" s="184"/>
      <c r="B292" s="184"/>
      <c r="C292" s="184"/>
      <c r="D292" s="184"/>
      <c r="E292" s="184"/>
      <c r="F292" s="184"/>
      <c r="G292" s="185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</row>
    <row r="293" ht="15.75" hidden="1" customHeight="1">
      <c r="A293" s="184"/>
      <c r="B293" s="184"/>
      <c r="C293" s="184"/>
      <c r="D293" s="184"/>
      <c r="E293" s="184"/>
      <c r="F293" s="184"/>
      <c r="G293" s="185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</row>
    <row r="294" ht="15.75" hidden="1" customHeight="1">
      <c r="A294" s="184"/>
      <c r="B294" s="184"/>
      <c r="C294" s="184"/>
      <c r="D294" s="184"/>
      <c r="E294" s="184"/>
      <c r="F294" s="184"/>
      <c r="G294" s="185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</row>
    <row r="295" ht="15.75" hidden="1" customHeight="1">
      <c r="A295" s="184"/>
      <c r="B295" s="184"/>
      <c r="C295" s="184"/>
      <c r="D295" s="184"/>
      <c r="E295" s="184"/>
      <c r="F295" s="184"/>
      <c r="G295" s="185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</row>
    <row r="296" ht="15.75" hidden="1" customHeight="1">
      <c r="A296" s="184"/>
      <c r="B296" s="184"/>
      <c r="C296" s="184"/>
      <c r="D296" s="184"/>
      <c r="E296" s="184"/>
      <c r="F296" s="184"/>
      <c r="G296" s="185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</row>
    <row r="297" ht="15.75" hidden="1" customHeight="1">
      <c r="A297" s="184"/>
      <c r="B297" s="184"/>
      <c r="C297" s="184"/>
      <c r="D297" s="184"/>
      <c r="E297" s="184"/>
      <c r="F297" s="184"/>
      <c r="G297" s="185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</row>
    <row r="298" ht="15.75" hidden="1" customHeight="1">
      <c r="A298" s="184"/>
      <c r="B298" s="184"/>
      <c r="C298" s="184"/>
      <c r="D298" s="184"/>
      <c r="E298" s="184"/>
      <c r="F298" s="184"/>
      <c r="G298" s="185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</row>
    <row r="299" ht="15.75" hidden="1" customHeight="1">
      <c r="A299" s="184"/>
      <c r="B299" s="184"/>
      <c r="C299" s="184"/>
      <c r="D299" s="184"/>
      <c r="E299" s="184"/>
      <c r="F299" s="184"/>
      <c r="G299" s="185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</row>
    <row r="300" ht="15.75" hidden="1" customHeight="1">
      <c r="A300" s="184"/>
      <c r="B300" s="184"/>
      <c r="C300" s="184"/>
      <c r="D300" s="184"/>
      <c r="E300" s="184"/>
      <c r="F300" s="184"/>
      <c r="G300" s="185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</row>
    <row r="301" ht="15.75" hidden="1" customHeight="1">
      <c r="A301" s="184"/>
      <c r="B301" s="184"/>
      <c r="C301" s="184"/>
      <c r="D301" s="184"/>
      <c r="E301" s="184"/>
      <c r="F301" s="184"/>
      <c r="G301" s="185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</row>
    <row r="302" ht="15.75" hidden="1" customHeight="1">
      <c r="A302" s="184"/>
      <c r="B302" s="184"/>
      <c r="C302" s="184"/>
      <c r="D302" s="184"/>
      <c r="E302" s="184"/>
      <c r="F302" s="184"/>
      <c r="G302" s="185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</row>
    <row r="303" ht="15.75" hidden="1" customHeight="1">
      <c r="A303" s="184"/>
      <c r="B303" s="184"/>
      <c r="C303" s="184"/>
      <c r="D303" s="184"/>
      <c r="E303" s="184"/>
      <c r="F303" s="184"/>
      <c r="G303" s="185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</row>
    <row r="304" ht="15.75" hidden="1" customHeight="1">
      <c r="A304" s="184"/>
      <c r="B304" s="184"/>
      <c r="C304" s="184"/>
      <c r="D304" s="184"/>
      <c r="E304" s="184"/>
      <c r="F304" s="184"/>
      <c r="G304" s="185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</row>
    <row r="305" ht="15.75" hidden="1" customHeight="1">
      <c r="A305" s="184"/>
      <c r="B305" s="184"/>
      <c r="C305" s="184"/>
      <c r="D305" s="184"/>
      <c r="E305" s="184"/>
      <c r="F305" s="184"/>
      <c r="G305" s="185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</row>
    <row r="306" ht="15.75" hidden="1" customHeight="1">
      <c r="A306" s="184"/>
      <c r="B306" s="184"/>
      <c r="C306" s="184"/>
      <c r="D306" s="184"/>
      <c r="E306" s="184"/>
      <c r="F306" s="184"/>
      <c r="G306" s="185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</row>
    <row r="307" ht="15.75" hidden="1" customHeight="1">
      <c r="A307" s="184"/>
      <c r="B307" s="184"/>
      <c r="C307" s="184"/>
      <c r="D307" s="184"/>
      <c r="E307" s="184"/>
      <c r="F307" s="184"/>
      <c r="G307" s="185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</row>
    <row r="308" ht="15.75" hidden="1" customHeight="1">
      <c r="A308" s="184"/>
      <c r="B308" s="184"/>
      <c r="C308" s="184"/>
      <c r="D308" s="184"/>
      <c r="E308" s="184"/>
      <c r="F308" s="184"/>
      <c r="G308" s="185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</row>
    <row r="309" ht="15.75" hidden="1" customHeight="1">
      <c r="A309" s="184"/>
      <c r="B309" s="184"/>
      <c r="C309" s="184"/>
      <c r="D309" s="184"/>
      <c r="E309" s="184"/>
      <c r="F309" s="184"/>
      <c r="G309" s="185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</row>
    <row r="310" ht="15.75" hidden="1" customHeight="1">
      <c r="A310" s="184"/>
      <c r="B310" s="184"/>
      <c r="C310" s="184"/>
      <c r="D310" s="184"/>
      <c r="E310" s="184"/>
      <c r="F310" s="184"/>
      <c r="G310" s="185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</row>
    <row r="311" ht="15.75" hidden="1" customHeight="1">
      <c r="A311" s="184"/>
      <c r="B311" s="184"/>
      <c r="C311" s="184"/>
      <c r="D311" s="184"/>
      <c r="E311" s="184"/>
      <c r="F311" s="184"/>
      <c r="G311" s="185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</row>
    <row r="312" ht="15.75" hidden="1" customHeight="1">
      <c r="A312" s="184"/>
      <c r="B312" s="184"/>
      <c r="C312" s="184"/>
      <c r="D312" s="184"/>
      <c r="E312" s="184"/>
      <c r="F312" s="184"/>
      <c r="G312" s="185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</row>
    <row r="313" ht="15.75" hidden="1" customHeight="1">
      <c r="A313" s="184"/>
      <c r="B313" s="184"/>
      <c r="C313" s="184"/>
      <c r="D313" s="184"/>
      <c r="E313" s="184"/>
      <c r="F313" s="184"/>
      <c r="G313" s="185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</row>
    <row r="314" ht="15.75" hidden="1" customHeight="1">
      <c r="A314" s="184"/>
      <c r="B314" s="184"/>
      <c r="C314" s="184"/>
      <c r="D314" s="184"/>
      <c r="E314" s="184"/>
      <c r="F314" s="184"/>
      <c r="G314" s="185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</row>
    <row r="315" ht="15.75" hidden="1" customHeight="1">
      <c r="A315" s="184"/>
      <c r="B315" s="184"/>
      <c r="C315" s="184"/>
      <c r="D315" s="184"/>
      <c r="E315" s="184"/>
      <c r="F315" s="184"/>
      <c r="G315" s="185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</row>
    <row r="316" ht="15.75" hidden="1" customHeight="1">
      <c r="A316" s="184"/>
      <c r="B316" s="184"/>
      <c r="C316" s="184"/>
      <c r="D316" s="184"/>
      <c r="E316" s="184"/>
      <c r="F316" s="184"/>
      <c r="G316" s="185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</row>
    <row r="317" ht="15.75" hidden="1" customHeight="1">
      <c r="A317" s="184"/>
      <c r="B317" s="184"/>
      <c r="C317" s="184"/>
      <c r="D317" s="184"/>
      <c r="E317" s="184"/>
      <c r="F317" s="184"/>
      <c r="G317" s="185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</row>
    <row r="318" ht="15.75" hidden="1" customHeight="1">
      <c r="A318" s="184"/>
      <c r="B318" s="184"/>
      <c r="C318" s="184"/>
      <c r="D318" s="184"/>
      <c r="E318" s="184"/>
      <c r="F318" s="184"/>
      <c r="G318" s="185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</row>
    <row r="319" ht="15.75" hidden="1" customHeight="1">
      <c r="A319" s="184"/>
      <c r="B319" s="184"/>
      <c r="C319" s="184"/>
      <c r="D319" s="184"/>
      <c r="E319" s="184"/>
      <c r="F319" s="184"/>
      <c r="G319" s="185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</row>
    <row r="320" ht="15.75" hidden="1" customHeight="1">
      <c r="A320" s="184"/>
      <c r="B320" s="184"/>
      <c r="C320" s="184"/>
      <c r="D320" s="184"/>
      <c r="E320" s="184"/>
      <c r="F320" s="184"/>
      <c r="G320" s="185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</row>
    <row r="321" ht="15.75" hidden="1" customHeight="1">
      <c r="A321" s="184"/>
      <c r="B321" s="184"/>
      <c r="C321" s="184"/>
      <c r="D321" s="184"/>
      <c r="E321" s="184"/>
      <c r="F321" s="184"/>
      <c r="G321" s="185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</row>
    <row r="322" ht="15.75" hidden="1" customHeight="1">
      <c r="A322" s="184"/>
      <c r="B322" s="184"/>
      <c r="C322" s="184"/>
      <c r="D322" s="184"/>
      <c r="E322" s="184"/>
      <c r="F322" s="184"/>
      <c r="G322" s="185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</row>
    <row r="323" ht="15.75" hidden="1" customHeight="1">
      <c r="A323" s="184"/>
      <c r="B323" s="184"/>
      <c r="C323" s="184"/>
      <c r="D323" s="184"/>
      <c r="E323" s="184"/>
      <c r="F323" s="184"/>
      <c r="G323" s="185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</row>
    <row r="324" ht="15.75" hidden="1" customHeight="1">
      <c r="A324" s="184"/>
      <c r="B324" s="184"/>
      <c r="C324" s="184"/>
      <c r="D324" s="184"/>
      <c r="E324" s="184"/>
      <c r="F324" s="184"/>
      <c r="G324" s="185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</row>
    <row r="325" ht="15.75" hidden="1" customHeight="1">
      <c r="A325" s="184"/>
      <c r="B325" s="184"/>
      <c r="C325" s="184"/>
      <c r="D325" s="184"/>
      <c r="E325" s="184"/>
      <c r="F325" s="184"/>
      <c r="G325" s="185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</row>
    <row r="326" ht="15.75" hidden="1" customHeight="1">
      <c r="A326" s="184"/>
      <c r="B326" s="184"/>
      <c r="C326" s="184"/>
      <c r="D326" s="184"/>
      <c r="E326" s="184"/>
      <c r="F326" s="184"/>
      <c r="G326" s="185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</row>
    <row r="327" ht="15.75" hidden="1" customHeight="1">
      <c r="A327" s="184"/>
      <c r="B327" s="184"/>
      <c r="C327" s="184"/>
      <c r="D327" s="184"/>
      <c r="E327" s="184"/>
      <c r="F327" s="184"/>
      <c r="G327" s="185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</row>
    <row r="328" ht="15.75" hidden="1" customHeight="1">
      <c r="A328" s="184"/>
      <c r="B328" s="184"/>
      <c r="C328" s="184"/>
      <c r="D328" s="184"/>
      <c r="E328" s="184"/>
      <c r="F328" s="184"/>
      <c r="G328" s="185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</row>
    <row r="329" ht="15.75" hidden="1" customHeight="1">
      <c r="A329" s="184"/>
      <c r="B329" s="184"/>
      <c r="C329" s="184"/>
      <c r="D329" s="184"/>
      <c r="E329" s="184"/>
      <c r="F329" s="184"/>
      <c r="G329" s="185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</row>
    <row r="330" ht="15.75" hidden="1" customHeight="1">
      <c r="A330" s="184"/>
      <c r="B330" s="184"/>
      <c r="C330" s="184"/>
      <c r="D330" s="184"/>
      <c r="E330" s="184"/>
      <c r="F330" s="184"/>
      <c r="G330" s="185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</row>
    <row r="331" ht="15.75" hidden="1" customHeight="1">
      <c r="A331" s="184"/>
      <c r="B331" s="184"/>
      <c r="C331" s="184"/>
      <c r="D331" s="184"/>
      <c r="E331" s="184"/>
      <c r="F331" s="184"/>
      <c r="G331" s="185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</row>
    <row r="332" ht="15.75" hidden="1" customHeight="1">
      <c r="A332" s="184"/>
      <c r="B332" s="184"/>
      <c r="C332" s="184"/>
      <c r="D332" s="184"/>
      <c r="E332" s="184"/>
      <c r="F332" s="184"/>
      <c r="G332" s="185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</row>
    <row r="333" ht="15.75" hidden="1" customHeight="1">
      <c r="A333" s="184"/>
      <c r="B333" s="184"/>
      <c r="C333" s="184"/>
      <c r="D333" s="184"/>
      <c r="E333" s="184"/>
      <c r="F333" s="184"/>
      <c r="G333" s="185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</row>
    <row r="334" ht="15.75" hidden="1" customHeight="1">
      <c r="A334" s="184"/>
      <c r="B334" s="184"/>
      <c r="C334" s="184"/>
      <c r="D334" s="184"/>
      <c r="E334" s="184"/>
      <c r="F334" s="184"/>
      <c r="G334" s="185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</row>
    <row r="335" ht="15.75" hidden="1" customHeight="1">
      <c r="A335" s="184"/>
      <c r="B335" s="184"/>
      <c r="C335" s="184"/>
      <c r="D335" s="184"/>
      <c r="E335" s="184"/>
      <c r="F335" s="184"/>
      <c r="G335" s="185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</row>
    <row r="336" ht="15.75" hidden="1" customHeight="1">
      <c r="A336" s="184"/>
      <c r="B336" s="184"/>
      <c r="C336" s="184"/>
      <c r="D336" s="184"/>
      <c r="E336" s="184"/>
      <c r="F336" s="184"/>
      <c r="G336" s="185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</row>
    <row r="337" ht="15.75" hidden="1" customHeight="1">
      <c r="A337" s="184"/>
      <c r="B337" s="184"/>
      <c r="C337" s="184"/>
      <c r="D337" s="184"/>
      <c r="E337" s="184"/>
      <c r="F337" s="184"/>
      <c r="G337" s="185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</row>
    <row r="338" ht="15.75" hidden="1" customHeight="1">
      <c r="A338" s="184"/>
      <c r="B338" s="184"/>
      <c r="C338" s="184"/>
      <c r="D338" s="184"/>
      <c r="E338" s="184"/>
      <c r="F338" s="184"/>
      <c r="G338" s="185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</row>
    <row r="339" ht="15.75" hidden="1" customHeight="1">
      <c r="A339" s="184"/>
      <c r="B339" s="184"/>
      <c r="C339" s="184"/>
      <c r="D339" s="184"/>
      <c r="E339" s="184"/>
      <c r="F339" s="184"/>
      <c r="G339" s="185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</row>
    <row r="340" ht="15.75" hidden="1" customHeight="1">
      <c r="A340" s="184"/>
      <c r="B340" s="184"/>
      <c r="C340" s="184"/>
      <c r="D340" s="184"/>
      <c r="E340" s="184"/>
      <c r="F340" s="184"/>
      <c r="G340" s="185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</row>
    <row r="341" ht="15.75" hidden="1" customHeight="1">
      <c r="A341" s="184"/>
      <c r="B341" s="184"/>
      <c r="C341" s="184"/>
      <c r="D341" s="184"/>
      <c r="E341" s="184"/>
      <c r="F341" s="184"/>
      <c r="G341" s="185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</row>
    <row r="342" ht="15.75" hidden="1" customHeight="1">
      <c r="A342" s="184"/>
      <c r="B342" s="184"/>
      <c r="C342" s="184"/>
      <c r="D342" s="184"/>
      <c r="E342" s="184"/>
      <c r="F342" s="184"/>
      <c r="G342" s="185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</row>
    <row r="343" ht="15.75" hidden="1" customHeight="1">
      <c r="A343" s="184"/>
      <c r="B343" s="184"/>
      <c r="C343" s="184"/>
      <c r="D343" s="184"/>
      <c r="E343" s="184"/>
      <c r="F343" s="184"/>
      <c r="G343" s="185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</row>
    <row r="344" ht="15.75" hidden="1" customHeight="1">
      <c r="A344" s="184"/>
      <c r="B344" s="184"/>
      <c r="C344" s="184"/>
      <c r="D344" s="184"/>
      <c r="E344" s="184"/>
      <c r="F344" s="184"/>
      <c r="G344" s="185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</row>
    <row r="345" ht="15.75" hidden="1" customHeight="1">
      <c r="A345" s="184"/>
      <c r="B345" s="184"/>
      <c r="C345" s="184"/>
      <c r="D345" s="184"/>
      <c r="E345" s="184"/>
      <c r="F345" s="184"/>
      <c r="G345" s="185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</row>
    <row r="346" ht="15.75" hidden="1" customHeight="1">
      <c r="A346" s="184"/>
      <c r="B346" s="184"/>
      <c r="C346" s="184"/>
      <c r="D346" s="184"/>
      <c r="E346" s="184"/>
      <c r="F346" s="184"/>
      <c r="G346" s="185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</row>
    <row r="347" ht="15.75" hidden="1" customHeight="1">
      <c r="A347" s="184"/>
      <c r="B347" s="184"/>
      <c r="C347" s="184"/>
      <c r="D347" s="184"/>
      <c r="E347" s="184"/>
      <c r="F347" s="184"/>
      <c r="G347" s="185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</row>
    <row r="348" ht="15.75" hidden="1" customHeight="1">
      <c r="A348" s="184"/>
      <c r="B348" s="184"/>
      <c r="C348" s="184"/>
      <c r="D348" s="184"/>
      <c r="E348" s="184"/>
      <c r="F348" s="184"/>
      <c r="G348" s="185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</row>
    <row r="349" ht="15.75" hidden="1" customHeight="1">
      <c r="A349" s="184"/>
      <c r="B349" s="184"/>
      <c r="C349" s="184"/>
      <c r="D349" s="184"/>
      <c r="E349" s="184"/>
      <c r="F349" s="184"/>
      <c r="G349" s="185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</row>
    <row r="350" ht="15.75" hidden="1" customHeight="1">
      <c r="A350" s="184"/>
      <c r="B350" s="184"/>
      <c r="C350" s="184"/>
      <c r="D350" s="184"/>
      <c r="E350" s="184"/>
      <c r="F350" s="184"/>
      <c r="G350" s="185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</row>
    <row r="351" ht="15.75" hidden="1" customHeight="1">
      <c r="A351" s="184"/>
      <c r="B351" s="184"/>
      <c r="C351" s="184"/>
      <c r="D351" s="184"/>
      <c r="E351" s="184"/>
      <c r="F351" s="184"/>
      <c r="G351" s="185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</row>
    <row r="352" ht="15.75" hidden="1" customHeight="1">
      <c r="A352" s="184"/>
      <c r="B352" s="184"/>
      <c r="C352" s="184"/>
      <c r="D352" s="184"/>
      <c r="E352" s="184"/>
      <c r="F352" s="184"/>
      <c r="G352" s="185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</row>
    <row r="353" ht="15.75" hidden="1" customHeight="1">
      <c r="A353" s="184"/>
      <c r="B353" s="184"/>
      <c r="C353" s="184"/>
      <c r="D353" s="184"/>
      <c r="E353" s="184"/>
      <c r="F353" s="184"/>
      <c r="G353" s="185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</row>
    <row r="354" ht="15.75" hidden="1" customHeight="1">
      <c r="A354" s="184"/>
      <c r="B354" s="184"/>
      <c r="C354" s="184"/>
      <c r="D354" s="184"/>
      <c r="E354" s="184"/>
      <c r="F354" s="184"/>
      <c r="G354" s="185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</row>
    <row r="355" ht="15.75" hidden="1" customHeight="1">
      <c r="A355" s="184"/>
      <c r="B355" s="184"/>
      <c r="C355" s="184"/>
      <c r="D355" s="184"/>
      <c r="E355" s="184"/>
      <c r="F355" s="184"/>
      <c r="G355" s="185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</row>
    <row r="356" ht="15.75" hidden="1" customHeight="1">
      <c r="A356" s="184"/>
      <c r="B356" s="184"/>
      <c r="C356" s="184"/>
      <c r="D356" s="184"/>
      <c r="E356" s="184"/>
      <c r="F356" s="184"/>
      <c r="G356" s="185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</row>
    <row r="357" ht="15.75" hidden="1" customHeight="1">
      <c r="A357" s="184"/>
      <c r="B357" s="184"/>
      <c r="C357" s="184"/>
      <c r="D357" s="184"/>
      <c r="E357" s="184"/>
      <c r="F357" s="184"/>
      <c r="G357" s="185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</row>
    <row r="358" ht="15.75" hidden="1" customHeight="1">
      <c r="A358" s="184"/>
      <c r="B358" s="184"/>
      <c r="C358" s="184"/>
      <c r="D358" s="184"/>
      <c r="E358" s="184"/>
      <c r="F358" s="184"/>
      <c r="G358" s="185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</row>
    <row r="359" ht="15.75" hidden="1" customHeight="1">
      <c r="A359" s="184"/>
      <c r="B359" s="184"/>
      <c r="C359" s="184"/>
      <c r="D359" s="184"/>
      <c r="E359" s="184"/>
      <c r="F359" s="184"/>
      <c r="G359" s="185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</row>
    <row r="360" ht="15.75" hidden="1" customHeight="1">
      <c r="A360" s="184"/>
      <c r="B360" s="184"/>
      <c r="C360" s="184"/>
      <c r="D360" s="184"/>
      <c r="E360" s="184"/>
      <c r="F360" s="184"/>
      <c r="G360" s="185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</row>
    <row r="361" ht="15.75" hidden="1" customHeight="1">
      <c r="A361" s="184"/>
      <c r="B361" s="184"/>
      <c r="C361" s="184"/>
      <c r="D361" s="184"/>
      <c r="E361" s="184"/>
      <c r="F361" s="184"/>
      <c r="G361" s="185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</row>
    <row r="362" ht="15.75" hidden="1" customHeight="1">
      <c r="A362" s="184"/>
      <c r="B362" s="184"/>
      <c r="C362" s="184"/>
      <c r="D362" s="184"/>
      <c r="E362" s="184"/>
      <c r="F362" s="184"/>
      <c r="G362" s="185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</row>
    <row r="363" ht="15.75" hidden="1" customHeight="1">
      <c r="A363" s="184"/>
      <c r="B363" s="184"/>
      <c r="C363" s="184"/>
      <c r="D363" s="184"/>
      <c r="E363" s="184"/>
      <c r="F363" s="184"/>
      <c r="G363" s="185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</row>
    <row r="364" ht="15.75" hidden="1" customHeight="1">
      <c r="A364" s="184"/>
      <c r="B364" s="184"/>
      <c r="C364" s="184"/>
      <c r="D364" s="184"/>
      <c r="E364" s="184"/>
      <c r="F364" s="184"/>
      <c r="G364" s="185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</row>
    <row r="365" ht="15.75" hidden="1" customHeight="1">
      <c r="A365" s="184"/>
      <c r="B365" s="184"/>
      <c r="C365" s="184"/>
      <c r="D365" s="184"/>
      <c r="E365" s="184"/>
      <c r="F365" s="184"/>
      <c r="G365" s="185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</row>
    <row r="366" ht="15.75" hidden="1" customHeight="1">
      <c r="A366" s="184"/>
      <c r="B366" s="184"/>
      <c r="C366" s="184"/>
      <c r="D366" s="184"/>
      <c r="E366" s="184"/>
      <c r="F366" s="184"/>
      <c r="G366" s="185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</row>
    <row r="367" ht="15.75" hidden="1" customHeight="1">
      <c r="A367" s="184"/>
      <c r="B367" s="184"/>
      <c r="C367" s="184"/>
      <c r="D367" s="184"/>
      <c r="E367" s="184"/>
      <c r="F367" s="184"/>
      <c r="G367" s="185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</row>
    <row r="368" ht="15.75" hidden="1" customHeight="1">
      <c r="A368" s="184"/>
      <c r="B368" s="184"/>
      <c r="C368" s="184"/>
      <c r="D368" s="184"/>
      <c r="E368" s="184"/>
      <c r="F368" s="184"/>
      <c r="G368" s="185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</row>
    <row r="369" ht="15.75" hidden="1" customHeight="1">
      <c r="A369" s="184"/>
      <c r="B369" s="184"/>
      <c r="C369" s="184"/>
      <c r="D369" s="184"/>
      <c r="E369" s="184"/>
      <c r="F369" s="184"/>
      <c r="G369" s="185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</row>
    <row r="370" ht="15.75" hidden="1" customHeight="1">
      <c r="A370" s="184"/>
      <c r="B370" s="184"/>
      <c r="C370" s="184"/>
      <c r="D370" s="184"/>
      <c r="E370" s="184"/>
      <c r="F370" s="184"/>
      <c r="G370" s="185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</row>
    <row r="371" ht="15.75" hidden="1" customHeight="1">
      <c r="A371" s="184"/>
      <c r="B371" s="184"/>
      <c r="C371" s="184"/>
      <c r="D371" s="184"/>
      <c r="E371" s="184"/>
      <c r="F371" s="184"/>
      <c r="G371" s="185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</row>
    <row r="372" ht="15.75" hidden="1" customHeight="1">
      <c r="A372" s="184"/>
      <c r="B372" s="184"/>
      <c r="C372" s="184"/>
      <c r="D372" s="184"/>
      <c r="E372" s="184"/>
      <c r="F372" s="184"/>
      <c r="G372" s="185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</row>
    <row r="373" ht="15.75" hidden="1" customHeight="1">
      <c r="A373" s="184"/>
      <c r="B373" s="184"/>
      <c r="C373" s="184"/>
      <c r="D373" s="184"/>
      <c r="E373" s="184"/>
      <c r="F373" s="184"/>
      <c r="G373" s="185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</row>
    <row r="374" ht="15.75" hidden="1" customHeight="1">
      <c r="A374" s="184"/>
      <c r="B374" s="184"/>
      <c r="C374" s="184"/>
      <c r="D374" s="184"/>
      <c r="E374" s="184"/>
      <c r="F374" s="184"/>
      <c r="G374" s="185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</row>
    <row r="375" ht="15.75" hidden="1" customHeight="1">
      <c r="A375" s="184"/>
      <c r="B375" s="184"/>
      <c r="C375" s="184"/>
      <c r="D375" s="184"/>
      <c r="E375" s="184"/>
      <c r="F375" s="184"/>
      <c r="G375" s="185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</row>
    <row r="376" ht="15.75" hidden="1" customHeight="1">
      <c r="A376" s="184"/>
      <c r="B376" s="184"/>
      <c r="C376" s="184"/>
      <c r="D376" s="184"/>
      <c r="E376" s="184"/>
      <c r="F376" s="184"/>
      <c r="G376" s="185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</row>
    <row r="377" ht="15.75" hidden="1" customHeight="1">
      <c r="A377" s="184"/>
      <c r="B377" s="184"/>
      <c r="C377" s="184"/>
      <c r="D377" s="184"/>
      <c r="E377" s="184"/>
      <c r="F377" s="184"/>
      <c r="G377" s="185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</row>
    <row r="378" ht="15.75" hidden="1" customHeight="1">
      <c r="A378" s="184"/>
      <c r="B378" s="184"/>
      <c r="C378" s="184"/>
      <c r="D378" s="184"/>
      <c r="E378" s="184"/>
      <c r="F378" s="184"/>
      <c r="G378" s="185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</row>
    <row r="379" ht="15.75" hidden="1" customHeight="1">
      <c r="A379" s="184"/>
      <c r="B379" s="184"/>
      <c r="C379" s="184"/>
      <c r="D379" s="184"/>
      <c r="E379" s="184"/>
      <c r="F379" s="184"/>
      <c r="G379" s="185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</row>
    <row r="380" ht="15.75" hidden="1" customHeight="1">
      <c r="A380" s="184"/>
      <c r="B380" s="184"/>
      <c r="C380" s="184"/>
      <c r="D380" s="184"/>
      <c r="E380" s="184"/>
      <c r="F380" s="184"/>
      <c r="G380" s="185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</row>
    <row r="381" ht="15.75" hidden="1" customHeight="1">
      <c r="A381" s="184"/>
      <c r="B381" s="184"/>
      <c r="C381" s="184"/>
      <c r="D381" s="184"/>
      <c r="E381" s="184"/>
      <c r="F381" s="184"/>
      <c r="G381" s="185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</row>
    <row r="382" ht="15.75" hidden="1" customHeight="1">
      <c r="A382" s="184"/>
      <c r="B382" s="184"/>
      <c r="C382" s="184"/>
      <c r="D382" s="184"/>
      <c r="E382" s="184"/>
      <c r="F382" s="184"/>
      <c r="G382" s="185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</row>
    <row r="383" ht="15.75" hidden="1" customHeight="1">
      <c r="A383" s="184"/>
      <c r="B383" s="184"/>
      <c r="C383" s="184"/>
      <c r="D383" s="184"/>
      <c r="E383" s="184"/>
      <c r="F383" s="184"/>
      <c r="G383" s="185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</row>
    <row r="384" ht="15.75" hidden="1" customHeight="1">
      <c r="A384" s="184"/>
      <c r="B384" s="184"/>
      <c r="C384" s="184"/>
      <c r="D384" s="184"/>
      <c r="E384" s="184"/>
      <c r="F384" s="184"/>
      <c r="G384" s="185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</row>
    <row r="385" ht="15.75" hidden="1" customHeight="1">
      <c r="A385" s="184"/>
      <c r="B385" s="184"/>
      <c r="C385" s="184"/>
      <c r="D385" s="184"/>
      <c r="E385" s="184"/>
      <c r="F385" s="184"/>
      <c r="G385" s="185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</row>
    <row r="386" ht="15.75" hidden="1" customHeight="1">
      <c r="A386" s="184"/>
      <c r="B386" s="184"/>
      <c r="C386" s="184"/>
      <c r="D386" s="184"/>
      <c r="E386" s="184"/>
      <c r="F386" s="184"/>
      <c r="G386" s="185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</row>
    <row r="387" ht="15.75" hidden="1" customHeight="1">
      <c r="A387" s="184"/>
      <c r="B387" s="184"/>
      <c r="C387" s="184"/>
      <c r="D387" s="184"/>
      <c r="E387" s="184"/>
      <c r="F387" s="184"/>
      <c r="G387" s="185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</row>
    <row r="388" ht="15.75" hidden="1" customHeight="1">
      <c r="A388" s="184"/>
      <c r="B388" s="184"/>
      <c r="C388" s="184"/>
      <c r="D388" s="184"/>
      <c r="E388" s="184"/>
      <c r="F388" s="184"/>
      <c r="G388" s="185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</row>
    <row r="389" ht="15.75" hidden="1" customHeight="1">
      <c r="A389" s="184"/>
      <c r="B389" s="184"/>
      <c r="C389" s="184"/>
      <c r="D389" s="184"/>
      <c r="E389" s="184"/>
      <c r="F389" s="184"/>
      <c r="G389" s="185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</row>
    <row r="390" ht="15.75" hidden="1" customHeight="1">
      <c r="A390" s="184"/>
      <c r="B390" s="184"/>
      <c r="C390" s="184"/>
      <c r="D390" s="184"/>
      <c r="E390" s="184"/>
      <c r="F390" s="184"/>
      <c r="G390" s="185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</row>
    <row r="391" ht="15.75" hidden="1" customHeight="1">
      <c r="A391" s="184"/>
      <c r="B391" s="184"/>
      <c r="C391" s="184"/>
      <c r="D391" s="184"/>
      <c r="E391" s="184"/>
      <c r="F391" s="184"/>
      <c r="G391" s="185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</row>
    <row r="392" ht="15.75" hidden="1" customHeight="1">
      <c r="A392" s="184"/>
      <c r="B392" s="184"/>
      <c r="C392" s="184"/>
      <c r="D392" s="184"/>
      <c r="E392" s="184"/>
      <c r="F392" s="184"/>
      <c r="G392" s="185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</row>
    <row r="393" ht="15.75" hidden="1" customHeight="1">
      <c r="A393" s="184"/>
      <c r="B393" s="184"/>
      <c r="C393" s="184"/>
      <c r="D393" s="184"/>
      <c r="E393" s="184"/>
      <c r="F393" s="184"/>
      <c r="G393" s="185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</row>
    <row r="394" ht="15.75" hidden="1" customHeight="1">
      <c r="A394" s="184"/>
      <c r="B394" s="184"/>
      <c r="C394" s="184"/>
      <c r="D394" s="184"/>
      <c r="E394" s="184"/>
      <c r="F394" s="184"/>
      <c r="G394" s="185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</row>
    <row r="395" ht="15.75" hidden="1" customHeight="1">
      <c r="A395" s="184"/>
      <c r="B395" s="184"/>
      <c r="C395" s="184"/>
      <c r="D395" s="184"/>
      <c r="E395" s="184"/>
      <c r="F395" s="184"/>
      <c r="G395" s="185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</row>
    <row r="396" ht="15.75" hidden="1" customHeight="1">
      <c r="A396" s="184"/>
      <c r="B396" s="184"/>
      <c r="C396" s="184"/>
      <c r="D396" s="184"/>
      <c r="E396" s="184"/>
      <c r="F396" s="184"/>
      <c r="G396" s="185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</row>
    <row r="397" ht="15.75" hidden="1" customHeight="1">
      <c r="A397" s="184"/>
      <c r="B397" s="184"/>
      <c r="C397" s="184"/>
      <c r="D397" s="184"/>
      <c r="E397" s="184"/>
      <c r="F397" s="184"/>
      <c r="G397" s="185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</row>
    <row r="398" ht="15.75" hidden="1" customHeight="1">
      <c r="A398" s="184"/>
      <c r="B398" s="184"/>
      <c r="C398" s="184"/>
      <c r="D398" s="184"/>
      <c r="E398" s="184"/>
      <c r="F398" s="184"/>
      <c r="G398" s="185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</row>
    <row r="399" ht="15.75" hidden="1" customHeight="1">
      <c r="A399" s="184"/>
      <c r="B399" s="184"/>
      <c r="C399" s="184"/>
      <c r="D399" s="184"/>
      <c r="E399" s="184"/>
      <c r="F399" s="184"/>
      <c r="G399" s="185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</row>
    <row r="400" ht="15.75" hidden="1" customHeight="1">
      <c r="A400" s="184"/>
      <c r="B400" s="184"/>
      <c r="C400" s="184"/>
      <c r="D400" s="184"/>
      <c r="E400" s="184"/>
      <c r="F400" s="184"/>
      <c r="G400" s="185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</row>
    <row r="401" ht="15.75" hidden="1" customHeight="1">
      <c r="A401" s="184"/>
      <c r="B401" s="184"/>
      <c r="C401" s="184"/>
      <c r="D401" s="184"/>
      <c r="E401" s="184"/>
      <c r="F401" s="184"/>
      <c r="G401" s="185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</row>
    <row r="402" ht="15.75" hidden="1" customHeight="1">
      <c r="A402" s="184"/>
      <c r="B402" s="184"/>
      <c r="C402" s="184"/>
      <c r="D402" s="184"/>
      <c r="E402" s="184"/>
      <c r="F402" s="184"/>
      <c r="G402" s="185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</row>
    <row r="403" ht="15.75" hidden="1" customHeight="1">
      <c r="A403" s="184"/>
      <c r="B403" s="184"/>
      <c r="C403" s="184"/>
      <c r="D403" s="184"/>
      <c r="E403" s="184"/>
      <c r="F403" s="184"/>
      <c r="G403" s="185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</row>
    <row r="404" ht="15.75" hidden="1" customHeight="1">
      <c r="A404" s="184"/>
      <c r="B404" s="184"/>
      <c r="C404" s="184"/>
      <c r="D404" s="184"/>
      <c r="E404" s="184"/>
      <c r="F404" s="184"/>
      <c r="G404" s="185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</row>
    <row r="405" ht="15.75" hidden="1" customHeight="1">
      <c r="A405" s="184"/>
      <c r="B405" s="184"/>
      <c r="C405" s="184"/>
      <c r="D405" s="184"/>
      <c r="E405" s="184"/>
      <c r="F405" s="184"/>
      <c r="G405" s="185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</row>
    <row r="406" ht="15.75" hidden="1" customHeight="1">
      <c r="A406" s="184"/>
      <c r="B406" s="184"/>
      <c r="C406" s="184"/>
      <c r="D406" s="184"/>
      <c r="E406" s="184"/>
      <c r="F406" s="184"/>
      <c r="G406" s="185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</row>
    <row r="407" ht="15.75" hidden="1" customHeight="1">
      <c r="A407" s="184"/>
      <c r="B407" s="184"/>
      <c r="C407" s="184"/>
      <c r="D407" s="184"/>
      <c r="E407" s="184"/>
      <c r="F407" s="184"/>
      <c r="G407" s="185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</row>
    <row r="408" ht="15.75" hidden="1" customHeight="1">
      <c r="A408" s="184"/>
      <c r="B408" s="184"/>
      <c r="C408" s="184"/>
      <c r="D408" s="184"/>
      <c r="E408" s="184"/>
      <c r="F408" s="184"/>
      <c r="G408" s="185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</row>
    <row r="409" ht="15.75" hidden="1" customHeight="1">
      <c r="A409" s="184"/>
      <c r="B409" s="184"/>
      <c r="C409" s="184"/>
      <c r="D409" s="184"/>
      <c r="E409" s="184"/>
      <c r="F409" s="184"/>
      <c r="G409" s="185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</row>
    <row r="410" ht="15.75" hidden="1" customHeight="1">
      <c r="A410" s="184"/>
      <c r="B410" s="184"/>
      <c r="C410" s="184"/>
      <c r="D410" s="184"/>
      <c r="E410" s="184"/>
      <c r="F410" s="184"/>
      <c r="G410" s="185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</row>
    <row r="411" ht="15.75" hidden="1" customHeight="1">
      <c r="A411" s="184"/>
      <c r="B411" s="184"/>
      <c r="C411" s="184"/>
      <c r="D411" s="184"/>
      <c r="E411" s="184"/>
      <c r="F411" s="184"/>
      <c r="G411" s="185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</row>
    <row r="412" ht="15.75" hidden="1" customHeight="1">
      <c r="A412" s="184"/>
      <c r="B412" s="184"/>
      <c r="C412" s="184"/>
      <c r="D412" s="184"/>
      <c r="E412" s="184"/>
      <c r="F412" s="184"/>
      <c r="G412" s="185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</row>
    <row r="413" ht="15.75" hidden="1" customHeight="1">
      <c r="A413" s="184"/>
      <c r="B413" s="184"/>
      <c r="C413" s="184"/>
      <c r="D413" s="184"/>
      <c r="E413" s="184"/>
      <c r="F413" s="184"/>
      <c r="G413" s="185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</row>
    <row r="414" ht="15.75" hidden="1" customHeight="1">
      <c r="A414" s="184"/>
      <c r="B414" s="184"/>
      <c r="C414" s="184"/>
      <c r="D414" s="184"/>
      <c r="E414" s="184"/>
      <c r="F414" s="184"/>
      <c r="G414" s="185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</row>
    <row r="415" ht="15.75" hidden="1" customHeight="1">
      <c r="A415" s="184"/>
      <c r="B415" s="184"/>
      <c r="C415" s="184"/>
      <c r="D415" s="184"/>
      <c r="E415" s="184"/>
      <c r="F415" s="184"/>
      <c r="G415" s="185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</row>
    <row r="416" ht="15.75" hidden="1" customHeight="1">
      <c r="A416" s="184"/>
      <c r="B416" s="184"/>
      <c r="C416" s="184"/>
      <c r="D416" s="184"/>
      <c r="E416" s="184"/>
      <c r="F416" s="184"/>
      <c r="G416" s="185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</row>
    <row r="417" ht="15.75" hidden="1" customHeight="1">
      <c r="A417" s="184"/>
      <c r="B417" s="184"/>
      <c r="C417" s="184"/>
      <c r="D417" s="184"/>
      <c r="E417" s="184"/>
      <c r="F417" s="184"/>
      <c r="G417" s="185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</row>
    <row r="418" ht="15.75" hidden="1" customHeight="1">
      <c r="A418" s="184"/>
      <c r="B418" s="184"/>
      <c r="C418" s="184"/>
      <c r="D418" s="184"/>
      <c r="E418" s="184"/>
      <c r="F418" s="184"/>
      <c r="G418" s="185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</row>
    <row r="419" ht="15.75" hidden="1" customHeight="1">
      <c r="A419" s="184"/>
      <c r="B419" s="184"/>
      <c r="C419" s="184"/>
      <c r="D419" s="184"/>
      <c r="E419" s="184"/>
      <c r="F419" s="184"/>
      <c r="G419" s="185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</row>
    <row r="420" ht="15.75" hidden="1" customHeight="1">
      <c r="A420" s="184"/>
      <c r="B420" s="184"/>
      <c r="C420" s="184"/>
      <c r="D420" s="184"/>
      <c r="E420" s="184"/>
      <c r="F420" s="184"/>
      <c r="G420" s="185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</row>
    <row r="421" ht="15.75" hidden="1" customHeight="1">
      <c r="A421" s="184"/>
      <c r="B421" s="184"/>
      <c r="C421" s="184"/>
      <c r="D421" s="184"/>
      <c r="E421" s="184"/>
      <c r="F421" s="184"/>
      <c r="G421" s="185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</row>
    <row r="422" ht="15.75" hidden="1" customHeight="1">
      <c r="A422" s="184"/>
      <c r="B422" s="184"/>
      <c r="C422" s="184"/>
      <c r="D422" s="184"/>
      <c r="E422" s="184"/>
      <c r="F422" s="184"/>
      <c r="G422" s="185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</row>
    <row r="423" ht="15.75" hidden="1" customHeight="1">
      <c r="A423" s="184"/>
      <c r="B423" s="184"/>
      <c r="C423" s="184"/>
      <c r="D423" s="184"/>
      <c r="E423" s="184"/>
      <c r="F423" s="184"/>
      <c r="G423" s="185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</row>
    <row r="424" ht="15.75" hidden="1" customHeight="1">
      <c r="A424" s="184"/>
      <c r="B424" s="184"/>
      <c r="C424" s="184"/>
      <c r="D424" s="184"/>
      <c r="E424" s="184"/>
      <c r="F424" s="184"/>
      <c r="G424" s="185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</row>
    <row r="425" ht="15.75" hidden="1" customHeight="1">
      <c r="A425" s="184"/>
      <c r="B425" s="184"/>
      <c r="C425" s="184"/>
      <c r="D425" s="184"/>
      <c r="E425" s="184"/>
      <c r="F425" s="184"/>
      <c r="G425" s="185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</row>
    <row r="426" ht="15.75" hidden="1" customHeight="1">
      <c r="A426" s="184"/>
      <c r="B426" s="184"/>
      <c r="C426" s="184"/>
      <c r="D426" s="184"/>
      <c r="E426" s="184"/>
      <c r="F426" s="184"/>
      <c r="G426" s="185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</row>
    <row r="427" ht="15.75" hidden="1" customHeight="1">
      <c r="A427" s="184"/>
      <c r="B427" s="184"/>
      <c r="C427" s="184"/>
      <c r="D427" s="184"/>
      <c r="E427" s="184"/>
      <c r="F427" s="184"/>
      <c r="G427" s="185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</row>
    <row r="428" ht="15.75" hidden="1" customHeight="1">
      <c r="A428" s="184"/>
      <c r="B428" s="184"/>
      <c r="C428" s="184"/>
      <c r="D428" s="184"/>
      <c r="E428" s="184"/>
      <c r="F428" s="184"/>
      <c r="G428" s="185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</row>
    <row r="429" ht="15.75" hidden="1" customHeight="1">
      <c r="A429" s="184"/>
      <c r="B429" s="184"/>
      <c r="C429" s="184"/>
      <c r="D429" s="184"/>
      <c r="E429" s="184"/>
      <c r="F429" s="184"/>
      <c r="G429" s="185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</row>
    <row r="430" ht="15.75" hidden="1" customHeight="1">
      <c r="A430" s="184"/>
      <c r="B430" s="184"/>
      <c r="C430" s="184"/>
      <c r="D430" s="184"/>
      <c r="E430" s="184"/>
      <c r="F430" s="184"/>
      <c r="G430" s="185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</row>
    <row r="431" ht="15.75" hidden="1" customHeight="1">
      <c r="A431" s="184"/>
      <c r="B431" s="184"/>
      <c r="C431" s="184"/>
      <c r="D431" s="184"/>
      <c r="E431" s="184"/>
      <c r="F431" s="184"/>
      <c r="G431" s="185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</row>
    <row r="432" ht="15.75" hidden="1" customHeight="1">
      <c r="A432" s="184"/>
      <c r="B432" s="184"/>
      <c r="C432" s="184"/>
      <c r="D432" s="184"/>
      <c r="E432" s="184"/>
      <c r="F432" s="184"/>
      <c r="G432" s="185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</row>
    <row r="433" ht="15.75" hidden="1" customHeight="1">
      <c r="A433" s="184"/>
      <c r="B433" s="184"/>
      <c r="C433" s="184"/>
      <c r="D433" s="184"/>
      <c r="E433" s="184"/>
      <c r="F433" s="184"/>
      <c r="G433" s="185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</row>
    <row r="434" ht="15.75" hidden="1" customHeight="1">
      <c r="A434" s="184"/>
      <c r="B434" s="184"/>
      <c r="C434" s="184"/>
      <c r="D434" s="184"/>
      <c r="E434" s="184"/>
      <c r="F434" s="184"/>
      <c r="G434" s="185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</row>
    <row r="435" ht="15.75" hidden="1" customHeight="1">
      <c r="A435" s="184"/>
      <c r="B435" s="184"/>
      <c r="C435" s="184"/>
      <c r="D435" s="184"/>
      <c r="E435" s="184"/>
      <c r="F435" s="184"/>
      <c r="G435" s="185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</row>
    <row r="436" ht="15.75" hidden="1" customHeight="1">
      <c r="A436" s="184"/>
      <c r="B436" s="184"/>
      <c r="C436" s="184"/>
      <c r="D436" s="184"/>
      <c r="E436" s="184"/>
      <c r="F436" s="184"/>
      <c r="G436" s="185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</row>
    <row r="437" ht="15.75" hidden="1" customHeight="1">
      <c r="A437" s="184"/>
      <c r="B437" s="184"/>
      <c r="C437" s="184"/>
      <c r="D437" s="184"/>
      <c r="E437" s="184"/>
      <c r="F437" s="184"/>
      <c r="G437" s="185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</row>
    <row r="438" ht="15.75" hidden="1" customHeight="1">
      <c r="A438" s="184"/>
      <c r="B438" s="184"/>
      <c r="C438" s="184"/>
      <c r="D438" s="184"/>
      <c r="E438" s="184"/>
      <c r="F438" s="184"/>
      <c r="G438" s="185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</row>
    <row r="439" ht="15.75" hidden="1" customHeight="1">
      <c r="A439" s="184"/>
      <c r="B439" s="184"/>
      <c r="C439" s="184"/>
      <c r="D439" s="184"/>
      <c r="E439" s="184"/>
      <c r="F439" s="184"/>
      <c r="G439" s="185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</row>
    <row r="440" ht="15.75" hidden="1" customHeight="1">
      <c r="A440" s="184"/>
      <c r="B440" s="184"/>
      <c r="C440" s="184"/>
      <c r="D440" s="184"/>
      <c r="E440" s="184"/>
      <c r="F440" s="184"/>
      <c r="G440" s="185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</row>
    <row r="441" ht="15.75" hidden="1" customHeight="1">
      <c r="A441" s="184"/>
      <c r="B441" s="184"/>
      <c r="C441" s="184"/>
      <c r="D441" s="184"/>
      <c r="E441" s="184"/>
      <c r="F441" s="184"/>
      <c r="G441" s="185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</row>
    <row r="442" ht="15.75" hidden="1" customHeight="1">
      <c r="A442" s="184"/>
      <c r="B442" s="184"/>
      <c r="C442" s="184"/>
      <c r="D442" s="184"/>
      <c r="E442" s="184"/>
      <c r="F442" s="184"/>
      <c r="G442" s="185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</row>
    <row r="443" ht="15.75" hidden="1" customHeight="1">
      <c r="A443" s="184"/>
      <c r="B443" s="184"/>
      <c r="C443" s="184"/>
      <c r="D443" s="184"/>
      <c r="E443" s="184"/>
      <c r="F443" s="184"/>
      <c r="G443" s="185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</row>
    <row r="444" ht="15.75" hidden="1" customHeight="1">
      <c r="A444" s="184"/>
      <c r="B444" s="184"/>
      <c r="C444" s="184"/>
      <c r="D444" s="184"/>
      <c r="E444" s="184"/>
      <c r="F444" s="184"/>
      <c r="G444" s="185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</row>
    <row r="445" ht="15.75" hidden="1" customHeight="1">
      <c r="A445" s="184"/>
      <c r="B445" s="184"/>
      <c r="C445" s="184"/>
      <c r="D445" s="184"/>
      <c r="E445" s="184"/>
      <c r="F445" s="184"/>
      <c r="G445" s="185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</row>
    <row r="446" ht="15.75" hidden="1" customHeight="1">
      <c r="A446" s="184"/>
      <c r="B446" s="184"/>
      <c r="C446" s="184"/>
      <c r="D446" s="184"/>
      <c r="E446" s="184"/>
      <c r="F446" s="184"/>
      <c r="G446" s="185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</row>
    <row r="447" ht="15.75" hidden="1" customHeight="1">
      <c r="A447" s="184"/>
      <c r="B447" s="184"/>
      <c r="C447" s="184"/>
      <c r="D447" s="184"/>
      <c r="E447" s="184"/>
      <c r="F447" s="184"/>
      <c r="G447" s="185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</row>
    <row r="448" ht="15.75" hidden="1" customHeight="1">
      <c r="A448" s="184"/>
      <c r="B448" s="184"/>
      <c r="C448" s="184"/>
      <c r="D448" s="184"/>
      <c r="E448" s="184"/>
      <c r="F448" s="184"/>
      <c r="G448" s="185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</row>
    <row r="449" ht="15.75" hidden="1" customHeight="1">
      <c r="A449" s="184"/>
      <c r="B449" s="184"/>
      <c r="C449" s="184"/>
      <c r="D449" s="184"/>
      <c r="E449" s="184"/>
      <c r="F449" s="184"/>
      <c r="G449" s="185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</row>
    <row r="450" ht="15.75" hidden="1" customHeight="1">
      <c r="A450" s="184"/>
      <c r="B450" s="184"/>
      <c r="C450" s="184"/>
      <c r="D450" s="184"/>
      <c r="E450" s="184"/>
      <c r="F450" s="184"/>
      <c r="G450" s="185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</row>
    <row r="451" ht="15.75" hidden="1" customHeight="1">
      <c r="A451" s="184"/>
      <c r="B451" s="184"/>
      <c r="C451" s="184"/>
      <c r="D451" s="184"/>
      <c r="E451" s="184"/>
      <c r="F451" s="184"/>
      <c r="G451" s="185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</row>
    <row r="452" ht="15.75" hidden="1" customHeight="1">
      <c r="A452" s="184"/>
      <c r="B452" s="184"/>
      <c r="C452" s="184"/>
      <c r="D452" s="184"/>
      <c r="E452" s="184"/>
      <c r="F452" s="184"/>
      <c r="G452" s="185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</row>
    <row r="453" ht="15.75" hidden="1" customHeight="1">
      <c r="A453" s="184"/>
      <c r="B453" s="184"/>
      <c r="C453" s="184"/>
      <c r="D453" s="184"/>
      <c r="E453" s="184"/>
      <c r="F453" s="184"/>
      <c r="G453" s="185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</row>
    <row r="454" ht="15.75" hidden="1" customHeight="1">
      <c r="A454" s="184"/>
      <c r="B454" s="184"/>
      <c r="C454" s="184"/>
      <c r="D454" s="184"/>
      <c r="E454" s="184"/>
      <c r="F454" s="184"/>
      <c r="G454" s="185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</row>
    <row r="455" ht="15.75" hidden="1" customHeight="1">
      <c r="A455" s="184"/>
      <c r="B455" s="184"/>
      <c r="C455" s="184"/>
      <c r="D455" s="184"/>
      <c r="E455" s="184"/>
      <c r="F455" s="184"/>
      <c r="G455" s="185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</row>
    <row r="456" ht="15.75" hidden="1" customHeight="1">
      <c r="A456" s="184"/>
      <c r="B456" s="184"/>
      <c r="C456" s="184"/>
      <c r="D456" s="184"/>
      <c r="E456" s="184"/>
      <c r="F456" s="184"/>
      <c r="G456" s="185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</row>
    <row r="457" ht="15.75" hidden="1" customHeight="1">
      <c r="A457" s="184"/>
      <c r="B457" s="184"/>
      <c r="C457" s="184"/>
      <c r="D457" s="184"/>
      <c r="E457" s="184"/>
      <c r="F457" s="184"/>
      <c r="G457" s="185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</row>
    <row r="458" ht="15.75" hidden="1" customHeight="1">
      <c r="A458" s="184"/>
      <c r="B458" s="184"/>
      <c r="C458" s="184"/>
      <c r="D458" s="184"/>
      <c r="E458" s="184"/>
      <c r="F458" s="184"/>
      <c r="G458" s="185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</row>
    <row r="459" ht="15.75" hidden="1" customHeight="1">
      <c r="A459" s="184"/>
      <c r="B459" s="184"/>
      <c r="C459" s="184"/>
      <c r="D459" s="184"/>
      <c r="E459" s="184"/>
      <c r="F459" s="184"/>
      <c r="G459" s="185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</row>
    <row r="460" ht="15.75" hidden="1" customHeight="1">
      <c r="A460" s="184"/>
      <c r="B460" s="184"/>
      <c r="C460" s="184"/>
      <c r="D460" s="184"/>
      <c r="E460" s="184"/>
      <c r="F460" s="184"/>
      <c r="G460" s="185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</row>
    <row r="461" ht="15.75" hidden="1" customHeight="1">
      <c r="A461" s="184"/>
      <c r="B461" s="184"/>
      <c r="C461" s="184"/>
      <c r="D461" s="184"/>
      <c r="E461" s="184"/>
      <c r="F461" s="184"/>
      <c r="G461" s="185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</row>
    <row r="462" ht="15.75" hidden="1" customHeight="1">
      <c r="A462" s="184"/>
      <c r="B462" s="184"/>
      <c r="C462" s="184"/>
      <c r="D462" s="184"/>
      <c r="E462" s="184"/>
      <c r="F462" s="184"/>
      <c r="G462" s="185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</row>
    <row r="463" ht="15.75" hidden="1" customHeight="1">
      <c r="A463" s="184"/>
      <c r="B463" s="184"/>
      <c r="C463" s="184"/>
      <c r="D463" s="184"/>
      <c r="E463" s="184"/>
      <c r="F463" s="184"/>
      <c r="G463" s="185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</row>
    <row r="464" ht="15.75" hidden="1" customHeight="1">
      <c r="A464" s="184"/>
      <c r="B464" s="184"/>
      <c r="C464" s="184"/>
      <c r="D464" s="184"/>
      <c r="E464" s="184"/>
      <c r="F464" s="184"/>
      <c r="G464" s="185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</row>
    <row r="465" ht="15.75" hidden="1" customHeight="1">
      <c r="A465" s="184"/>
      <c r="B465" s="184"/>
      <c r="C465" s="184"/>
      <c r="D465" s="184"/>
      <c r="E465" s="184"/>
      <c r="F465" s="184"/>
      <c r="G465" s="185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</row>
    <row r="466" ht="15.75" hidden="1" customHeight="1">
      <c r="A466" s="184"/>
      <c r="B466" s="184"/>
      <c r="C466" s="184"/>
      <c r="D466" s="184"/>
      <c r="E466" s="184"/>
      <c r="F466" s="184"/>
      <c r="G466" s="185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</row>
    <row r="467" ht="15.75" hidden="1" customHeight="1">
      <c r="A467" s="184"/>
      <c r="B467" s="184"/>
      <c r="C467" s="184"/>
      <c r="D467" s="184"/>
      <c r="E467" s="184"/>
      <c r="F467" s="184"/>
      <c r="G467" s="185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</row>
    <row r="468" ht="15.75" hidden="1" customHeight="1">
      <c r="A468" s="184"/>
      <c r="B468" s="184"/>
      <c r="C468" s="184"/>
      <c r="D468" s="184"/>
      <c r="E468" s="184"/>
      <c r="F468" s="184"/>
      <c r="G468" s="185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</row>
    <row r="469" ht="15.75" hidden="1" customHeight="1">
      <c r="A469" s="184"/>
      <c r="B469" s="184"/>
      <c r="C469" s="184"/>
      <c r="D469" s="184"/>
      <c r="E469" s="184"/>
      <c r="F469" s="184"/>
      <c r="G469" s="185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</row>
    <row r="470" ht="15.75" hidden="1" customHeight="1">
      <c r="A470" s="184"/>
      <c r="B470" s="184"/>
      <c r="C470" s="184"/>
      <c r="D470" s="184"/>
      <c r="E470" s="184"/>
      <c r="F470" s="184"/>
      <c r="G470" s="185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</row>
    <row r="471" ht="15.75" hidden="1" customHeight="1">
      <c r="A471" s="184"/>
      <c r="B471" s="184"/>
      <c r="C471" s="184"/>
      <c r="D471" s="184"/>
      <c r="E471" s="184"/>
      <c r="F471" s="184"/>
      <c r="G471" s="185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</row>
    <row r="472" ht="15.75" hidden="1" customHeight="1">
      <c r="A472" s="184"/>
      <c r="B472" s="184"/>
      <c r="C472" s="184"/>
      <c r="D472" s="184"/>
      <c r="E472" s="184"/>
      <c r="F472" s="184"/>
      <c r="G472" s="185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</row>
    <row r="473" ht="15.75" hidden="1" customHeight="1">
      <c r="A473" s="184"/>
      <c r="B473" s="184"/>
      <c r="C473" s="184"/>
      <c r="D473" s="184"/>
      <c r="E473" s="184"/>
      <c r="F473" s="184"/>
      <c r="G473" s="185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</row>
    <row r="474" ht="15.75" hidden="1" customHeight="1">
      <c r="A474" s="184"/>
      <c r="B474" s="184"/>
      <c r="C474" s="184"/>
      <c r="D474" s="184"/>
      <c r="E474" s="184"/>
      <c r="F474" s="184"/>
      <c r="G474" s="185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</row>
    <row r="475" ht="15.75" hidden="1" customHeight="1">
      <c r="A475" s="184"/>
      <c r="B475" s="184"/>
      <c r="C475" s="184"/>
      <c r="D475" s="184"/>
      <c r="E475" s="184"/>
      <c r="F475" s="184"/>
      <c r="G475" s="185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</row>
    <row r="476" ht="15.75" hidden="1" customHeight="1">
      <c r="A476" s="184"/>
      <c r="B476" s="184"/>
      <c r="C476" s="184"/>
      <c r="D476" s="184"/>
      <c r="E476" s="184"/>
      <c r="F476" s="184"/>
      <c r="G476" s="185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</row>
    <row r="477" ht="15.75" hidden="1" customHeight="1">
      <c r="A477" s="184"/>
      <c r="B477" s="184"/>
      <c r="C477" s="184"/>
      <c r="D477" s="184"/>
      <c r="E477" s="184"/>
      <c r="F477" s="184"/>
      <c r="G477" s="185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</row>
    <row r="478" ht="15.75" hidden="1" customHeight="1">
      <c r="A478" s="184"/>
      <c r="B478" s="184"/>
      <c r="C478" s="184"/>
      <c r="D478" s="184"/>
      <c r="E478" s="184"/>
      <c r="F478" s="184"/>
      <c r="G478" s="185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</row>
    <row r="479" ht="15.75" hidden="1" customHeight="1">
      <c r="A479" s="184"/>
      <c r="B479" s="184"/>
      <c r="C479" s="184"/>
      <c r="D479" s="184"/>
      <c r="E479" s="184"/>
      <c r="F479" s="184"/>
      <c r="G479" s="185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</row>
    <row r="480" ht="15.75" hidden="1" customHeight="1">
      <c r="A480" s="184"/>
      <c r="B480" s="184"/>
      <c r="C480" s="184"/>
      <c r="D480" s="184"/>
      <c r="E480" s="184"/>
      <c r="F480" s="184"/>
      <c r="G480" s="185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</row>
    <row r="481" ht="15.75" hidden="1" customHeight="1">
      <c r="A481" s="184"/>
      <c r="B481" s="184"/>
      <c r="C481" s="184"/>
      <c r="D481" s="184"/>
      <c r="E481" s="184"/>
      <c r="F481" s="184"/>
      <c r="G481" s="185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</row>
    <row r="482" ht="15.75" hidden="1" customHeight="1">
      <c r="A482" s="184"/>
      <c r="B482" s="184"/>
      <c r="C482" s="184"/>
      <c r="D482" s="184"/>
      <c r="E482" s="184"/>
      <c r="F482" s="184"/>
      <c r="G482" s="185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</row>
    <row r="483" ht="15.75" hidden="1" customHeight="1">
      <c r="A483" s="184"/>
      <c r="B483" s="184"/>
      <c r="C483" s="184"/>
      <c r="D483" s="184"/>
      <c r="E483" s="184"/>
      <c r="F483" s="184"/>
      <c r="G483" s="185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</row>
    <row r="484" ht="15.75" hidden="1" customHeight="1">
      <c r="A484" s="184"/>
      <c r="B484" s="184"/>
      <c r="C484" s="184"/>
      <c r="D484" s="184"/>
      <c r="E484" s="184"/>
      <c r="F484" s="184"/>
      <c r="G484" s="185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</row>
    <row r="485" ht="15.75" hidden="1" customHeight="1">
      <c r="A485" s="184"/>
      <c r="B485" s="184"/>
      <c r="C485" s="184"/>
      <c r="D485" s="184"/>
      <c r="E485" s="184"/>
      <c r="F485" s="184"/>
      <c r="G485" s="185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</row>
    <row r="486" ht="15.75" hidden="1" customHeight="1">
      <c r="A486" s="184"/>
      <c r="B486" s="184"/>
      <c r="C486" s="184"/>
      <c r="D486" s="184"/>
      <c r="E486" s="184"/>
      <c r="F486" s="184"/>
      <c r="G486" s="185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</row>
    <row r="487" ht="15.75" hidden="1" customHeight="1">
      <c r="A487" s="184"/>
      <c r="B487" s="184"/>
      <c r="C487" s="184"/>
      <c r="D487" s="184"/>
      <c r="E487" s="184"/>
      <c r="F487" s="184"/>
      <c r="G487" s="185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</row>
    <row r="488" ht="15.75" hidden="1" customHeight="1">
      <c r="A488" s="184"/>
      <c r="B488" s="184"/>
      <c r="C488" s="184"/>
      <c r="D488" s="184"/>
      <c r="E488" s="184"/>
      <c r="F488" s="184"/>
      <c r="G488" s="185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</row>
    <row r="489" ht="15.75" hidden="1" customHeight="1">
      <c r="A489" s="184"/>
      <c r="B489" s="184"/>
      <c r="C489" s="184"/>
      <c r="D489" s="184"/>
      <c r="E489" s="184"/>
      <c r="F489" s="184"/>
      <c r="G489" s="185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</row>
    <row r="490" ht="15.75" hidden="1" customHeight="1">
      <c r="A490" s="184"/>
      <c r="B490" s="184"/>
      <c r="C490" s="184"/>
      <c r="D490" s="184"/>
      <c r="E490" s="184"/>
      <c r="F490" s="184"/>
      <c r="G490" s="185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</row>
    <row r="491" ht="15.75" hidden="1" customHeight="1">
      <c r="A491" s="184"/>
      <c r="B491" s="184"/>
      <c r="C491" s="184"/>
      <c r="D491" s="184"/>
      <c r="E491" s="184"/>
      <c r="F491" s="184"/>
      <c r="G491" s="185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</row>
    <row r="492" ht="15.75" hidden="1" customHeight="1">
      <c r="A492" s="184"/>
      <c r="B492" s="184"/>
      <c r="C492" s="184"/>
      <c r="D492" s="184"/>
      <c r="E492" s="184"/>
      <c r="F492" s="184"/>
      <c r="G492" s="185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</row>
    <row r="493" ht="15.75" hidden="1" customHeight="1">
      <c r="A493" s="184"/>
      <c r="B493" s="184"/>
      <c r="C493" s="184"/>
      <c r="D493" s="184"/>
      <c r="E493" s="184"/>
      <c r="F493" s="184"/>
      <c r="G493" s="185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</row>
    <row r="494" ht="15.75" hidden="1" customHeight="1">
      <c r="A494" s="184"/>
      <c r="B494" s="184"/>
      <c r="C494" s="184"/>
      <c r="D494" s="184"/>
      <c r="E494" s="184"/>
      <c r="F494" s="184"/>
      <c r="G494" s="185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</row>
    <row r="495" ht="15.75" hidden="1" customHeight="1">
      <c r="A495" s="184"/>
      <c r="B495" s="184"/>
      <c r="C495" s="184"/>
      <c r="D495" s="184"/>
      <c r="E495" s="184"/>
      <c r="F495" s="184"/>
      <c r="G495" s="185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</row>
    <row r="496" ht="15.75" hidden="1" customHeight="1">
      <c r="A496" s="184"/>
      <c r="B496" s="184"/>
      <c r="C496" s="184"/>
      <c r="D496" s="184"/>
      <c r="E496" s="184"/>
      <c r="F496" s="184"/>
      <c r="G496" s="185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</row>
    <row r="497" ht="15.75" hidden="1" customHeight="1">
      <c r="A497" s="184"/>
      <c r="B497" s="184"/>
      <c r="C497" s="184"/>
      <c r="D497" s="184"/>
      <c r="E497" s="184"/>
      <c r="F497" s="184"/>
      <c r="G497" s="185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</row>
    <row r="498" ht="15.75" hidden="1" customHeight="1">
      <c r="A498" s="184"/>
      <c r="B498" s="184"/>
      <c r="C498" s="184"/>
      <c r="D498" s="184"/>
      <c r="E498" s="184"/>
      <c r="F498" s="184"/>
      <c r="G498" s="185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</row>
    <row r="499" ht="15.75" hidden="1" customHeight="1">
      <c r="A499" s="184"/>
      <c r="B499" s="184"/>
      <c r="C499" s="184"/>
      <c r="D499" s="184"/>
      <c r="E499" s="184"/>
      <c r="F499" s="184"/>
      <c r="G499" s="185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</row>
    <row r="500" ht="15.75" hidden="1" customHeight="1">
      <c r="A500" s="184"/>
      <c r="B500" s="184"/>
      <c r="C500" s="184"/>
      <c r="D500" s="184"/>
      <c r="E500" s="184"/>
      <c r="F500" s="184"/>
      <c r="G500" s="185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</row>
    <row r="501" ht="15.75" hidden="1" customHeight="1">
      <c r="A501" s="184"/>
      <c r="B501" s="184"/>
      <c r="C501" s="184"/>
      <c r="D501" s="184"/>
      <c r="E501" s="184"/>
      <c r="F501" s="184"/>
      <c r="G501" s="185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</row>
    <row r="502" ht="15.75" hidden="1" customHeight="1">
      <c r="A502" s="184"/>
      <c r="B502" s="184"/>
      <c r="C502" s="184"/>
      <c r="D502" s="184"/>
      <c r="E502" s="184"/>
      <c r="F502" s="184"/>
      <c r="G502" s="185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</row>
    <row r="503" ht="15.75" hidden="1" customHeight="1">
      <c r="A503" s="184"/>
      <c r="B503" s="184"/>
      <c r="C503" s="184"/>
      <c r="D503" s="184"/>
      <c r="E503" s="184"/>
      <c r="F503" s="184"/>
      <c r="G503" s="185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</row>
    <row r="504" ht="15.75" hidden="1" customHeight="1">
      <c r="A504" s="184"/>
      <c r="B504" s="184"/>
      <c r="C504" s="184"/>
      <c r="D504" s="184"/>
      <c r="E504" s="184"/>
      <c r="F504" s="184"/>
      <c r="G504" s="185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</row>
    <row r="505" ht="15.75" hidden="1" customHeight="1">
      <c r="A505" s="184"/>
      <c r="B505" s="184"/>
      <c r="C505" s="184"/>
      <c r="D505" s="184"/>
      <c r="E505" s="184"/>
      <c r="F505" s="184"/>
      <c r="G505" s="185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</row>
    <row r="506" ht="15.75" hidden="1" customHeight="1">
      <c r="A506" s="184"/>
      <c r="B506" s="184"/>
      <c r="C506" s="184"/>
      <c r="D506" s="184"/>
      <c r="E506" s="184"/>
      <c r="F506" s="184"/>
      <c r="G506" s="185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</row>
    <row r="507" ht="15.75" hidden="1" customHeight="1">
      <c r="A507" s="184"/>
      <c r="B507" s="184"/>
      <c r="C507" s="184"/>
      <c r="D507" s="184"/>
      <c r="E507" s="184"/>
      <c r="F507" s="184"/>
      <c r="G507" s="185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</row>
    <row r="508" ht="15.75" hidden="1" customHeight="1">
      <c r="A508" s="184"/>
      <c r="B508" s="184"/>
      <c r="C508" s="184"/>
      <c r="D508" s="184"/>
      <c r="E508" s="184"/>
      <c r="F508" s="184"/>
      <c r="G508" s="185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</row>
    <row r="509" ht="15.75" hidden="1" customHeight="1">
      <c r="A509" s="184"/>
      <c r="B509" s="184"/>
      <c r="C509" s="184"/>
      <c r="D509" s="184"/>
      <c r="E509" s="184"/>
      <c r="F509" s="184"/>
      <c r="G509" s="185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</row>
    <row r="510" ht="15.75" hidden="1" customHeight="1">
      <c r="A510" s="184"/>
      <c r="B510" s="184"/>
      <c r="C510" s="184"/>
      <c r="D510" s="184"/>
      <c r="E510" s="184"/>
      <c r="F510" s="184"/>
      <c r="G510" s="185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</row>
    <row r="511" ht="15.75" hidden="1" customHeight="1">
      <c r="A511" s="184"/>
      <c r="B511" s="184"/>
      <c r="C511" s="184"/>
      <c r="D511" s="184"/>
      <c r="E511" s="184"/>
      <c r="F511" s="184"/>
      <c r="G511" s="185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</row>
    <row r="512" ht="15.75" hidden="1" customHeight="1">
      <c r="A512" s="184"/>
      <c r="B512" s="184"/>
      <c r="C512" s="184"/>
      <c r="D512" s="184"/>
      <c r="E512" s="184"/>
      <c r="F512" s="184"/>
      <c r="G512" s="185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</row>
    <row r="513" ht="15.75" hidden="1" customHeight="1">
      <c r="A513" s="184"/>
      <c r="B513" s="184"/>
      <c r="C513" s="184"/>
      <c r="D513" s="184"/>
      <c r="E513" s="184"/>
      <c r="F513" s="184"/>
      <c r="G513" s="185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</row>
    <row r="514" ht="15.75" hidden="1" customHeight="1">
      <c r="A514" s="184"/>
      <c r="B514" s="184"/>
      <c r="C514" s="184"/>
      <c r="D514" s="184"/>
      <c r="E514" s="184"/>
      <c r="F514" s="184"/>
      <c r="G514" s="185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</row>
    <row r="515" ht="15.75" hidden="1" customHeight="1">
      <c r="A515" s="184"/>
      <c r="B515" s="184"/>
      <c r="C515" s="184"/>
      <c r="D515" s="184"/>
      <c r="E515" s="184"/>
      <c r="F515" s="184"/>
      <c r="G515" s="185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</row>
    <row r="516" ht="15.75" hidden="1" customHeight="1">
      <c r="A516" s="184"/>
      <c r="B516" s="184"/>
      <c r="C516" s="184"/>
      <c r="D516" s="184"/>
      <c r="E516" s="184"/>
      <c r="F516" s="184"/>
      <c r="G516" s="185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</row>
    <row r="517" ht="15.75" hidden="1" customHeight="1">
      <c r="A517" s="184"/>
      <c r="B517" s="184"/>
      <c r="C517" s="184"/>
      <c r="D517" s="184"/>
      <c r="E517" s="184"/>
      <c r="F517" s="184"/>
      <c r="G517" s="185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</row>
    <row r="518" ht="15.75" hidden="1" customHeight="1">
      <c r="A518" s="184"/>
      <c r="B518" s="184"/>
      <c r="C518" s="184"/>
      <c r="D518" s="184"/>
      <c r="E518" s="184"/>
      <c r="F518" s="184"/>
      <c r="G518" s="185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</row>
    <row r="519" ht="15.75" hidden="1" customHeight="1">
      <c r="A519" s="184"/>
      <c r="B519" s="184"/>
      <c r="C519" s="184"/>
      <c r="D519" s="184"/>
      <c r="E519" s="184"/>
      <c r="F519" s="184"/>
      <c r="G519" s="185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</row>
    <row r="520" ht="15.75" hidden="1" customHeight="1">
      <c r="A520" s="184"/>
      <c r="B520" s="184"/>
      <c r="C520" s="184"/>
      <c r="D520" s="184"/>
      <c r="E520" s="184"/>
      <c r="F520" s="184"/>
      <c r="G520" s="185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</row>
    <row r="521" ht="15.75" hidden="1" customHeight="1">
      <c r="A521" s="184"/>
      <c r="B521" s="184"/>
      <c r="C521" s="184"/>
      <c r="D521" s="184"/>
      <c r="E521" s="184"/>
      <c r="F521" s="184"/>
      <c r="G521" s="185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</row>
    <row r="522" ht="15.75" hidden="1" customHeight="1">
      <c r="A522" s="184"/>
      <c r="B522" s="184"/>
      <c r="C522" s="184"/>
      <c r="D522" s="184"/>
      <c r="E522" s="184"/>
      <c r="F522" s="184"/>
      <c r="G522" s="185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</row>
    <row r="523" ht="15.75" hidden="1" customHeight="1">
      <c r="A523" s="184"/>
      <c r="B523" s="184"/>
      <c r="C523" s="184"/>
      <c r="D523" s="184"/>
      <c r="E523" s="184"/>
      <c r="F523" s="184"/>
      <c r="G523" s="185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</row>
    <row r="524" ht="15.75" hidden="1" customHeight="1">
      <c r="A524" s="184"/>
      <c r="B524" s="184"/>
      <c r="C524" s="184"/>
      <c r="D524" s="184"/>
      <c r="E524" s="184"/>
      <c r="F524" s="184"/>
      <c r="G524" s="185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</row>
    <row r="525" ht="15.75" hidden="1" customHeight="1">
      <c r="A525" s="184"/>
      <c r="B525" s="184"/>
      <c r="C525" s="184"/>
      <c r="D525" s="184"/>
      <c r="E525" s="184"/>
      <c r="F525" s="184"/>
      <c r="G525" s="185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</row>
    <row r="526" ht="15.75" hidden="1" customHeight="1">
      <c r="A526" s="184"/>
      <c r="B526" s="184"/>
      <c r="C526" s="184"/>
      <c r="D526" s="184"/>
      <c r="E526" s="184"/>
      <c r="F526" s="184"/>
      <c r="G526" s="185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</row>
    <row r="527" ht="15.75" hidden="1" customHeight="1">
      <c r="A527" s="184"/>
      <c r="B527" s="184"/>
      <c r="C527" s="184"/>
      <c r="D527" s="184"/>
      <c r="E527" s="184"/>
      <c r="F527" s="184"/>
      <c r="G527" s="185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</row>
    <row r="528" ht="15.75" hidden="1" customHeight="1">
      <c r="A528" s="184"/>
      <c r="B528" s="184"/>
      <c r="C528" s="184"/>
      <c r="D528" s="184"/>
      <c r="E528" s="184"/>
      <c r="F528" s="184"/>
      <c r="G528" s="185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</row>
    <row r="529" ht="15.75" hidden="1" customHeight="1">
      <c r="A529" s="184"/>
      <c r="B529" s="184"/>
      <c r="C529" s="184"/>
      <c r="D529" s="184"/>
      <c r="E529" s="184"/>
      <c r="F529" s="184"/>
      <c r="G529" s="185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</row>
    <row r="530" ht="15.75" hidden="1" customHeight="1">
      <c r="A530" s="184"/>
      <c r="B530" s="184"/>
      <c r="C530" s="184"/>
      <c r="D530" s="184"/>
      <c r="E530" s="184"/>
      <c r="F530" s="184"/>
      <c r="G530" s="185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</row>
    <row r="531" ht="15.75" hidden="1" customHeight="1">
      <c r="A531" s="184"/>
      <c r="B531" s="184"/>
      <c r="C531" s="184"/>
      <c r="D531" s="184"/>
      <c r="E531" s="184"/>
      <c r="F531" s="184"/>
      <c r="G531" s="185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</row>
    <row r="532" ht="15.75" hidden="1" customHeight="1">
      <c r="A532" s="184"/>
      <c r="B532" s="184"/>
      <c r="C532" s="184"/>
      <c r="D532" s="184"/>
      <c r="E532" s="184"/>
      <c r="F532" s="184"/>
      <c r="G532" s="185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</row>
    <row r="533" ht="15.75" hidden="1" customHeight="1">
      <c r="A533" s="184"/>
      <c r="B533" s="184"/>
      <c r="C533" s="184"/>
      <c r="D533" s="184"/>
      <c r="E533" s="184"/>
      <c r="F533" s="184"/>
      <c r="G533" s="185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</row>
    <row r="534" ht="15.75" hidden="1" customHeight="1">
      <c r="A534" s="184"/>
      <c r="B534" s="184"/>
      <c r="C534" s="184"/>
      <c r="D534" s="184"/>
      <c r="E534" s="184"/>
      <c r="F534" s="184"/>
      <c r="G534" s="185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</row>
    <row r="535" ht="15.75" hidden="1" customHeight="1">
      <c r="A535" s="184"/>
      <c r="B535" s="184"/>
      <c r="C535" s="184"/>
      <c r="D535" s="184"/>
      <c r="E535" s="184"/>
      <c r="F535" s="184"/>
      <c r="G535" s="185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</row>
    <row r="536" ht="15.75" hidden="1" customHeight="1">
      <c r="A536" s="184"/>
      <c r="B536" s="184"/>
      <c r="C536" s="184"/>
      <c r="D536" s="184"/>
      <c r="E536" s="184"/>
      <c r="F536" s="184"/>
      <c r="G536" s="185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</row>
    <row r="537" ht="15.75" hidden="1" customHeight="1">
      <c r="A537" s="184"/>
      <c r="B537" s="184"/>
      <c r="C537" s="184"/>
      <c r="D537" s="184"/>
      <c r="E537" s="184"/>
      <c r="F537" s="184"/>
      <c r="G537" s="185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</row>
    <row r="538" ht="15.75" hidden="1" customHeight="1">
      <c r="A538" s="184"/>
      <c r="B538" s="184"/>
      <c r="C538" s="184"/>
      <c r="D538" s="184"/>
      <c r="E538" s="184"/>
      <c r="F538" s="184"/>
      <c r="G538" s="185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</row>
    <row r="539" ht="15.75" hidden="1" customHeight="1">
      <c r="A539" s="184"/>
      <c r="B539" s="184"/>
      <c r="C539" s="184"/>
      <c r="D539" s="184"/>
      <c r="E539" s="184"/>
      <c r="F539" s="184"/>
      <c r="G539" s="185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</row>
    <row r="540" ht="15.75" hidden="1" customHeight="1">
      <c r="A540" s="184"/>
      <c r="B540" s="184"/>
      <c r="C540" s="184"/>
      <c r="D540" s="184"/>
      <c r="E540" s="184"/>
      <c r="F540" s="184"/>
      <c r="G540" s="185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</row>
    <row r="541" ht="15.75" hidden="1" customHeight="1">
      <c r="A541" s="184"/>
      <c r="B541" s="184"/>
      <c r="C541" s="184"/>
      <c r="D541" s="184"/>
      <c r="E541" s="184"/>
      <c r="F541" s="184"/>
      <c r="G541" s="185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</row>
    <row r="542" ht="15.75" hidden="1" customHeight="1">
      <c r="A542" s="184"/>
      <c r="B542" s="184"/>
      <c r="C542" s="184"/>
      <c r="D542" s="184"/>
      <c r="E542" s="184"/>
      <c r="F542" s="184"/>
      <c r="G542" s="185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</row>
    <row r="543" ht="15.75" hidden="1" customHeight="1">
      <c r="A543" s="184"/>
      <c r="B543" s="184"/>
      <c r="C543" s="184"/>
      <c r="D543" s="184"/>
      <c r="E543" s="184"/>
      <c r="F543" s="184"/>
      <c r="G543" s="185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</row>
    <row r="544" ht="15.75" hidden="1" customHeight="1">
      <c r="A544" s="184"/>
      <c r="B544" s="184"/>
      <c r="C544" s="184"/>
      <c r="D544" s="184"/>
      <c r="E544" s="184"/>
      <c r="F544" s="184"/>
      <c r="G544" s="185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</row>
    <row r="545" ht="15.75" hidden="1" customHeight="1">
      <c r="A545" s="184"/>
      <c r="B545" s="184"/>
      <c r="C545" s="184"/>
      <c r="D545" s="184"/>
      <c r="E545" s="184"/>
      <c r="F545" s="184"/>
      <c r="G545" s="185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</row>
    <row r="546" ht="15.75" hidden="1" customHeight="1">
      <c r="A546" s="184"/>
      <c r="B546" s="184"/>
      <c r="C546" s="184"/>
      <c r="D546" s="184"/>
      <c r="E546" s="184"/>
      <c r="F546" s="184"/>
      <c r="G546" s="185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</row>
    <row r="547" ht="15.75" hidden="1" customHeight="1">
      <c r="A547" s="184"/>
      <c r="B547" s="184"/>
      <c r="C547" s="184"/>
      <c r="D547" s="184"/>
      <c r="E547" s="184"/>
      <c r="F547" s="184"/>
      <c r="G547" s="185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</row>
    <row r="548" ht="15.75" hidden="1" customHeight="1">
      <c r="A548" s="184"/>
      <c r="B548" s="184"/>
      <c r="C548" s="184"/>
      <c r="D548" s="184"/>
      <c r="E548" s="184"/>
      <c r="F548" s="184"/>
      <c r="G548" s="185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</row>
    <row r="549" ht="15.75" hidden="1" customHeight="1">
      <c r="A549" s="184"/>
      <c r="B549" s="184"/>
      <c r="C549" s="184"/>
      <c r="D549" s="184"/>
      <c r="E549" s="184"/>
      <c r="F549" s="184"/>
      <c r="G549" s="185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</row>
    <row r="550" ht="15.75" hidden="1" customHeight="1">
      <c r="A550" s="184"/>
      <c r="B550" s="184"/>
      <c r="C550" s="184"/>
      <c r="D550" s="184"/>
      <c r="E550" s="184"/>
      <c r="F550" s="184"/>
      <c r="G550" s="185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</row>
    <row r="551" ht="15.75" hidden="1" customHeight="1">
      <c r="A551" s="184"/>
      <c r="B551" s="184"/>
      <c r="C551" s="184"/>
      <c r="D551" s="184"/>
      <c r="E551" s="184"/>
      <c r="F551" s="184"/>
      <c r="G551" s="185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</row>
    <row r="552" ht="15.75" hidden="1" customHeight="1">
      <c r="A552" s="184"/>
      <c r="B552" s="184"/>
      <c r="C552" s="184"/>
      <c r="D552" s="184"/>
      <c r="E552" s="184"/>
      <c r="F552" s="184"/>
      <c r="G552" s="185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</row>
    <row r="553" ht="15.75" hidden="1" customHeight="1">
      <c r="A553" s="184"/>
      <c r="B553" s="184"/>
      <c r="C553" s="184"/>
      <c r="D553" s="184"/>
      <c r="E553" s="184"/>
      <c r="F553" s="184"/>
      <c r="G553" s="185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</row>
    <row r="554" ht="15.75" hidden="1" customHeight="1">
      <c r="A554" s="184"/>
      <c r="B554" s="184"/>
      <c r="C554" s="184"/>
      <c r="D554" s="184"/>
      <c r="E554" s="184"/>
      <c r="F554" s="184"/>
      <c r="G554" s="185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</row>
    <row r="555" ht="15.75" hidden="1" customHeight="1">
      <c r="A555" s="184"/>
      <c r="B555" s="184"/>
      <c r="C555" s="184"/>
      <c r="D555" s="184"/>
      <c r="E555" s="184"/>
      <c r="F555" s="184"/>
      <c r="G555" s="185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</row>
    <row r="556" ht="15.75" hidden="1" customHeight="1">
      <c r="A556" s="184"/>
      <c r="B556" s="184"/>
      <c r="C556" s="184"/>
      <c r="D556" s="184"/>
      <c r="E556" s="184"/>
      <c r="F556" s="184"/>
      <c r="G556" s="185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</row>
    <row r="557" ht="15.75" hidden="1" customHeight="1">
      <c r="A557" s="184"/>
      <c r="B557" s="184"/>
      <c r="C557" s="184"/>
      <c r="D557" s="184"/>
      <c r="E557" s="184"/>
      <c r="F557" s="184"/>
      <c r="G557" s="185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</row>
    <row r="558" ht="15.75" hidden="1" customHeight="1">
      <c r="A558" s="184"/>
      <c r="B558" s="184"/>
      <c r="C558" s="184"/>
      <c r="D558" s="184"/>
      <c r="E558" s="184"/>
      <c r="F558" s="184"/>
      <c r="G558" s="185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</row>
    <row r="559" ht="15.75" hidden="1" customHeight="1">
      <c r="A559" s="184"/>
      <c r="B559" s="184"/>
      <c r="C559" s="184"/>
      <c r="D559" s="184"/>
      <c r="E559" s="184"/>
      <c r="F559" s="184"/>
      <c r="G559" s="185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</row>
    <row r="560" ht="15.75" hidden="1" customHeight="1">
      <c r="A560" s="184"/>
      <c r="B560" s="184"/>
      <c r="C560" s="184"/>
      <c r="D560" s="184"/>
      <c r="E560" s="184"/>
      <c r="F560" s="184"/>
      <c r="G560" s="185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</row>
    <row r="561" ht="15.75" hidden="1" customHeight="1">
      <c r="A561" s="184"/>
      <c r="B561" s="184"/>
      <c r="C561" s="184"/>
      <c r="D561" s="184"/>
      <c r="E561" s="184"/>
      <c r="F561" s="184"/>
      <c r="G561" s="185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</row>
    <row r="562" ht="15.75" hidden="1" customHeight="1">
      <c r="A562" s="184"/>
      <c r="B562" s="184"/>
      <c r="C562" s="184"/>
      <c r="D562" s="184"/>
      <c r="E562" s="184"/>
      <c r="F562" s="184"/>
      <c r="G562" s="185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</row>
    <row r="563" ht="15.75" hidden="1" customHeight="1">
      <c r="A563" s="184"/>
      <c r="B563" s="184"/>
      <c r="C563" s="184"/>
      <c r="D563" s="184"/>
      <c r="E563" s="184"/>
      <c r="F563" s="184"/>
      <c r="G563" s="185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</row>
    <row r="564" ht="15.75" hidden="1" customHeight="1">
      <c r="A564" s="184"/>
      <c r="B564" s="184"/>
      <c r="C564" s="184"/>
      <c r="D564" s="184"/>
      <c r="E564" s="184"/>
      <c r="F564" s="184"/>
      <c r="G564" s="185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</row>
    <row r="565" ht="15.75" hidden="1" customHeight="1">
      <c r="A565" s="184"/>
      <c r="B565" s="184"/>
      <c r="C565" s="184"/>
      <c r="D565" s="184"/>
      <c r="E565" s="184"/>
      <c r="F565" s="184"/>
      <c r="G565" s="185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</row>
    <row r="566" ht="15.75" hidden="1" customHeight="1">
      <c r="A566" s="184"/>
      <c r="B566" s="184"/>
      <c r="C566" s="184"/>
      <c r="D566" s="184"/>
      <c r="E566" s="184"/>
      <c r="F566" s="184"/>
      <c r="G566" s="185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</row>
    <row r="567" ht="15.75" hidden="1" customHeight="1">
      <c r="A567" s="184"/>
      <c r="B567" s="184"/>
      <c r="C567" s="184"/>
      <c r="D567" s="184"/>
      <c r="E567" s="184"/>
      <c r="F567" s="184"/>
      <c r="G567" s="185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</row>
    <row r="568" ht="15.75" hidden="1" customHeight="1">
      <c r="A568" s="184"/>
      <c r="B568" s="184"/>
      <c r="C568" s="184"/>
      <c r="D568" s="184"/>
      <c r="E568" s="184"/>
      <c r="F568" s="184"/>
      <c r="G568" s="185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</row>
    <row r="569" ht="15.75" hidden="1" customHeight="1">
      <c r="A569" s="184"/>
      <c r="B569" s="184"/>
      <c r="C569" s="184"/>
      <c r="D569" s="184"/>
      <c r="E569" s="184"/>
      <c r="F569" s="184"/>
      <c r="G569" s="185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</row>
    <row r="570" ht="15.75" hidden="1" customHeight="1">
      <c r="A570" s="184"/>
      <c r="B570" s="184"/>
      <c r="C570" s="184"/>
      <c r="D570" s="184"/>
      <c r="E570" s="184"/>
      <c r="F570" s="184"/>
      <c r="G570" s="185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</row>
    <row r="571" ht="15.75" hidden="1" customHeight="1">
      <c r="A571" s="184"/>
      <c r="B571" s="184"/>
      <c r="C571" s="184"/>
      <c r="D571" s="184"/>
      <c r="E571" s="184"/>
      <c r="F571" s="184"/>
      <c r="G571" s="185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</row>
    <row r="572" ht="15.75" hidden="1" customHeight="1">
      <c r="A572" s="184"/>
      <c r="B572" s="184"/>
      <c r="C572" s="184"/>
      <c r="D572" s="184"/>
      <c r="E572" s="184"/>
      <c r="F572" s="184"/>
      <c r="G572" s="185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</row>
    <row r="573" ht="15.75" hidden="1" customHeight="1">
      <c r="A573" s="184"/>
      <c r="B573" s="184"/>
      <c r="C573" s="184"/>
      <c r="D573" s="184"/>
      <c r="E573" s="184"/>
      <c r="F573" s="184"/>
      <c r="G573" s="185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</row>
    <row r="574" ht="15.75" hidden="1" customHeight="1">
      <c r="A574" s="184"/>
      <c r="B574" s="184"/>
      <c r="C574" s="184"/>
      <c r="D574" s="184"/>
      <c r="E574" s="184"/>
      <c r="F574" s="184"/>
      <c r="G574" s="185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</row>
    <row r="575" ht="15.75" hidden="1" customHeight="1">
      <c r="A575" s="184"/>
      <c r="B575" s="184"/>
      <c r="C575" s="184"/>
      <c r="D575" s="184"/>
      <c r="E575" s="184"/>
      <c r="F575" s="184"/>
      <c r="G575" s="185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</row>
    <row r="576" ht="15.75" hidden="1" customHeight="1">
      <c r="A576" s="184"/>
      <c r="B576" s="184"/>
      <c r="C576" s="184"/>
      <c r="D576" s="184"/>
      <c r="E576" s="184"/>
      <c r="F576" s="184"/>
      <c r="G576" s="185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</row>
    <row r="577" ht="15.75" hidden="1" customHeight="1">
      <c r="A577" s="184"/>
      <c r="B577" s="184"/>
      <c r="C577" s="184"/>
      <c r="D577" s="184"/>
      <c r="E577" s="184"/>
      <c r="F577" s="184"/>
      <c r="G577" s="185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</row>
    <row r="578" ht="15.75" hidden="1" customHeight="1">
      <c r="A578" s="184"/>
      <c r="B578" s="184"/>
      <c r="C578" s="184"/>
      <c r="D578" s="184"/>
      <c r="E578" s="184"/>
      <c r="F578" s="184"/>
      <c r="G578" s="185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</row>
    <row r="579" ht="15.75" hidden="1" customHeight="1">
      <c r="A579" s="184"/>
      <c r="B579" s="184"/>
      <c r="C579" s="184"/>
      <c r="D579" s="184"/>
      <c r="E579" s="184"/>
      <c r="F579" s="184"/>
      <c r="G579" s="185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</row>
    <row r="580" ht="15.75" hidden="1" customHeight="1">
      <c r="A580" s="184"/>
      <c r="B580" s="184"/>
      <c r="C580" s="184"/>
      <c r="D580" s="184"/>
      <c r="E580" s="184"/>
      <c r="F580" s="184"/>
      <c r="G580" s="185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</row>
    <row r="581" ht="15.75" hidden="1" customHeight="1">
      <c r="A581" s="184"/>
      <c r="B581" s="184"/>
      <c r="C581" s="184"/>
      <c r="D581" s="184"/>
      <c r="E581" s="184"/>
      <c r="F581" s="184"/>
      <c r="G581" s="185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</row>
    <row r="582" ht="15.75" hidden="1" customHeight="1">
      <c r="A582" s="184"/>
      <c r="B582" s="184"/>
      <c r="C582" s="184"/>
      <c r="D582" s="184"/>
      <c r="E582" s="184"/>
      <c r="F582" s="184"/>
      <c r="G582" s="185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</row>
    <row r="583" ht="15.75" hidden="1" customHeight="1">
      <c r="A583" s="184"/>
      <c r="B583" s="184"/>
      <c r="C583" s="184"/>
      <c r="D583" s="184"/>
      <c r="E583" s="184"/>
      <c r="F583" s="184"/>
      <c r="G583" s="185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</row>
    <row r="584" ht="15.75" hidden="1" customHeight="1">
      <c r="A584" s="184"/>
      <c r="B584" s="184"/>
      <c r="C584" s="184"/>
      <c r="D584" s="184"/>
      <c r="E584" s="184"/>
      <c r="F584" s="184"/>
      <c r="G584" s="185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</row>
    <row r="585" ht="15.75" hidden="1" customHeight="1">
      <c r="A585" s="184"/>
      <c r="B585" s="184"/>
      <c r="C585" s="184"/>
      <c r="D585" s="184"/>
      <c r="E585" s="184"/>
      <c r="F585" s="184"/>
      <c r="G585" s="185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</row>
    <row r="586" ht="15.75" hidden="1" customHeight="1">
      <c r="A586" s="184"/>
      <c r="B586" s="184"/>
      <c r="C586" s="184"/>
      <c r="D586" s="184"/>
      <c r="E586" s="184"/>
      <c r="F586" s="184"/>
      <c r="G586" s="185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</row>
    <row r="587" ht="15.75" hidden="1" customHeight="1">
      <c r="A587" s="184"/>
      <c r="B587" s="184"/>
      <c r="C587" s="184"/>
      <c r="D587" s="184"/>
      <c r="E587" s="184"/>
      <c r="F587" s="184"/>
      <c r="G587" s="185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</row>
    <row r="588" ht="15.75" hidden="1" customHeight="1">
      <c r="A588" s="184"/>
      <c r="B588" s="184"/>
      <c r="C588" s="184"/>
      <c r="D588" s="184"/>
      <c r="E588" s="184"/>
      <c r="F588" s="184"/>
      <c r="G588" s="185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</row>
    <row r="589" ht="15.75" hidden="1" customHeight="1">
      <c r="A589" s="184"/>
      <c r="B589" s="184"/>
      <c r="C589" s="184"/>
      <c r="D589" s="184"/>
      <c r="E589" s="184"/>
      <c r="F589" s="184"/>
      <c r="G589" s="185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</row>
    <row r="590" ht="15.75" hidden="1" customHeight="1">
      <c r="A590" s="184"/>
      <c r="B590" s="184"/>
      <c r="C590" s="184"/>
      <c r="D590" s="184"/>
      <c r="E590" s="184"/>
      <c r="F590" s="184"/>
      <c r="G590" s="185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</row>
    <row r="591" ht="15.75" hidden="1" customHeight="1">
      <c r="A591" s="184"/>
      <c r="B591" s="184"/>
      <c r="C591" s="184"/>
      <c r="D591" s="184"/>
      <c r="E591" s="184"/>
      <c r="F591" s="184"/>
      <c r="G591" s="185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</row>
    <row r="592" ht="15.75" hidden="1" customHeight="1">
      <c r="A592" s="184"/>
      <c r="B592" s="184"/>
      <c r="C592" s="184"/>
      <c r="D592" s="184"/>
      <c r="E592" s="184"/>
      <c r="F592" s="184"/>
      <c r="G592" s="185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</row>
    <row r="593" ht="15.75" hidden="1" customHeight="1">
      <c r="A593" s="184"/>
      <c r="B593" s="184"/>
      <c r="C593" s="184"/>
      <c r="D593" s="184"/>
      <c r="E593" s="184"/>
      <c r="F593" s="184"/>
      <c r="G593" s="185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</row>
    <row r="594" ht="15.75" hidden="1" customHeight="1">
      <c r="A594" s="184"/>
      <c r="B594" s="184"/>
      <c r="C594" s="184"/>
      <c r="D594" s="184"/>
      <c r="E594" s="184"/>
      <c r="F594" s="184"/>
      <c r="G594" s="185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</row>
    <row r="595" ht="15.75" hidden="1" customHeight="1">
      <c r="A595" s="184"/>
      <c r="B595" s="184"/>
      <c r="C595" s="184"/>
      <c r="D595" s="184"/>
      <c r="E595" s="184"/>
      <c r="F595" s="184"/>
      <c r="G595" s="185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</row>
    <row r="596" ht="15.75" hidden="1" customHeight="1">
      <c r="A596" s="184"/>
      <c r="B596" s="184"/>
      <c r="C596" s="184"/>
      <c r="D596" s="184"/>
      <c r="E596" s="184"/>
      <c r="F596" s="184"/>
      <c r="G596" s="185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</row>
    <row r="597" ht="15.75" hidden="1" customHeight="1">
      <c r="A597" s="184"/>
      <c r="B597" s="184"/>
      <c r="C597" s="184"/>
      <c r="D597" s="184"/>
      <c r="E597" s="184"/>
      <c r="F597" s="184"/>
      <c r="G597" s="185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</row>
    <row r="598" ht="15.75" hidden="1" customHeight="1">
      <c r="A598" s="184"/>
      <c r="B598" s="184"/>
      <c r="C598" s="184"/>
      <c r="D598" s="184"/>
      <c r="E598" s="184"/>
      <c r="F598" s="184"/>
      <c r="G598" s="185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</row>
    <row r="599" ht="15.75" hidden="1" customHeight="1">
      <c r="A599" s="184"/>
      <c r="B599" s="184"/>
      <c r="C599" s="184"/>
      <c r="D599" s="184"/>
      <c r="E599" s="184"/>
      <c r="F599" s="184"/>
      <c r="G599" s="185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</row>
    <row r="600" ht="15.75" hidden="1" customHeight="1">
      <c r="A600" s="184"/>
      <c r="B600" s="184"/>
      <c r="C600" s="184"/>
      <c r="D600" s="184"/>
      <c r="E600" s="184"/>
      <c r="F600" s="184"/>
      <c r="G600" s="185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</row>
    <row r="601" ht="15.75" hidden="1" customHeight="1">
      <c r="A601" s="184"/>
      <c r="B601" s="184"/>
      <c r="C601" s="184"/>
      <c r="D601" s="184"/>
      <c r="E601" s="184"/>
      <c r="F601" s="184"/>
      <c r="G601" s="185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</row>
    <row r="602" ht="15.75" hidden="1" customHeight="1">
      <c r="A602" s="184"/>
      <c r="B602" s="184"/>
      <c r="C602" s="184"/>
      <c r="D602" s="184"/>
      <c r="E602" s="184"/>
      <c r="F602" s="184"/>
      <c r="G602" s="185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</row>
    <row r="603" ht="15.75" hidden="1" customHeight="1">
      <c r="A603" s="184"/>
      <c r="B603" s="184"/>
      <c r="C603" s="184"/>
      <c r="D603" s="184"/>
      <c r="E603" s="184"/>
      <c r="F603" s="184"/>
      <c r="G603" s="185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</row>
    <row r="604" ht="15.75" hidden="1" customHeight="1">
      <c r="A604" s="184"/>
      <c r="B604" s="184"/>
      <c r="C604" s="184"/>
      <c r="D604" s="184"/>
      <c r="E604" s="184"/>
      <c r="F604" s="184"/>
      <c r="G604" s="185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</row>
    <row r="605" ht="15.75" hidden="1" customHeight="1">
      <c r="A605" s="184"/>
      <c r="B605" s="184"/>
      <c r="C605" s="184"/>
      <c r="D605" s="184"/>
      <c r="E605" s="184"/>
      <c r="F605" s="184"/>
      <c r="G605" s="185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</row>
    <row r="606" ht="15.75" hidden="1" customHeight="1">
      <c r="A606" s="184"/>
      <c r="B606" s="184"/>
      <c r="C606" s="184"/>
      <c r="D606" s="184"/>
      <c r="E606" s="184"/>
      <c r="F606" s="184"/>
      <c r="G606" s="185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</row>
    <row r="607" ht="15.75" hidden="1" customHeight="1">
      <c r="A607" s="184"/>
      <c r="B607" s="184"/>
      <c r="C607" s="184"/>
      <c r="D607" s="184"/>
      <c r="E607" s="184"/>
      <c r="F607" s="184"/>
      <c r="G607" s="185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</row>
    <row r="608" ht="15.75" hidden="1" customHeight="1">
      <c r="A608" s="184"/>
      <c r="B608" s="184"/>
      <c r="C608" s="184"/>
      <c r="D608" s="184"/>
      <c r="E608" s="184"/>
      <c r="F608" s="184"/>
      <c r="G608" s="185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</row>
    <row r="609" ht="15.75" hidden="1" customHeight="1">
      <c r="A609" s="184"/>
      <c r="B609" s="184"/>
      <c r="C609" s="184"/>
      <c r="D609" s="184"/>
      <c r="E609" s="184"/>
      <c r="F609" s="184"/>
      <c r="G609" s="185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</row>
    <row r="610" ht="15.75" hidden="1" customHeight="1">
      <c r="A610" s="184"/>
      <c r="B610" s="184"/>
      <c r="C610" s="184"/>
      <c r="D610" s="184"/>
      <c r="E610" s="184"/>
      <c r="F610" s="184"/>
      <c r="G610" s="185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</row>
    <row r="611" ht="15.75" hidden="1" customHeight="1">
      <c r="A611" s="184"/>
      <c r="B611" s="184"/>
      <c r="C611" s="184"/>
      <c r="D611" s="184"/>
      <c r="E611" s="184"/>
      <c r="F611" s="184"/>
      <c r="G611" s="185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</row>
    <row r="612" ht="15.75" hidden="1" customHeight="1">
      <c r="A612" s="184"/>
      <c r="B612" s="184"/>
      <c r="C612" s="184"/>
      <c r="D612" s="184"/>
      <c r="E612" s="184"/>
      <c r="F612" s="184"/>
      <c r="G612" s="185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</row>
    <row r="613" ht="15.75" hidden="1" customHeight="1">
      <c r="A613" s="184"/>
      <c r="B613" s="184"/>
      <c r="C613" s="184"/>
      <c r="D613" s="184"/>
      <c r="E613" s="184"/>
      <c r="F613" s="184"/>
      <c r="G613" s="185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</row>
    <row r="614" ht="15.75" hidden="1" customHeight="1">
      <c r="A614" s="184"/>
      <c r="B614" s="184"/>
      <c r="C614" s="184"/>
      <c r="D614" s="184"/>
      <c r="E614" s="184"/>
      <c r="F614" s="184"/>
      <c r="G614" s="185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</row>
    <row r="615" ht="15.75" hidden="1" customHeight="1">
      <c r="A615" s="184"/>
      <c r="B615" s="184"/>
      <c r="C615" s="184"/>
      <c r="D615" s="184"/>
      <c r="E615" s="184"/>
      <c r="F615" s="184"/>
      <c r="G615" s="185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</row>
    <row r="616" ht="15.75" hidden="1" customHeight="1">
      <c r="A616" s="184"/>
      <c r="B616" s="184"/>
      <c r="C616" s="184"/>
      <c r="D616" s="184"/>
      <c r="E616" s="184"/>
      <c r="F616" s="184"/>
      <c r="G616" s="185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</row>
    <row r="617" ht="15.75" hidden="1" customHeight="1">
      <c r="A617" s="184"/>
      <c r="B617" s="184"/>
      <c r="C617" s="184"/>
      <c r="D617" s="184"/>
      <c r="E617" s="184"/>
      <c r="F617" s="184"/>
      <c r="G617" s="185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</row>
    <row r="618" ht="15.75" hidden="1" customHeight="1">
      <c r="A618" s="184"/>
      <c r="B618" s="184"/>
      <c r="C618" s="184"/>
      <c r="D618" s="184"/>
      <c r="E618" s="184"/>
      <c r="F618" s="184"/>
      <c r="G618" s="185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</row>
    <row r="619" ht="15.75" hidden="1" customHeight="1">
      <c r="A619" s="184"/>
      <c r="B619" s="184"/>
      <c r="C619" s="184"/>
      <c r="D619" s="184"/>
      <c r="E619" s="184"/>
      <c r="F619" s="184"/>
      <c r="G619" s="185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</row>
    <row r="620" ht="15.75" hidden="1" customHeight="1">
      <c r="A620" s="184"/>
      <c r="B620" s="184"/>
      <c r="C620" s="184"/>
      <c r="D620" s="184"/>
      <c r="E620" s="184"/>
      <c r="F620" s="184"/>
      <c r="G620" s="185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</row>
    <row r="621" ht="15.75" hidden="1" customHeight="1">
      <c r="A621" s="184"/>
      <c r="B621" s="184"/>
      <c r="C621" s="184"/>
      <c r="D621" s="184"/>
      <c r="E621" s="184"/>
      <c r="F621" s="184"/>
      <c r="G621" s="185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</row>
    <row r="622" ht="15.75" hidden="1" customHeight="1">
      <c r="A622" s="184"/>
      <c r="B622" s="184"/>
      <c r="C622" s="184"/>
      <c r="D622" s="184"/>
      <c r="E622" s="184"/>
      <c r="F622" s="184"/>
      <c r="G622" s="185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</row>
    <row r="623" ht="15.75" hidden="1" customHeight="1">
      <c r="A623" s="184"/>
      <c r="B623" s="184"/>
      <c r="C623" s="184"/>
      <c r="D623" s="184"/>
      <c r="E623" s="184"/>
      <c r="F623" s="184"/>
      <c r="G623" s="185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</row>
    <row r="624" ht="15.75" hidden="1" customHeight="1">
      <c r="A624" s="184"/>
      <c r="B624" s="184"/>
      <c r="C624" s="184"/>
      <c r="D624" s="184"/>
      <c r="E624" s="184"/>
      <c r="F624" s="184"/>
      <c r="G624" s="185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</row>
    <row r="625" ht="15.75" hidden="1" customHeight="1">
      <c r="A625" s="184"/>
      <c r="B625" s="184"/>
      <c r="C625" s="184"/>
      <c r="D625" s="184"/>
      <c r="E625" s="184"/>
      <c r="F625" s="184"/>
      <c r="G625" s="185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</row>
    <row r="626" ht="15.75" hidden="1" customHeight="1">
      <c r="A626" s="184"/>
      <c r="B626" s="184"/>
      <c r="C626" s="184"/>
      <c r="D626" s="184"/>
      <c r="E626" s="184"/>
      <c r="F626" s="184"/>
      <c r="G626" s="185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</row>
    <row r="627" ht="15.75" hidden="1" customHeight="1">
      <c r="A627" s="184"/>
      <c r="B627" s="184"/>
      <c r="C627" s="184"/>
      <c r="D627" s="184"/>
      <c r="E627" s="184"/>
      <c r="F627" s="184"/>
      <c r="G627" s="185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</row>
    <row r="628" ht="15.75" hidden="1" customHeight="1">
      <c r="A628" s="184"/>
      <c r="B628" s="184"/>
      <c r="C628" s="184"/>
      <c r="D628" s="184"/>
      <c r="E628" s="184"/>
      <c r="F628" s="184"/>
      <c r="G628" s="185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</row>
    <row r="629" ht="15.75" hidden="1" customHeight="1">
      <c r="A629" s="184"/>
      <c r="B629" s="184"/>
      <c r="C629" s="184"/>
      <c r="D629" s="184"/>
      <c r="E629" s="184"/>
      <c r="F629" s="184"/>
      <c r="G629" s="185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</row>
    <row r="630" ht="15.75" hidden="1" customHeight="1">
      <c r="A630" s="184"/>
      <c r="B630" s="184"/>
      <c r="C630" s="184"/>
      <c r="D630" s="184"/>
      <c r="E630" s="184"/>
      <c r="F630" s="184"/>
      <c r="G630" s="185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</row>
    <row r="631" ht="15.75" hidden="1" customHeight="1">
      <c r="A631" s="184"/>
      <c r="B631" s="184"/>
      <c r="C631" s="184"/>
      <c r="D631" s="184"/>
      <c r="E631" s="184"/>
      <c r="F631" s="184"/>
      <c r="G631" s="185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</row>
    <row r="632" ht="15.75" hidden="1" customHeight="1">
      <c r="A632" s="184"/>
      <c r="B632" s="184"/>
      <c r="C632" s="184"/>
      <c r="D632" s="184"/>
      <c r="E632" s="184"/>
      <c r="F632" s="184"/>
      <c r="G632" s="185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</row>
    <row r="633" ht="15.75" hidden="1" customHeight="1">
      <c r="A633" s="184"/>
      <c r="B633" s="184"/>
      <c r="C633" s="184"/>
      <c r="D633" s="184"/>
      <c r="E633" s="184"/>
      <c r="F633" s="184"/>
      <c r="G633" s="185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</row>
    <row r="634" ht="15.75" hidden="1" customHeight="1">
      <c r="A634" s="184"/>
      <c r="B634" s="184"/>
      <c r="C634" s="184"/>
      <c r="D634" s="184"/>
      <c r="E634" s="184"/>
      <c r="F634" s="184"/>
      <c r="G634" s="185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</row>
    <row r="635" ht="15.75" hidden="1" customHeight="1">
      <c r="A635" s="184"/>
      <c r="B635" s="184"/>
      <c r="C635" s="184"/>
      <c r="D635" s="184"/>
      <c r="E635" s="184"/>
      <c r="F635" s="184"/>
      <c r="G635" s="185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</row>
    <row r="636" ht="15.75" hidden="1" customHeight="1">
      <c r="A636" s="184"/>
      <c r="B636" s="184"/>
      <c r="C636" s="184"/>
      <c r="D636" s="184"/>
      <c r="E636" s="184"/>
      <c r="F636" s="184"/>
      <c r="G636" s="185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</row>
    <row r="637" ht="15.75" hidden="1" customHeight="1">
      <c r="A637" s="184"/>
      <c r="B637" s="184"/>
      <c r="C637" s="184"/>
      <c r="D637" s="184"/>
      <c r="E637" s="184"/>
      <c r="F637" s="184"/>
      <c r="G637" s="185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</row>
    <row r="638" ht="15.75" hidden="1" customHeight="1">
      <c r="A638" s="184"/>
      <c r="B638" s="184"/>
      <c r="C638" s="184"/>
      <c r="D638" s="184"/>
      <c r="E638" s="184"/>
      <c r="F638" s="184"/>
      <c r="G638" s="185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</row>
    <row r="639" ht="15.75" hidden="1" customHeight="1">
      <c r="A639" s="184"/>
      <c r="B639" s="184"/>
      <c r="C639" s="184"/>
      <c r="D639" s="184"/>
      <c r="E639" s="184"/>
      <c r="F639" s="184"/>
      <c r="G639" s="185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</row>
    <row r="640" ht="15.75" hidden="1" customHeight="1">
      <c r="A640" s="184"/>
      <c r="B640" s="184"/>
      <c r="C640" s="184"/>
      <c r="D640" s="184"/>
      <c r="E640" s="184"/>
      <c r="F640" s="184"/>
      <c r="G640" s="185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</row>
    <row r="641" ht="15.75" hidden="1" customHeight="1">
      <c r="A641" s="184"/>
      <c r="B641" s="184"/>
      <c r="C641" s="184"/>
      <c r="D641" s="184"/>
      <c r="E641" s="184"/>
      <c r="F641" s="184"/>
      <c r="G641" s="185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</row>
    <row r="642" ht="15.75" hidden="1" customHeight="1">
      <c r="A642" s="184"/>
      <c r="B642" s="184"/>
      <c r="C642" s="184"/>
      <c r="D642" s="184"/>
      <c r="E642" s="184"/>
      <c r="F642" s="184"/>
      <c r="G642" s="185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</row>
    <row r="643" ht="15.75" hidden="1" customHeight="1">
      <c r="A643" s="184"/>
      <c r="B643" s="184"/>
      <c r="C643" s="184"/>
      <c r="D643" s="184"/>
      <c r="E643" s="184"/>
      <c r="F643" s="184"/>
      <c r="G643" s="185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</row>
    <row r="644" ht="15.75" hidden="1" customHeight="1">
      <c r="A644" s="184"/>
      <c r="B644" s="184"/>
      <c r="C644" s="184"/>
      <c r="D644" s="184"/>
      <c r="E644" s="184"/>
      <c r="F644" s="184"/>
      <c r="G644" s="185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</row>
    <row r="645" ht="15.75" hidden="1" customHeight="1">
      <c r="A645" s="184"/>
      <c r="B645" s="184"/>
      <c r="C645" s="184"/>
      <c r="D645" s="184"/>
      <c r="E645" s="184"/>
      <c r="F645" s="184"/>
      <c r="G645" s="185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</row>
    <row r="646" ht="15.75" hidden="1" customHeight="1">
      <c r="A646" s="184"/>
      <c r="B646" s="184"/>
      <c r="C646" s="184"/>
      <c r="D646" s="184"/>
      <c r="E646" s="184"/>
      <c r="F646" s="184"/>
      <c r="G646" s="185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</row>
    <row r="647" ht="15.75" hidden="1" customHeight="1">
      <c r="A647" s="184"/>
      <c r="B647" s="184"/>
      <c r="C647" s="184"/>
      <c r="D647" s="184"/>
      <c r="E647" s="184"/>
      <c r="F647" s="184"/>
      <c r="G647" s="185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</row>
    <row r="648" ht="15.75" hidden="1" customHeight="1">
      <c r="A648" s="184"/>
      <c r="B648" s="184"/>
      <c r="C648" s="184"/>
      <c r="D648" s="184"/>
      <c r="E648" s="184"/>
      <c r="F648" s="184"/>
      <c r="G648" s="185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</row>
    <row r="649" ht="15.75" hidden="1" customHeight="1">
      <c r="A649" s="184"/>
      <c r="B649" s="184"/>
      <c r="C649" s="184"/>
      <c r="D649" s="184"/>
      <c r="E649" s="184"/>
      <c r="F649" s="184"/>
      <c r="G649" s="185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</row>
    <row r="650" ht="15.75" hidden="1" customHeight="1">
      <c r="A650" s="184"/>
      <c r="B650" s="184"/>
      <c r="C650" s="184"/>
      <c r="D650" s="184"/>
      <c r="E650" s="184"/>
      <c r="F650" s="184"/>
      <c r="G650" s="185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</row>
    <row r="651" ht="15.75" hidden="1" customHeight="1">
      <c r="A651" s="184"/>
      <c r="B651" s="184"/>
      <c r="C651" s="184"/>
      <c r="D651" s="184"/>
      <c r="E651" s="184"/>
      <c r="F651" s="184"/>
      <c r="G651" s="185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</row>
    <row r="652" ht="15.75" hidden="1" customHeight="1">
      <c r="A652" s="184"/>
      <c r="B652" s="184"/>
      <c r="C652" s="184"/>
      <c r="D652" s="184"/>
      <c r="E652" s="184"/>
      <c r="F652" s="184"/>
      <c r="G652" s="185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</row>
    <row r="653" ht="15.75" hidden="1" customHeight="1">
      <c r="A653" s="184"/>
      <c r="B653" s="184"/>
      <c r="C653" s="184"/>
      <c r="D653" s="184"/>
      <c r="E653" s="184"/>
      <c r="F653" s="184"/>
      <c r="G653" s="185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</row>
    <row r="654" ht="15.75" hidden="1" customHeight="1">
      <c r="A654" s="184"/>
      <c r="B654" s="184"/>
      <c r="C654" s="184"/>
      <c r="D654" s="184"/>
      <c r="E654" s="184"/>
      <c r="F654" s="184"/>
      <c r="G654" s="185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</row>
    <row r="655" ht="15.75" hidden="1" customHeight="1">
      <c r="A655" s="184"/>
      <c r="B655" s="184"/>
      <c r="C655" s="184"/>
      <c r="D655" s="184"/>
      <c r="E655" s="184"/>
      <c r="F655" s="184"/>
      <c r="G655" s="185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</row>
    <row r="656" ht="15.75" hidden="1" customHeight="1">
      <c r="A656" s="184"/>
      <c r="B656" s="184"/>
      <c r="C656" s="184"/>
      <c r="D656" s="184"/>
      <c r="E656" s="184"/>
      <c r="F656" s="184"/>
      <c r="G656" s="185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</row>
    <row r="657" ht="15.75" hidden="1" customHeight="1">
      <c r="A657" s="184"/>
      <c r="B657" s="184"/>
      <c r="C657" s="184"/>
      <c r="D657" s="184"/>
      <c r="E657" s="184"/>
      <c r="F657" s="184"/>
      <c r="G657" s="185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</row>
    <row r="658" ht="15.75" hidden="1" customHeight="1">
      <c r="A658" s="184"/>
      <c r="B658" s="184"/>
      <c r="C658" s="184"/>
      <c r="D658" s="184"/>
      <c r="E658" s="184"/>
      <c r="F658" s="184"/>
      <c r="G658" s="185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</row>
    <row r="659" ht="15.75" hidden="1" customHeight="1">
      <c r="A659" s="184"/>
      <c r="B659" s="184"/>
      <c r="C659" s="184"/>
      <c r="D659" s="184"/>
      <c r="E659" s="184"/>
      <c r="F659" s="184"/>
      <c r="G659" s="185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</row>
    <row r="660" ht="15.75" hidden="1" customHeight="1">
      <c r="A660" s="184"/>
      <c r="B660" s="184"/>
      <c r="C660" s="184"/>
      <c r="D660" s="184"/>
      <c r="E660" s="184"/>
      <c r="F660" s="184"/>
      <c r="G660" s="185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</row>
    <row r="661" ht="15.75" hidden="1" customHeight="1">
      <c r="A661" s="184"/>
      <c r="B661" s="184"/>
      <c r="C661" s="184"/>
      <c r="D661" s="184"/>
      <c r="E661" s="184"/>
      <c r="F661" s="184"/>
      <c r="G661" s="185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</row>
    <row r="662" ht="15.75" hidden="1" customHeight="1">
      <c r="A662" s="184"/>
      <c r="B662" s="184"/>
      <c r="C662" s="184"/>
      <c r="D662" s="184"/>
      <c r="E662" s="184"/>
      <c r="F662" s="184"/>
      <c r="G662" s="185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</row>
    <row r="663" ht="15.75" hidden="1" customHeight="1">
      <c r="A663" s="184"/>
      <c r="B663" s="184"/>
      <c r="C663" s="184"/>
      <c r="D663" s="184"/>
      <c r="E663" s="184"/>
      <c r="F663" s="184"/>
      <c r="G663" s="185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</row>
    <row r="664" ht="15.75" hidden="1" customHeight="1">
      <c r="A664" s="184"/>
      <c r="B664" s="184"/>
      <c r="C664" s="184"/>
      <c r="D664" s="184"/>
      <c r="E664" s="184"/>
      <c r="F664" s="184"/>
      <c r="G664" s="185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</row>
    <row r="665" ht="15.75" hidden="1" customHeight="1">
      <c r="A665" s="184"/>
      <c r="B665" s="184"/>
      <c r="C665" s="184"/>
      <c r="D665" s="184"/>
      <c r="E665" s="184"/>
      <c r="F665" s="184"/>
      <c r="G665" s="185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</row>
    <row r="666" ht="15.75" hidden="1" customHeight="1">
      <c r="A666" s="184"/>
      <c r="B666" s="184"/>
      <c r="C666" s="184"/>
      <c r="D666" s="184"/>
      <c r="E666" s="184"/>
      <c r="F666" s="184"/>
      <c r="G666" s="185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</row>
    <row r="667" ht="15.75" hidden="1" customHeight="1">
      <c r="A667" s="184"/>
      <c r="B667" s="184"/>
      <c r="C667" s="184"/>
      <c r="D667" s="184"/>
      <c r="E667" s="184"/>
      <c r="F667" s="184"/>
      <c r="G667" s="185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</row>
    <row r="668" ht="15.75" hidden="1" customHeight="1">
      <c r="A668" s="184"/>
      <c r="B668" s="184"/>
      <c r="C668" s="184"/>
      <c r="D668" s="184"/>
      <c r="E668" s="184"/>
      <c r="F668" s="184"/>
      <c r="G668" s="185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</row>
    <row r="669" ht="15.75" hidden="1" customHeight="1">
      <c r="A669" s="184"/>
      <c r="B669" s="184"/>
      <c r="C669" s="184"/>
      <c r="D669" s="184"/>
      <c r="E669" s="184"/>
      <c r="F669" s="184"/>
      <c r="G669" s="185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</row>
    <row r="670" ht="15.75" hidden="1" customHeight="1">
      <c r="A670" s="184"/>
      <c r="B670" s="184"/>
      <c r="C670" s="184"/>
      <c r="D670" s="184"/>
      <c r="E670" s="184"/>
      <c r="F670" s="184"/>
      <c r="G670" s="185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</row>
    <row r="671" ht="15.75" hidden="1" customHeight="1">
      <c r="A671" s="184"/>
      <c r="B671" s="184"/>
      <c r="C671" s="184"/>
      <c r="D671" s="184"/>
      <c r="E671" s="184"/>
      <c r="F671" s="184"/>
      <c r="G671" s="185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</row>
    <row r="672" ht="15.75" hidden="1" customHeight="1">
      <c r="A672" s="184"/>
      <c r="B672" s="184"/>
      <c r="C672" s="184"/>
      <c r="D672" s="184"/>
      <c r="E672" s="184"/>
      <c r="F672" s="184"/>
      <c r="G672" s="185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</row>
    <row r="673" ht="15.75" hidden="1" customHeight="1">
      <c r="A673" s="184"/>
      <c r="B673" s="184"/>
      <c r="C673" s="184"/>
      <c r="D673" s="184"/>
      <c r="E673" s="184"/>
      <c r="F673" s="184"/>
      <c r="G673" s="185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</row>
    <row r="674" ht="15.75" hidden="1" customHeight="1">
      <c r="A674" s="184"/>
      <c r="B674" s="184"/>
      <c r="C674" s="184"/>
      <c r="D674" s="184"/>
      <c r="E674" s="184"/>
      <c r="F674" s="184"/>
      <c r="G674" s="185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</row>
    <row r="675" ht="15.75" hidden="1" customHeight="1">
      <c r="A675" s="184"/>
      <c r="B675" s="184"/>
      <c r="C675" s="184"/>
      <c r="D675" s="184"/>
      <c r="E675" s="184"/>
      <c r="F675" s="184"/>
      <c r="G675" s="185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</row>
    <row r="676" ht="15.75" hidden="1" customHeight="1">
      <c r="A676" s="184"/>
      <c r="B676" s="184"/>
      <c r="C676" s="184"/>
      <c r="D676" s="184"/>
      <c r="E676" s="184"/>
      <c r="F676" s="184"/>
      <c r="G676" s="185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</row>
    <row r="677" ht="15.75" hidden="1" customHeight="1">
      <c r="A677" s="184"/>
      <c r="B677" s="184"/>
      <c r="C677" s="184"/>
      <c r="D677" s="184"/>
      <c r="E677" s="184"/>
      <c r="F677" s="184"/>
      <c r="G677" s="185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</row>
    <row r="678" ht="15.75" hidden="1" customHeight="1">
      <c r="A678" s="184"/>
      <c r="B678" s="184"/>
      <c r="C678" s="184"/>
      <c r="D678" s="184"/>
      <c r="E678" s="184"/>
      <c r="F678" s="184"/>
      <c r="G678" s="185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</row>
    <row r="679" ht="15.75" hidden="1" customHeight="1">
      <c r="A679" s="184"/>
      <c r="B679" s="184"/>
      <c r="C679" s="184"/>
      <c r="D679" s="184"/>
      <c r="E679" s="184"/>
      <c r="F679" s="184"/>
      <c r="G679" s="185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</row>
    <row r="680" ht="15.75" hidden="1" customHeight="1">
      <c r="A680" s="184"/>
      <c r="B680" s="184"/>
      <c r="C680" s="184"/>
      <c r="D680" s="184"/>
      <c r="E680" s="184"/>
      <c r="F680" s="184"/>
      <c r="G680" s="185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</row>
    <row r="681" ht="15.75" hidden="1" customHeight="1">
      <c r="A681" s="184"/>
      <c r="B681" s="184"/>
      <c r="C681" s="184"/>
      <c r="D681" s="184"/>
      <c r="E681" s="184"/>
      <c r="F681" s="184"/>
      <c r="G681" s="185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</row>
    <row r="682" ht="15.75" hidden="1" customHeight="1">
      <c r="A682" s="184"/>
      <c r="B682" s="184"/>
      <c r="C682" s="184"/>
      <c r="D682" s="184"/>
      <c r="E682" s="184"/>
      <c r="F682" s="184"/>
      <c r="G682" s="185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</row>
    <row r="683" ht="15.75" hidden="1" customHeight="1">
      <c r="A683" s="184"/>
      <c r="B683" s="184"/>
      <c r="C683" s="184"/>
      <c r="D683" s="184"/>
      <c r="E683" s="184"/>
      <c r="F683" s="184"/>
      <c r="G683" s="185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</row>
    <row r="684" ht="15.75" hidden="1" customHeight="1">
      <c r="A684" s="184"/>
      <c r="B684" s="184"/>
      <c r="C684" s="184"/>
      <c r="D684" s="184"/>
      <c r="E684" s="184"/>
      <c r="F684" s="184"/>
      <c r="G684" s="185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</row>
    <row r="685" ht="15.75" hidden="1" customHeight="1">
      <c r="A685" s="184"/>
      <c r="B685" s="184"/>
      <c r="C685" s="184"/>
      <c r="D685" s="184"/>
      <c r="E685" s="184"/>
      <c r="F685" s="184"/>
      <c r="G685" s="185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</row>
    <row r="686" ht="15.75" hidden="1" customHeight="1">
      <c r="A686" s="184"/>
      <c r="B686" s="184"/>
      <c r="C686" s="184"/>
      <c r="D686" s="184"/>
      <c r="E686" s="184"/>
      <c r="F686" s="184"/>
      <c r="G686" s="185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</row>
    <row r="687" ht="15.75" hidden="1" customHeight="1">
      <c r="A687" s="184"/>
      <c r="B687" s="184"/>
      <c r="C687" s="184"/>
      <c r="D687" s="184"/>
      <c r="E687" s="184"/>
      <c r="F687" s="184"/>
      <c r="G687" s="185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</row>
    <row r="688" ht="15.75" hidden="1" customHeight="1">
      <c r="A688" s="184"/>
      <c r="B688" s="184"/>
      <c r="C688" s="184"/>
      <c r="D688" s="184"/>
      <c r="E688" s="184"/>
      <c r="F688" s="184"/>
      <c r="G688" s="185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</row>
    <row r="689" ht="15.75" hidden="1" customHeight="1">
      <c r="A689" s="184"/>
      <c r="B689" s="184"/>
      <c r="C689" s="184"/>
      <c r="D689" s="184"/>
      <c r="E689" s="184"/>
      <c r="F689" s="184"/>
      <c r="G689" s="185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</row>
    <row r="690" ht="15.75" hidden="1" customHeight="1">
      <c r="A690" s="184"/>
      <c r="B690" s="184"/>
      <c r="C690" s="184"/>
      <c r="D690" s="184"/>
      <c r="E690" s="184"/>
      <c r="F690" s="184"/>
      <c r="G690" s="185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</row>
    <row r="691" ht="15.75" hidden="1" customHeight="1">
      <c r="A691" s="184"/>
      <c r="B691" s="184"/>
      <c r="C691" s="184"/>
      <c r="D691" s="184"/>
      <c r="E691" s="184"/>
      <c r="F691" s="184"/>
      <c r="G691" s="185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</row>
    <row r="692" ht="15.75" hidden="1" customHeight="1">
      <c r="A692" s="184"/>
      <c r="B692" s="184"/>
      <c r="C692" s="184"/>
      <c r="D692" s="184"/>
      <c r="E692" s="184"/>
      <c r="F692" s="184"/>
      <c r="G692" s="185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</row>
    <row r="693" ht="15.75" hidden="1" customHeight="1">
      <c r="A693" s="184"/>
      <c r="B693" s="184"/>
      <c r="C693" s="184"/>
      <c r="D693" s="184"/>
      <c r="E693" s="184"/>
      <c r="F693" s="184"/>
      <c r="G693" s="185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</row>
    <row r="694" ht="15.75" hidden="1" customHeight="1">
      <c r="A694" s="184"/>
      <c r="B694" s="184"/>
      <c r="C694" s="184"/>
      <c r="D694" s="184"/>
      <c r="E694" s="184"/>
      <c r="F694" s="184"/>
      <c r="G694" s="185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</row>
    <row r="695" ht="15.75" hidden="1" customHeight="1">
      <c r="A695" s="184"/>
      <c r="B695" s="184"/>
      <c r="C695" s="184"/>
      <c r="D695" s="184"/>
      <c r="E695" s="184"/>
      <c r="F695" s="184"/>
      <c r="G695" s="185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</row>
    <row r="696" ht="15.75" hidden="1" customHeight="1">
      <c r="A696" s="184"/>
      <c r="B696" s="184"/>
      <c r="C696" s="184"/>
      <c r="D696" s="184"/>
      <c r="E696" s="184"/>
      <c r="F696" s="184"/>
      <c r="G696" s="185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</row>
    <row r="697" ht="15.75" hidden="1" customHeight="1">
      <c r="A697" s="184"/>
      <c r="B697" s="184"/>
      <c r="C697" s="184"/>
      <c r="D697" s="184"/>
      <c r="E697" s="184"/>
      <c r="F697" s="184"/>
      <c r="G697" s="185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</row>
    <row r="698" ht="15.75" hidden="1" customHeight="1">
      <c r="A698" s="184"/>
      <c r="B698" s="184"/>
      <c r="C698" s="184"/>
      <c r="D698" s="184"/>
      <c r="E698" s="184"/>
      <c r="F698" s="184"/>
      <c r="G698" s="185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</row>
    <row r="699" ht="15.75" hidden="1" customHeight="1">
      <c r="A699" s="184"/>
      <c r="B699" s="184"/>
      <c r="C699" s="184"/>
      <c r="D699" s="184"/>
      <c r="E699" s="184"/>
      <c r="F699" s="184"/>
      <c r="G699" s="185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</row>
    <row r="700" ht="15.75" hidden="1" customHeight="1">
      <c r="A700" s="184"/>
      <c r="B700" s="184"/>
      <c r="C700" s="184"/>
      <c r="D700" s="184"/>
      <c r="E700" s="184"/>
      <c r="F700" s="184"/>
      <c r="G700" s="185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</row>
    <row r="701" ht="15.75" hidden="1" customHeight="1">
      <c r="A701" s="184"/>
      <c r="B701" s="184"/>
      <c r="C701" s="184"/>
      <c r="D701" s="184"/>
      <c r="E701" s="184"/>
      <c r="F701" s="184"/>
      <c r="G701" s="185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</row>
    <row r="702" ht="15.75" hidden="1" customHeight="1">
      <c r="A702" s="184"/>
      <c r="B702" s="184"/>
      <c r="C702" s="184"/>
      <c r="D702" s="184"/>
      <c r="E702" s="184"/>
      <c r="F702" s="184"/>
      <c r="G702" s="185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</row>
    <row r="703" ht="15.75" hidden="1" customHeight="1">
      <c r="A703" s="184"/>
      <c r="B703" s="184"/>
      <c r="C703" s="184"/>
      <c r="D703" s="184"/>
      <c r="E703" s="184"/>
      <c r="F703" s="184"/>
      <c r="G703" s="185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</row>
    <row r="704" ht="15.75" hidden="1" customHeight="1">
      <c r="A704" s="184"/>
      <c r="B704" s="184"/>
      <c r="C704" s="184"/>
      <c r="D704" s="184"/>
      <c r="E704" s="184"/>
      <c r="F704" s="184"/>
      <c r="G704" s="185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</row>
    <row r="705" ht="15.75" hidden="1" customHeight="1">
      <c r="A705" s="184"/>
      <c r="B705" s="184"/>
      <c r="C705" s="184"/>
      <c r="D705" s="184"/>
      <c r="E705" s="184"/>
      <c r="F705" s="184"/>
      <c r="G705" s="185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</row>
    <row r="706" ht="15.75" hidden="1" customHeight="1">
      <c r="A706" s="184"/>
      <c r="B706" s="184"/>
      <c r="C706" s="184"/>
      <c r="D706" s="184"/>
      <c r="E706" s="184"/>
      <c r="F706" s="184"/>
      <c r="G706" s="185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</row>
    <row r="707" ht="15.75" hidden="1" customHeight="1">
      <c r="A707" s="184"/>
      <c r="B707" s="184"/>
      <c r="C707" s="184"/>
      <c r="D707" s="184"/>
      <c r="E707" s="184"/>
      <c r="F707" s="184"/>
      <c r="G707" s="185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</row>
    <row r="708" ht="15.75" hidden="1" customHeight="1">
      <c r="A708" s="184"/>
      <c r="B708" s="184"/>
      <c r="C708" s="184"/>
      <c r="D708" s="184"/>
      <c r="E708" s="184"/>
      <c r="F708" s="184"/>
      <c r="G708" s="185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</row>
    <row r="709" ht="15.75" hidden="1" customHeight="1">
      <c r="A709" s="184"/>
      <c r="B709" s="184"/>
      <c r="C709" s="184"/>
      <c r="D709" s="184"/>
      <c r="E709" s="184"/>
      <c r="F709" s="184"/>
      <c r="G709" s="185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</row>
    <row r="710" ht="15.75" hidden="1" customHeight="1">
      <c r="A710" s="184"/>
      <c r="B710" s="184"/>
      <c r="C710" s="184"/>
      <c r="D710" s="184"/>
      <c r="E710" s="184"/>
      <c r="F710" s="184"/>
      <c r="G710" s="185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</row>
    <row r="711" ht="15.75" hidden="1" customHeight="1">
      <c r="A711" s="184"/>
      <c r="B711" s="184"/>
      <c r="C711" s="184"/>
      <c r="D711" s="184"/>
      <c r="E711" s="184"/>
      <c r="F711" s="184"/>
      <c r="G711" s="185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</row>
    <row r="712" ht="15.75" hidden="1" customHeight="1">
      <c r="A712" s="184"/>
      <c r="B712" s="184"/>
      <c r="C712" s="184"/>
      <c r="D712" s="184"/>
      <c r="E712" s="184"/>
      <c r="F712" s="184"/>
      <c r="G712" s="185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</row>
    <row r="713" ht="15.75" hidden="1" customHeight="1">
      <c r="A713" s="184"/>
      <c r="B713" s="184"/>
      <c r="C713" s="184"/>
      <c r="D713" s="184"/>
      <c r="E713" s="184"/>
      <c r="F713" s="184"/>
      <c r="G713" s="185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</row>
    <row r="714" ht="15.75" hidden="1" customHeight="1">
      <c r="A714" s="184"/>
      <c r="B714" s="184"/>
      <c r="C714" s="184"/>
      <c r="D714" s="184"/>
      <c r="E714" s="184"/>
      <c r="F714" s="184"/>
      <c r="G714" s="185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</row>
    <row r="715" ht="15.75" hidden="1" customHeight="1">
      <c r="A715" s="184"/>
      <c r="B715" s="184"/>
      <c r="C715" s="184"/>
      <c r="D715" s="184"/>
      <c r="E715" s="184"/>
      <c r="F715" s="184"/>
      <c r="G715" s="185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</row>
    <row r="716" ht="15.75" hidden="1" customHeight="1">
      <c r="A716" s="184"/>
      <c r="B716" s="184"/>
      <c r="C716" s="184"/>
      <c r="D716" s="184"/>
      <c r="E716" s="184"/>
      <c r="F716" s="184"/>
      <c r="G716" s="185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</row>
    <row r="717" ht="15.75" hidden="1" customHeight="1">
      <c r="A717" s="184"/>
      <c r="B717" s="184"/>
      <c r="C717" s="184"/>
      <c r="D717" s="184"/>
      <c r="E717" s="184"/>
      <c r="F717" s="184"/>
      <c r="G717" s="185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</row>
    <row r="718" ht="15.75" hidden="1" customHeight="1">
      <c r="A718" s="184"/>
      <c r="B718" s="184"/>
      <c r="C718" s="184"/>
      <c r="D718" s="184"/>
      <c r="E718" s="184"/>
      <c r="F718" s="184"/>
      <c r="G718" s="185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</row>
    <row r="719" ht="15.75" hidden="1" customHeight="1">
      <c r="A719" s="184"/>
      <c r="B719" s="184"/>
      <c r="C719" s="184"/>
      <c r="D719" s="184"/>
      <c r="E719" s="184"/>
      <c r="F719" s="184"/>
      <c r="G719" s="185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</row>
    <row r="720" ht="15.75" hidden="1" customHeight="1">
      <c r="A720" s="184"/>
      <c r="B720" s="184"/>
      <c r="C720" s="184"/>
      <c r="D720" s="184"/>
      <c r="E720" s="184"/>
      <c r="F720" s="184"/>
      <c r="G720" s="185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</row>
    <row r="721" ht="15.75" hidden="1" customHeight="1">
      <c r="A721" s="184"/>
      <c r="B721" s="184"/>
      <c r="C721" s="184"/>
      <c r="D721" s="184"/>
      <c r="E721" s="184"/>
      <c r="F721" s="184"/>
      <c r="G721" s="185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</row>
    <row r="722" ht="15.75" hidden="1" customHeight="1">
      <c r="A722" s="184"/>
      <c r="B722" s="184"/>
      <c r="C722" s="184"/>
      <c r="D722" s="184"/>
      <c r="E722" s="184"/>
      <c r="F722" s="184"/>
      <c r="G722" s="185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</row>
    <row r="723" ht="15.75" hidden="1" customHeight="1">
      <c r="A723" s="184"/>
      <c r="B723" s="184"/>
      <c r="C723" s="184"/>
      <c r="D723" s="184"/>
      <c r="E723" s="184"/>
      <c r="F723" s="184"/>
      <c r="G723" s="185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</row>
    <row r="724" ht="15.75" hidden="1" customHeight="1">
      <c r="A724" s="184"/>
      <c r="B724" s="184"/>
      <c r="C724" s="184"/>
      <c r="D724" s="184"/>
      <c r="E724" s="184"/>
      <c r="F724" s="184"/>
      <c r="G724" s="185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</row>
    <row r="725" ht="15.75" hidden="1" customHeight="1">
      <c r="A725" s="184"/>
      <c r="B725" s="184"/>
      <c r="C725" s="184"/>
      <c r="D725" s="184"/>
      <c r="E725" s="184"/>
      <c r="F725" s="184"/>
      <c r="G725" s="185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</row>
    <row r="726" ht="15.75" hidden="1" customHeight="1">
      <c r="A726" s="184"/>
      <c r="B726" s="184"/>
      <c r="C726" s="184"/>
      <c r="D726" s="184"/>
      <c r="E726" s="184"/>
      <c r="F726" s="184"/>
      <c r="G726" s="185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</row>
    <row r="727" ht="15.75" hidden="1" customHeight="1">
      <c r="A727" s="184"/>
      <c r="B727" s="184"/>
      <c r="C727" s="184"/>
      <c r="D727" s="184"/>
      <c r="E727" s="184"/>
      <c r="F727" s="184"/>
      <c r="G727" s="185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</row>
    <row r="728" ht="15.75" hidden="1" customHeight="1">
      <c r="A728" s="184"/>
      <c r="B728" s="184"/>
      <c r="C728" s="184"/>
      <c r="D728" s="184"/>
      <c r="E728" s="184"/>
      <c r="F728" s="184"/>
      <c r="G728" s="185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</row>
    <row r="729" ht="15.75" hidden="1" customHeight="1">
      <c r="A729" s="184"/>
      <c r="B729" s="184"/>
      <c r="C729" s="184"/>
      <c r="D729" s="184"/>
      <c r="E729" s="184"/>
      <c r="F729" s="184"/>
      <c r="G729" s="185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</row>
    <row r="730" ht="15.75" hidden="1" customHeight="1">
      <c r="A730" s="184"/>
      <c r="B730" s="184"/>
      <c r="C730" s="184"/>
      <c r="D730" s="184"/>
      <c r="E730" s="184"/>
      <c r="F730" s="184"/>
      <c r="G730" s="185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</row>
    <row r="731" ht="15.75" hidden="1" customHeight="1">
      <c r="A731" s="184"/>
      <c r="B731" s="184"/>
      <c r="C731" s="184"/>
      <c r="D731" s="184"/>
      <c r="E731" s="184"/>
      <c r="F731" s="184"/>
      <c r="G731" s="185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</row>
    <row r="732" ht="15.75" hidden="1" customHeight="1">
      <c r="A732" s="184"/>
      <c r="B732" s="184"/>
      <c r="C732" s="184"/>
      <c r="D732" s="184"/>
      <c r="E732" s="184"/>
      <c r="F732" s="184"/>
      <c r="G732" s="185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</row>
    <row r="733" ht="15.75" hidden="1" customHeight="1">
      <c r="A733" s="184"/>
      <c r="B733" s="184"/>
      <c r="C733" s="184"/>
      <c r="D733" s="184"/>
      <c r="E733" s="184"/>
      <c r="F733" s="184"/>
      <c r="G733" s="185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</row>
    <row r="734" ht="15.75" hidden="1" customHeight="1">
      <c r="A734" s="184"/>
      <c r="B734" s="184"/>
      <c r="C734" s="184"/>
      <c r="D734" s="184"/>
      <c r="E734" s="184"/>
      <c r="F734" s="184"/>
      <c r="G734" s="185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</row>
    <row r="735" ht="15.75" hidden="1" customHeight="1">
      <c r="A735" s="184"/>
      <c r="B735" s="184"/>
      <c r="C735" s="184"/>
      <c r="D735" s="184"/>
      <c r="E735" s="184"/>
      <c r="F735" s="184"/>
      <c r="G735" s="185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</row>
    <row r="736" ht="15.75" hidden="1" customHeight="1">
      <c r="A736" s="184"/>
      <c r="B736" s="184"/>
      <c r="C736" s="184"/>
      <c r="D736" s="184"/>
      <c r="E736" s="184"/>
      <c r="F736" s="184"/>
      <c r="G736" s="185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</row>
    <row r="737" ht="15.75" hidden="1" customHeight="1">
      <c r="A737" s="184"/>
      <c r="B737" s="184"/>
      <c r="C737" s="184"/>
      <c r="D737" s="184"/>
      <c r="E737" s="184"/>
      <c r="F737" s="184"/>
      <c r="G737" s="185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</row>
    <row r="738" ht="15.75" hidden="1" customHeight="1">
      <c r="A738" s="184"/>
      <c r="B738" s="184"/>
      <c r="C738" s="184"/>
      <c r="D738" s="184"/>
      <c r="E738" s="184"/>
      <c r="F738" s="184"/>
      <c r="G738" s="185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</row>
    <row r="739" ht="15.75" hidden="1" customHeight="1">
      <c r="A739" s="184"/>
      <c r="B739" s="184"/>
      <c r="C739" s="184"/>
      <c r="D739" s="184"/>
      <c r="E739" s="184"/>
      <c r="F739" s="184"/>
      <c r="G739" s="185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</row>
    <row r="740" ht="15.75" hidden="1" customHeight="1">
      <c r="A740" s="184"/>
      <c r="B740" s="184"/>
      <c r="C740" s="184"/>
      <c r="D740" s="184"/>
      <c r="E740" s="184"/>
      <c r="F740" s="184"/>
      <c r="G740" s="185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</row>
    <row r="741" ht="15.75" hidden="1" customHeight="1">
      <c r="A741" s="184"/>
      <c r="B741" s="184"/>
      <c r="C741" s="184"/>
      <c r="D741" s="184"/>
      <c r="E741" s="184"/>
      <c r="F741" s="184"/>
      <c r="G741" s="185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</row>
    <row r="742" ht="15.75" hidden="1" customHeight="1">
      <c r="A742" s="184"/>
      <c r="B742" s="184"/>
      <c r="C742" s="184"/>
      <c r="D742" s="184"/>
      <c r="E742" s="184"/>
      <c r="F742" s="184"/>
      <c r="G742" s="185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</row>
    <row r="743" ht="15.75" hidden="1" customHeight="1">
      <c r="A743" s="184"/>
      <c r="B743" s="184"/>
      <c r="C743" s="184"/>
      <c r="D743" s="184"/>
      <c r="E743" s="184"/>
      <c r="F743" s="184"/>
      <c r="G743" s="185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</row>
    <row r="744" ht="15.75" hidden="1" customHeight="1">
      <c r="A744" s="184"/>
      <c r="B744" s="184"/>
      <c r="C744" s="184"/>
      <c r="D744" s="184"/>
      <c r="E744" s="184"/>
      <c r="F744" s="184"/>
      <c r="G744" s="185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</row>
    <row r="745" ht="15.75" hidden="1" customHeight="1">
      <c r="A745" s="184"/>
      <c r="B745" s="184"/>
      <c r="C745" s="184"/>
      <c r="D745" s="184"/>
      <c r="E745" s="184"/>
      <c r="F745" s="184"/>
      <c r="G745" s="185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</row>
    <row r="746" ht="15.75" hidden="1" customHeight="1">
      <c r="A746" s="184"/>
      <c r="B746" s="184"/>
      <c r="C746" s="184"/>
      <c r="D746" s="184"/>
      <c r="E746" s="184"/>
      <c r="F746" s="184"/>
      <c r="G746" s="185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</row>
    <row r="747" ht="15.75" hidden="1" customHeight="1">
      <c r="A747" s="184"/>
      <c r="B747" s="184"/>
      <c r="C747" s="184"/>
      <c r="D747" s="184"/>
      <c r="E747" s="184"/>
      <c r="F747" s="184"/>
      <c r="G747" s="185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</row>
    <row r="748" ht="15.75" hidden="1" customHeight="1">
      <c r="A748" s="184"/>
      <c r="B748" s="184"/>
      <c r="C748" s="184"/>
      <c r="D748" s="184"/>
      <c r="E748" s="184"/>
      <c r="F748" s="184"/>
      <c r="G748" s="185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</row>
    <row r="749" ht="15.75" hidden="1" customHeight="1">
      <c r="A749" s="184"/>
      <c r="B749" s="184"/>
      <c r="C749" s="184"/>
      <c r="D749" s="184"/>
      <c r="E749" s="184"/>
      <c r="F749" s="184"/>
      <c r="G749" s="185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</row>
    <row r="750" ht="15.75" hidden="1" customHeight="1">
      <c r="A750" s="184"/>
      <c r="B750" s="184"/>
      <c r="C750" s="184"/>
      <c r="D750" s="184"/>
      <c r="E750" s="184"/>
      <c r="F750" s="184"/>
      <c r="G750" s="185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</row>
    <row r="751" ht="15.75" hidden="1" customHeight="1">
      <c r="A751" s="184"/>
      <c r="B751" s="184"/>
      <c r="C751" s="184"/>
      <c r="D751" s="184"/>
      <c r="E751" s="184"/>
      <c r="F751" s="184"/>
      <c r="G751" s="185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</row>
    <row r="752" ht="15.75" hidden="1" customHeight="1">
      <c r="A752" s="184"/>
      <c r="B752" s="184"/>
      <c r="C752" s="184"/>
      <c r="D752" s="184"/>
      <c r="E752" s="184"/>
      <c r="F752" s="184"/>
      <c r="G752" s="185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</row>
    <row r="753" ht="15.75" hidden="1" customHeight="1">
      <c r="A753" s="184"/>
      <c r="B753" s="184"/>
      <c r="C753" s="184"/>
      <c r="D753" s="184"/>
      <c r="E753" s="184"/>
      <c r="F753" s="184"/>
      <c r="G753" s="185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</row>
    <row r="754" ht="15.75" hidden="1" customHeight="1">
      <c r="A754" s="184"/>
      <c r="B754" s="184"/>
      <c r="C754" s="184"/>
      <c r="D754" s="184"/>
      <c r="E754" s="184"/>
      <c r="F754" s="184"/>
      <c r="G754" s="185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</row>
    <row r="755" ht="15.75" hidden="1" customHeight="1">
      <c r="A755" s="184"/>
      <c r="B755" s="184"/>
      <c r="C755" s="184"/>
      <c r="D755" s="184"/>
      <c r="E755" s="184"/>
      <c r="F755" s="184"/>
      <c r="G755" s="185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</row>
    <row r="756" ht="15.75" hidden="1" customHeight="1">
      <c r="A756" s="184"/>
      <c r="B756" s="184"/>
      <c r="C756" s="184"/>
      <c r="D756" s="184"/>
      <c r="E756" s="184"/>
      <c r="F756" s="184"/>
      <c r="G756" s="185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</row>
    <row r="757" ht="15.75" hidden="1" customHeight="1">
      <c r="A757" s="184"/>
      <c r="B757" s="184"/>
      <c r="C757" s="184"/>
      <c r="D757" s="184"/>
      <c r="E757" s="184"/>
      <c r="F757" s="184"/>
      <c r="G757" s="185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</row>
    <row r="758" ht="15.75" hidden="1" customHeight="1">
      <c r="A758" s="184"/>
      <c r="B758" s="184"/>
      <c r="C758" s="184"/>
      <c r="D758" s="184"/>
      <c r="E758" s="184"/>
      <c r="F758" s="184"/>
      <c r="G758" s="185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</row>
    <row r="759" ht="15.75" hidden="1" customHeight="1">
      <c r="A759" s="184"/>
      <c r="B759" s="184"/>
      <c r="C759" s="184"/>
      <c r="D759" s="184"/>
      <c r="E759" s="184"/>
      <c r="F759" s="184"/>
      <c r="G759" s="185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</row>
    <row r="760" ht="15.75" hidden="1" customHeight="1">
      <c r="A760" s="184"/>
      <c r="B760" s="184"/>
      <c r="C760" s="184"/>
      <c r="D760" s="184"/>
      <c r="E760" s="184"/>
      <c r="F760" s="184"/>
      <c r="G760" s="185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</row>
    <row r="761" ht="15.75" hidden="1" customHeight="1">
      <c r="A761" s="184"/>
      <c r="B761" s="184"/>
      <c r="C761" s="184"/>
      <c r="D761" s="184"/>
      <c r="E761" s="184"/>
      <c r="F761" s="184"/>
      <c r="G761" s="185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</row>
    <row r="762" ht="15.75" hidden="1" customHeight="1">
      <c r="A762" s="184"/>
      <c r="B762" s="184"/>
      <c r="C762" s="184"/>
      <c r="D762" s="184"/>
      <c r="E762" s="184"/>
      <c r="F762" s="184"/>
      <c r="G762" s="185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</row>
    <row r="763" ht="15.75" hidden="1" customHeight="1">
      <c r="A763" s="184"/>
      <c r="B763" s="184"/>
      <c r="C763" s="184"/>
      <c r="D763" s="184"/>
      <c r="E763" s="184"/>
      <c r="F763" s="184"/>
      <c r="G763" s="185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</row>
    <row r="764" ht="15.75" hidden="1" customHeight="1">
      <c r="A764" s="184"/>
      <c r="B764" s="184"/>
      <c r="C764" s="184"/>
      <c r="D764" s="184"/>
      <c r="E764" s="184"/>
      <c r="F764" s="184"/>
      <c r="G764" s="185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</row>
    <row r="765" ht="15.75" hidden="1" customHeight="1">
      <c r="A765" s="184"/>
      <c r="B765" s="184"/>
      <c r="C765" s="184"/>
      <c r="D765" s="184"/>
      <c r="E765" s="184"/>
      <c r="F765" s="184"/>
      <c r="G765" s="185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</row>
    <row r="766" ht="15.75" hidden="1" customHeight="1">
      <c r="A766" s="184"/>
      <c r="B766" s="184"/>
      <c r="C766" s="184"/>
      <c r="D766" s="184"/>
      <c r="E766" s="184"/>
      <c r="F766" s="184"/>
      <c r="G766" s="185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</row>
    <row r="767" ht="15.75" hidden="1" customHeight="1">
      <c r="A767" s="184"/>
      <c r="B767" s="184"/>
      <c r="C767" s="184"/>
      <c r="D767" s="184"/>
      <c r="E767" s="184"/>
      <c r="F767" s="184"/>
      <c r="G767" s="185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</row>
    <row r="768" ht="15.75" hidden="1" customHeight="1">
      <c r="A768" s="184"/>
      <c r="B768" s="184"/>
      <c r="C768" s="184"/>
      <c r="D768" s="184"/>
      <c r="E768" s="184"/>
      <c r="F768" s="184"/>
      <c r="G768" s="185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</row>
    <row r="769" ht="15.75" hidden="1" customHeight="1">
      <c r="A769" s="184"/>
      <c r="B769" s="184"/>
      <c r="C769" s="184"/>
      <c r="D769" s="184"/>
      <c r="E769" s="184"/>
      <c r="F769" s="184"/>
      <c r="G769" s="185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</row>
    <row r="770" ht="15.75" hidden="1" customHeight="1">
      <c r="A770" s="184"/>
      <c r="B770" s="184"/>
      <c r="C770" s="184"/>
      <c r="D770" s="184"/>
      <c r="E770" s="184"/>
      <c r="F770" s="184"/>
      <c r="G770" s="185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</row>
    <row r="771" ht="15.75" hidden="1" customHeight="1">
      <c r="A771" s="184"/>
      <c r="B771" s="184"/>
      <c r="C771" s="184"/>
      <c r="D771" s="184"/>
      <c r="E771" s="184"/>
      <c r="F771" s="184"/>
      <c r="G771" s="185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</row>
    <row r="772" ht="15.75" hidden="1" customHeight="1">
      <c r="A772" s="184"/>
      <c r="B772" s="184"/>
      <c r="C772" s="184"/>
      <c r="D772" s="184"/>
      <c r="E772" s="184"/>
      <c r="F772" s="184"/>
      <c r="G772" s="185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</row>
    <row r="773" ht="15.75" hidden="1" customHeight="1">
      <c r="A773" s="184"/>
      <c r="B773" s="184"/>
      <c r="C773" s="184"/>
      <c r="D773" s="184"/>
      <c r="E773" s="184"/>
      <c r="F773" s="184"/>
      <c r="G773" s="185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</row>
    <row r="774" ht="15.75" hidden="1" customHeight="1">
      <c r="A774" s="184"/>
      <c r="B774" s="184"/>
      <c r="C774" s="184"/>
      <c r="D774" s="184"/>
      <c r="E774" s="184"/>
      <c r="F774" s="184"/>
      <c r="G774" s="185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</row>
    <row r="775" ht="15.75" hidden="1" customHeight="1">
      <c r="A775" s="184"/>
      <c r="B775" s="184"/>
      <c r="C775" s="184"/>
      <c r="D775" s="184"/>
      <c r="E775" s="184"/>
      <c r="F775" s="184"/>
      <c r="G775" s="185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</row>
    <row r="776" ht="15.75" hidden="1" customHeight="1">
      <c r="A776" s="184"/>
      <c r="B776" s="184"/>
      <c r="C776" s="184"/>
      <c r="D776" s="184"/>
      <c r="E776" s="184"/>
      <c r="F776" s="184"/>
      <c r="G776" s="185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</row>
    <row r="777" ht="15.75" hidden="1" customHeight="1">
      <c r="A777" s="184"/>
      <c r="B777" s="184"/>
      <c r="C777" s="184"/>
      <c r="D777" s="184"/>
      <c r="E777" s="184"/>
      <c r="F777" s="184"/>
      <c r="G777" s="185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</row>
    <row r="778" ht="15.75" hidden="1" customHeight="1">
      <c r="A778" s="184"/>
      <c r="B778" s="184"/>
      <c r="C778" s="184"/>
      <c r="D778" s="184"/>
      <c r="E778" s="184"/>
      <c r="F778" s="184"/>
      <c r="G778" s="185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</row>
    <row r="779" ht="15.75" hidden="1" customHeight="1">
      <c r="A779" s="184"/>
      <c r="B779" s="184"/>
      <c r="C779" s="184"/>
      <c r="D779" s="184"/>
      <c r="E779" s="184"/>
      <c r="F779" s="184"/>
      <c r="G779" s="185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</row>
    <row r="780" ht="15.75" hidden="1" customHeight="1">
      <c r="A780" s="184"/>
      <c r="B780" s="184"/>
      <c r="C780" s="184"/>
      <c r="D780" s="184"/>
      <c r="E780" s="184"/>
      <c r="F780" s="184"/>
      <c r="G780" s="185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</row>
    <row r="781" ht="15.75" hidden="1" customHeight="1">
      <c r="A781" s="184"/>
      <c r="B781" s="184"/>
      <c r="C781" s="184"/>
      <c r="D781" s="184"/>
      <c r="E781" s="184"/>
      <c r="F781" s="184"/>
      <c r="G781" s="185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</row>
    <row r="782" ht="15.75" hidden="1" customHeight="1">
      <c r="A782" s="184"/>
      <c r="B782" s="184"/>
      <c r="C782" s="184"/>
      <c r="D782" s="184"/>
      <c r="E782" s="184"/>
      <c r="F782" s="184"/>
      <c r="G782" s="185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</row>
    <row r="783" ht="15.75" hidden="1" customHeight="1">
      <c r="A783" s="184"/>
      <c r="B783" s="184"/>
      <c r="C783" s="184"/>
      <c r="D783" s="184"/>
      <c r="E783" s="184"/>
      <c r="F783" s="184"/>
      <c r="G783" s="185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</row>
    <row r="784" ht="15.75" hidden="1" customHeight="1">
      <c r="A784" s="184"/>
      <c r="B784" s="184"/>
      <c r="C784" s="184"/>
      <c r="D784" s="184"/>
      <c r="E784" s="184"/>
      <c r="F784" s="184"/>
      <c r="G784" s="185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</row>
    <row r="785" ht="15.75" hidden="1" customHeight="1">
      <c r="A785" s="184"/>
      <c r="B785" s="184"/>
      <c r="C785" s="184"/>
      <c r="D785" s="184"/>
      <c r="E785" s="184"/>
      <c r="F785" s="184"/>
      <c r="G785" s="185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</row>
    <row r="786" ht="15.75" hidden="1" customHeight="1">
      <c r="A786" s="184"/>
      <c r="B786" s="184"/>
      <c r="C786" s="184"/>
      <c r="D786" s="184"/>
      <c r="E786" s="184"/>
      <c r="F786" s="184"/>
      <c r="G786" s="185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</row>
    <row r="787" ht="15.75" hidden="1" customHeight="1">
      <c r="A787" s="184"/>
      <c r="B787" s="184"/>
      <c r="C787" s="184"/>
      <c r="D787" s="184"/>
      <c r="E787" s="184"/>
      <c r="F787" s="184"/>
      <c r="G787" s="185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</row>
    <row r="788" ht="15.75" hidden="1" customHeight="1">
      <c r="A788" s="184"/>
      <c r="B788" s="184"/>
      <c r="C788" s="184"/>
      <c r="D788" s="184"/>
      <c r="E788" s="184"/>
      <c r="F788" s="184"/>
      <c r="G788" s="185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</row>
    <row r="789" ht="15.75" hidden="1" customHeight="1">
      <c r="A789" s="184"/>
      <c r="B789" s="184"/>
      <c r="C789" s="184"/>
      <c r="D789" s="184"/>
      <c r="E789" s="184"/>
      <c r="F789" s="184"/>
      <c r="G789" s="185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</row>
    <row r="790" ht="15.75" hidden="1" customHeight="1">
      <c r="A790" s="184"/>
      <c r="B790" s="184"/>
      <c r="C790" s="184"/>
      <c r="D790" s="184"/>
      <c r="E790" s="184"/>
      <c r="F790" s="184"/>
      <c r="G790" s="185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</row>
    <row r="791" ht="15.75" hidden="1" customHeight="1">
      <c r="A791" s="184"/>
      <c r="B791" s="184"/>
      <c r="C791" s="184"/>
      <c r="D791" s="184"/>
      <c r="E791" s="184"/>
      <c r="F791" s="184"/>
      <c r="G791" s="185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</row>
    <row r="792" ht="15.75" hidden="1" customHeight="1">
      <c r="A792" s="184"/>
      <c r="B792" s="184"/>
      <c r="C792" s="184"/>
      <c r="D792" s="184"/>
      <c r="E792" s="184"/>
      <c r="F792" s="184"/>
      <c r="G792" s="185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</row>
    <row r="793" ht="15.75" hidden="1" customHeight="1">
      <c r="A793" s="184"/>
      <c r="B793" s="184"/>
      <c r="C793" s="184"/>
      <c r="D793" s="184"/>
      <c r="E793" s="184"/>
      <c r="F793" s="184"/>
      <c r="G793" s="185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</row>
    <row r="794" ht="15.75" hidden="1" customHeight="1">
      <c r="A794" s="184"/>
      <c r="B794" s="184"/>
      <c r="C794" s="184"/>
      <c r="D794" s="184"/>
      <c r="E794" s="184"/>
      <c r="F794" s="184"/>
      <c r="G794" s="185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</row>
    <row r="795" ht="15.75" hidden="1" customHeight="1">
      <c r="A795" s="184"/>
      <c r="B795" s="184"/>
      <c r="C795" s="184"/>
      <c r="D795" s="184"/>
      <c r="E795" s="184"/>
      <c r="F795" s="184"/>
      <c r="G795" s="185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</row>
    <row r="796" ht="15.75" hidden="1" customHeight="1">
      <c r="A796" s="184"/>
      <c r="B796" s="184"/>
      <c r="C796" s="184"/>
      <c r="D796" s="184"/>
      <c r="E796" s="184"/>
      <c r="F796" s="184"/>
      <c r="G796" s="185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</row>
    <row r="797" ht="15.75" hidden="1" customHeight="1">
      <c r="A797" s="184"/>
      <c r="B797" s="184"/>
      <c r="C797" s="184"/>
      <c r="D797" s="184"/>
      <c r="E797" s="184"/>
      <c r="F797" s="184"/>
      <c r="G797" s="185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</row>
    <row r="798" ht="15.75" hidden="1" customHeight="1">
      <c r="A798" s="184"/>
      <c r="B798" s="184"/>
      <c r="C798" s="184"/>
      <c r="D798" s="184"/>
      <c r="E798" s="184"/>
      <c r="F798" s="184"/>
      <c r="G798" s="185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</row>
    <row r="799" ht="15.75" hidden="1" customHeight="1">
      <c r="A799" s="184"/>
      <c r="B799" s="184"/>
      <c r="C799" s="184"/>
      <c r="D799" s="184"/>
      <c r="E799" s="184"/>
      <c r="F799" s="184"/>
      <c r="G799" s="185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</row>
    <row r="800" ht="15.75" hidden="1" customHeight="1">
      <c r="A800" s="184"/>
      <c r="B800" s="184"/>
      <c r="C800" s="184"/>
      <c r="D800" s="184"/>
      <c r="E800" s="184"/>
      <c r="F800" s="184"/>
      <c r="G800" s="185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</row>
    <row r="801" ht="15.75" hidden="1" customHeight="1">
      <c r="A801" s="184"/>
      <c r="B801" s="184"/>
      <c r="C801" s="184"/>
      <c r="D801" s="184"/>
      <c r="E801" s="184"/>
      <c r="F801" s="184"/>
      <c r="G801" s="185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</row>
    <row r="802" ht="15.75" hidden="1" customHeight="1">
      <c r="A802" s="184"/>
      <c r="B802" s="184"/>
      <c r="C802" s="184"/>
      <c r="D802" s="184"/>
      <c r="E802" s="184"/>
      <c r="F802" s="184"/>
      <c r="G802" s="185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</row>
    <row r="803" ht="15.75" hidden="1" customHeight="1">
      <c r="A803" s="184"/>
      <c r="B803" s="184"/>
      <c r="C803" s="184"/>
      <c r="D803" s="184"/>
      <c r="E803" s="184"/>
      <c r="F803" s="184"/>
      <c r="G803" s="185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</row>
    <row r="804" ht="15.75" hidden="1" customHeight="1">
      <c r="A804" s="184"/>
      <c r="B804" s="184"/>
      <c r="C804" s="184"/>
      <c r="D804" s="184"/>
      <c r="E804" s="184"/>
      <c r="F804" s="184"/>
      <c r="G804" s="185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</row>
    <row r="805" ht="15.75" hidden="1" customHeight="1">
      <c r="A805" s="184"/>
      <c r="B805" s="184"/>
      <c r="C805" s="184"/>
      <c r="D805" s="184"/>
      <c r="E805" s="184"/>
      <c r="F805" s="184"/>
      <c r="G805" s="185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</row>
    <row r="806" ht="15.75" hidden="1" customHeight="1">
      <c r="A806" s="184"/>
      <c r="B806" s="184"/>
      <c r="C806" s="184"/>
      <c r="D806" s="184"/>
      <c r="E806" s="184"/>
      <c r="F806" s="184"/>
      <c r="G806" s="185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</row>
    <row r="807" ht="15.75" hidden="1" customHeight="1">
      <c r="A807" s="184"/>
      <c r="B807" s="184"/>
      <c r="C807" s="184"/>
      <c r="D807" s="184"/>
      <c r="E807" s="184"/>
      <c r="F807" s="184"/>
      <c r="G807" s="185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</row>
    <row r="808" ht="15.75" hidden="1" customHeight="1">
      <c r="A808" s="184"/>
      <c r="B808" s="184"/>
      <c r="C808" s="184"/>
      <c r="D808" s="184"/>
      <c r="E808" s="184"/>
      <c r="F808" s="184"/>
      <c r="G808" s="185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</row>
    <row r="809" ht="15.75" hidden="1" customHeight="1">
      <c r="A809" s="184"/>
      <c r="B809" s="184"/>
      <c r="C809" s="184"/>
      <c r="D809" s="184"/>
      <c r="E809" s="184"/>
      <c r="F809" s="184"/>
      <c r="G809" s="185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</row>
    <row r="810" ht="15.75" hidden="1" customHeight="1">
      <c r="A810" s="184"/>
      <c r="B810" s="184"/>
      <c r="C810" s="184"/>
      <c r="D810" s="184"/>
      <c r="E810" s="184"/>
      <c r="F810" s="184"/>
      <c r="G810" s="185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</row>
    <row r="811" ht="15.75" hidden="1" customHeight="1">
      <c r="A811" s="184"/>
      <c r="B811" s="184"/>
      <c r="C811" s="184"/>
      <c r="D811" s="184"/>
      <c r="E811" s="184"/>
      <c r="F811" s="184"/>
      <c r="G811" s="185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</row>
    <row r="812" ht="15.75" hidden="1" customHeight="1">
      <c r="A812" s="184"/>
      <c r="B812" s="184"/>
      <c r="C812" s="184"/>
      <c r="D812" s="184"/>
      <c r="E812" s="184"/>
      <c r="F812" s="184"/>
      <c r="G812" s="185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</row>
    <row r="813" ht="15.75" hidden="1" customHeight="1">
      <c r="A813" s="184"/>
      <c r="B813" s="184"/>
      <c r="C813" s="184"/>
      <c r="D813" s="184"/>
      <c r="E813" s="184"/>
      <c r="F813" s="184"/>
      <c r="G813" s="185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</row>
    <row r="814" ht="15.75" hidden="1" customHeight="1">
      <c r="A814" s="184"/>
      <c r="B814" s="184"/>
      <c r="C814" s="184"/>
      <c r="D814" s="184"/>
      <c r="E814" s="184"/>
      <c r="F814" s="184"/>
      <c r="G814" s="185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</row>
    <row r="815" ht="15.75" hidden="1" customHeight="1">
      <c r="A815" s="184"/>
      <c r="B815" s="184"/>
      <c r="C815" s="184"/>
      <c r="D815" s="184"/>
      <c r="E815" s="184"/>
      <c r="F815" s="184"/>
      <c r="G815" s="185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</row>
    <row r="816" ht="15.75" hidden="1" customHeight="1">
      <c r="A816" s="184"/>
      <c r="B816" s="184"/>
      <c r="C816" s="184"/>
      <c r="D816" s="184"/>
      <c r="E816" s="184"/>
      <c r="F816" s="184"/>
      <c r="G816" s="185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</row>
    <row r="817" ht="15.75" hidden="1" customHeight="1">
      <c r="A817" s="184"/>
      <c r="B817" s="184"/>
      <c r="C817" s="184"/>
      <c r="D817" s="184"/>
      <c r="E817" s="184"/>
      <c r="F817" s="184"/>
      <c r="G817" s="185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</row>
    <row r="818" ht="15.75" hidden="1" customHeight="1">
      <c r="A818" s="184"/>
      <c r="B818" s="184"/>
      <c r="C818" s="184"/>
      <c r="D818" s="184"/>
      <c r="E818" s="184"/>
      <c r="F818" s="184"/>
      <c r="G818" s="185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</row>
    <row r="819" ht="15.75" hidden="1" customHeight="1">
      <c r="A819" s="184"/>
      <c r="B819" s="184"/>
      <c r="C819" s="184"/>
      <c r="D819" s="184"/>
      <c r="E819" s="184"/>
      <c r="F819" s="184"/>
      <c r="G819" s="185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</row>
    <row r="820" ht="15.75" hidden="1" customHeight="1">
      <c r="A820" s="184"/>
      <c r="B820" s="184"/>
      <c r="C820" s="184"/>
      <c r="D820" s="184"/>
      <c r="E820" s="184"/>
      <c r="F820" s="184"/>
      <c r="G820" s="185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</row>
    <row r="821" ht="15.75" hidden="1" customHeight="1">
      <c r="A821" s="184"/>
      <c r="B821" s="184"/>
      <c r="C821" s="184"/>
      <c r="D821" s="184"/>
      <c r="E821" s="184"/>
      <c r="F821" s="184"/>
      <c r="G821" s="185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</row>
    <row r="822" ht="15.75" hidden="1" customHeight="1">
      <c r="A822" s="184"/>
      <c r="B822" s="184"/>
      <c r="C822" s="184"/>
      <c r="D822" s="184"/>
      <c r="E822" s="184"/>
      <c r="F822" s="184"/>
      <c r="G822" s="185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</row>
    <row r="823" ht="15.75" hidden="1" customHeight="1">
      <c r="A823" s="184"/>
      <c r="B823" s="184"/>
      <c r="C823" s="184"/>
      <c r="D823" s="184"/>
      <c r="E823" s="184"/>
      <c r="F823" s="184"/>
      <c r="G823" s="185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</row>
    <row r="824" ht="15.75" hidden="1" customHeight="1">
      <c r="A824" s="184"/>
      <c r="B824" s="184"/>
      <c r="C824" s="184"/>
      <c r="D824" s="184"/>
      <c r="E824" s="184"/>
      <c r="F824" s="184"/>
      <c r="G824" s="185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</row>
    <row r="825" ht="15.75" hidden="1" customHeight="1">
      <c r="A825" s="184"/>
      <c r="B825" s="184"/>
      <c r="C825" s="184"/>
      <c r="D825" s="184"/>
      <c r="E825" s="184"/>
      <c r="F825" s="184"/>
      <c r="G825" s="185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</row>
    <row r="826" ht="15.75" hidden="1" customHeight="1">
      <c r="A826" s="184"/>
      <c r="B826" s="184"/>
      <c r="C826" s="184"/>
      <c r="D826" s="184"/>
      <c r="E826" s="184"/>
      <c r="F826" s="184"/>
      <c r="G826" s="185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</row>
    <row r="827" ht="15.75" hidden="1" customHeight="1">
      <c r="A827" s="184"/>
      <c r="B827" s="184"/>
      <c r="C827" s="184"/>
      <c r="D827" s="184"/>
      <c r="E827" s="184"/>
      <c r="F827" s="184"/>
      <c r="G827" s="185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</row>
    <row r="828" ht="15.75" hidden="1" customHeight="1">
      <c r="A828" s="184"/>
      <c r="B828" s="184"/>
      <c r="C828" s="184"/>
      <c r="D828" s="184"/>
      <c r="E828" s="184"/>
      <c r="F828" s="184"/>
      <c r="G828" s="185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</row>
    <row r="829" ht="15.75" hidden="1" customHeight="1">
      <c r="A829" s="184"/>
      <c r="B829" s="184"/>
      <c r="C829" s="184"/>
      <c r="D829" s="184"/>
      <c r="E829" s="184"/>
      <c r="F829" s="184"/>
      <c r="G829" s="185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</row>
    <row r="830" ht="15.75" hidden="1" customHeight="1">
      <c r="A830" s="184"/>
      <c r="B830" s="184"/>
      <c r="C830" s="184"/>
      <c r="D830" s="184"/>
      <c r="E830" s="184"/>
      <c r="F830" s="184"/>
      <c r="G830" s="185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</row>
    <row r="831" ht="15.75" hidden="1" customHeight="1">
      <c r="A831" s="184"/>
      <c r="B831" s="184"/>
      <c r="C831" s="184"/>
      <c r="D831" s="184"/>
      <c r="E831" s="184"/>
      <c r="F831" s="184"/>
      <c r="G831" s="185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</row>
    <row r="832" ht="15.75" hidden="1" customHeight="1">
      <c r="A832" s="184"/>
      <c r="B832" s="184"/>
      <c r="C832" s="184"/>
      <c r="D832" s="184"/>
      <c r="E832" s="184"/>
      <c r="F832" s="184"/>
      <c r="G832" s="185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</row>
    <row r="833" ht="15.75" hidden="1" customHeight="1">
      <c r="A833" s="184"/>
      <c r="B833" s="184"/>
      <c r="C833" s="184"/>
      <c r="D833" s="184"/>
      <c r="E833" s="184"/>
      <c r="F833" s="184"/>
      <c r="G833" s="185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</row>
    <row r="834" ht="15.75" hidden="1" customHeight="1">
      <c r="A834" s="184"/>
      <c r="B834" s="184"/>
      <c r="C834" s="184"/>
      <c r="D834" s="184"/>
      <c r="E834" s="184"/>
      <c r="F834" s="184"/>
      <c r="G834" s="185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</row>
    <row r="835" ht="15.75" hidden="1" customHeight="1">
      <c r="A835" s="184"/>
      <c r="B835" s="184"/>
      <c r="C835" s="184"/>
      <c r="D835" s="184"/>
      <c r="E835" s="184"/>
      <c r="F835" s="184"/>
      <c r="G835" s="185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</row>
    <row r="836" ht="15.75" hidden="1" customHeight="1">
      <c r="A836" s="184"/>
      <c r="B836" s="184"/>
      <c r="C836" s="184"/>
      <c r="D836" s="184"/>
      <c r="E836" s="184"/>
      <c r="F836" s="184"/>
      <c r="G836" s="185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</row>
    <row r="837" ht="15.75" hidden="1" customHeight="1">
      <c r="A837" s="184"/>
      <c r="B837" s="184"/>
      <c r="C837" s="184"/>
      <c r="D837" s="184"/>
      <c r="E837" s="184"/>
      <c r="F837" s="184"/>
      <c r="G837" s="185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</row>
    <row r="838" ht="15.75" hidden="1" customHeight="1">
      <c r="A838" s="184"/>
      <c r="B838" s="184"/>
      <c r="C838" s="184"/>
      <c r="D838" s="184"/>
      <c r="E838" s="184"/>
      <c r="F838" s="184"/>
      <c r="G838" s="185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</row>
    <row r="839" ht="15.75" hidden="1" customHeight="1">
      <c r="A839" s="184"/>
      <c r="B839" s="184"/>
      <c r="C839" s="184"/>
      <c r="D839" s="184"/>
      <c r="E839" s="184"/>
      <c r="F839" s="184"/>
      <c r="G839" s="185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</row>
    <row r="840" ht="15.75" hidden="1" customHeight="1">
      <c r="A840" s="184"/>
      <c r="B840" s="184"/>
      <c r="C840" s="184"/>
      <c r="D840" s="184"/>
      <c r="E840" s="184"/>
      <c r="F840" s="184"/>
      <c r="G840" s="185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</row>
    <row r="841" ht="15.75" hidden="1" customHeight="1">
      <c r="A841" s="184"/>
      <c r="B841" s="184"/>
      <c r="C841" s="184"/>
      <c r="D841" s="184"/>
      <c r="E841" s="184"/>
      <c r="F841" s="184"/>
      <c r="G841" s="185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</row>
    <row r="842" ht="15.75" hidden="1" customHeight="1">
      <c r="A842" s="184"/>
      <c r="B842" s="184"/>
      <c r="C842" s="184"/>
      <c r="D842" s="184"/>
      <c r="E842" s="184"/>
      <c r="F842" s="184"/>
      <c r="G842" s="185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</row>
    <row r="843" ht="15.75" hidden="1" customHeight="1">
      <c r="A843" s="184"/>
      <c r="B843" s="184"/>
      <c r="C843" s="184"/>
      <c r="D843" s="184"/>
      <c r="E843" s="184"/>
      <c r="F843" s="184"/>
      <c r="G843" s="185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</row>
    <row r="844" ht="15.75" hidden="1" customHeight="1">
      <c r="A844" s="184"/>
      <c r="B844" s="184"/>
      <c r="C844" s="184"/>
      <c r="D844" s="184"/>
      <c r="E844" s="184"/>
      <c r="F844" s="184"/>
      <c r="G844" s="185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</row>
    <row r="845" ht="15.75" hidden="1" customHeight="1">
      <c r="A845" s="184"/>
      <c r="B845" s="184"/>
      <c r="C845" s="184"/>
      <c r="D845" s="184"/>
      <c r="E845" s="184"/>
      <c r="F845" s="184"/>
      <c r="G845" s="185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</row>
    <row r="846" ht="15.75" hidden="1" customHeight="1">
      <c r="A846" s="184"/>
      <c r="B846" s="184"/>
      <c r="C846" s="184"/>
      <c r="D846" s="184"/>
      <c r="E846" s="184"/>
      <c r="F846" s="184"/>
      <c r="G846" s="185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</row>
    <row r="847" ht="15.75" hidden="1" customHeight="1">
      <c r="A847" s="184"/>
      <c r="B847" s="184"/>
      <c r="C847" s="184"/>
      <c r="D847" s="184"/>
      <c r="E847" s="184"/>
      <c r="F847" s="184"/>
      <c r="G847" s="185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</row>
    <row r="848" ht="15.75" hidden="1" customHeight="1">
      <c r="A848" s="184"/>
      <c r="B848" s="184"/>
      <c r="C848" s="184"/>
      <c r="D848" s="184"/>
      <c r="E848" s="184"/>
      <c r="F848" s="184"/>
      <c r="G848" s="185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</row>
    <row r="849" ht="15.75" hidden="1" customHeight="1">
      <c r="A849" s="184"/>
      <c r="B849" s="184"/>
      <c r="C849" s="184"/>
      <c r="D849" s="184"/>
      <c r="E849" s="184"/>
      <c r="F849" s="184"/>
      <c r="G849" s="185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</row>
    <row r="850" ht="15.75" hidden="1" customHeight="1">
      <c r="A850" s="184"/>
      <c r="B850" s="184"/>
      <c r="C850" s="184"/>
      <c r="D850" s="184"/>
      <c r="E850" s="184"/>
      <c r="F850" s="184"/>
      <c r="G850" s="185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</row>
    <row r="851" ht="15.75" hidden="1" customHeight="1">
      <c r="A851" s="184"/>
      <c r="B851" s="184"/>
      <c r="C851" s="184"/>
      <c r="D851" s="184"/>
      <c r="E851" s="184"/>
      <c r="F851" s="184"/>
      <c r="G851" s="185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</row>
    <row r="852" ht="15.75" hidden="1" customHeight="1">
      <c r="A852" s="184"/>
      <c r="B852" s="184"/>
      <c r="C852" s="184"/>
      <c r="D852" s="184"/>
      <c r="E852" s="184"/>
      <c r="F852" s="184"/>
      <c r="G852" s="185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</row>
    <row r="853" ht="15.75" hidden="1" customHeight="1">
      <c r="A853" s="184"/>
      <c r="B853" s="184"/>
      <c r="C853" s="184"/>
      <c r="D853" s="184"/>
      <c r="E853" s="184"/>
      <c r="F853" s="184"/>
      <c r="G853" s="185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</row>
    <row r="854" ht="15.75" hidden="1" customHeight="1">
      <c r="A854" s="184"/>
      <c r="B854" s="184"/>
      <c r="C854" s="184"/>
      <c r="D854" s="184"/>
      <c r="E854" s="184"/>
      <c r="F854" s="184"/>
      <c r="G854" s="185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</row>
    <row r="855" ht="15.75" hidden="1" customHeight="1">
      <c r="A855" s="184"/>
      <c r="B855" s="184"/>
      <c r="C855" s="184"/>
      <c r="D855" s="184"/>
      <c r="E855" s="184"/>
      <c r="F855" s="184"/>
      <c r="G855" s="185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</row>
    <row r="856" ht="15.75" hidden="1" customHeight="1">
      <c r="A856" s="184"/>
      <c r="B856" s="184"/>
      <c r="C856" s="184"/>
      <c r="D856" s="184"/>
      <c r="E856" s="184"/>
      <c r="F856" s="184"/>
      <c r="G856" s="185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</row>
    <row r="857" ht="15.75" hidden="1" customHeight="1">
      <c r="A857" s="184"/>
      <c r="B857" s="184"/>
      <c r="C857" s="184"/>
      <c r="D857" s="184"/>
      <c r="E857" s="184"/>
      <c r="F857" s="184"/>
      <c r="G857" s="185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</row>
    <row r="858" ht="15.75" hidden="1" customHeight="1">
      <c r="A858" s="184"/>
      <c r="B858" s="184"/>
      <c r="C858" s="184"/>
      <c r="D858" s="184"/>
      <c r="E858" s="184"/>
      <c r="F858" s="184"/>
      <c r="G858" s="185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</row>
    <row r="859" ht="15.75" hidden="1" customHeight="1">
      <c r="A859" s="184"/>
      <c r="B859" s="184"/>
      <c r="C859" s="184"/>
      <c r="D859" s="184"/>
      <c r="E859" s="184"/>
      <c r="F859" s="184"/>
      <c r="G859" s="185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</row>
    <row r="860" ht="15.75" hidden="1" customHeight="1">
      <c r="A860" s="184"/>
      <c r="B860" s="184"/>
      <c r="C860" s="184"/>
      <c r="D860" s="184"/>
      <c r="E860" s="184"/>
      <c r="F860" s="184"/>
      <c r="G860" s="185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</row>
    <row r="861" ht="15.75" hidden="1" customHeight="1">
      <c r="A861" s="184"/>
      <c r="B861" s="184"/>
      <c r="C861" s="184"/>
      <c r="D861" s="184"/>
      <c r="E861" s="184"/>
      <c r="F861" s="184"/>
      <c r="G861" s="185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</row>
    <row r="862" ht="15.75" hidden="1" customHeight="1">
      <c r="A862" s="184"/>
      <c r="B862" s="184"/>
      <c r="C862" s="184"/>
      <c r="D862" s="184"/>
      <c r="E862" s="184"/>
      <c r="F862" s="184"/>
      <c r="G862" s="185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</row>
    <row r="863" ht="15.75" hidden="1" customHeight="1">
      <c r="A863" s="184"/>
      <c r="B863" s="184"/>
      <c r="C863" s="184"/>
      <c r="D863" s="184"/>
      <c r="E863" s="184"/>
      <c r="F863" s="184"/>
      <c r="G863" s="185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</row>
    <row r="864" ht="15.75" hidden="1" customHeight="1">
      <c r="A864" s="184"/>
      <c r="B864" s="184"/>
      <c r="C864" s="184"/>
      <c r="D864" s="184"/>
      <c r="E864" s="184"/>
      <c r="F864" s="184"/>
      <c r="G864" s="185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</row>
    <row r="865" ht="15.75" hidden="1" customHeight="1">
      <c r="A865" s="184"/>
      <c r="B865" s="184"/>
      <c r="C865" s="184"/>
      <c r="D865" s="184"/>
      <c r="E865" s="184"/>
      <c r="F865" s="184"/>
      <c r="G865" s="185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</row>
    <row r="866" ht="15.75" hidden="1" customHeight="1">
      <c r="A866" s="184"/>
      <c r="B866" s="184"/>
      <c r="C866" s="184"/>
      <c r="D866" s="184"/>
      <c r="E866" s="184"/>
      <c r="F866" s="184"/>
      <c r="G866" s="185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</row>
    <row r="867" ht="15.75" hidden="1" customHeight="1">
      <c r="A867" s="184"/>
      <c r="B867" s="184"/>
      <c r="C867" s="184"/>
      <c r="D867" s="184"/>
      <c r="E867" s="184"/>
      <c r="F867" s="184"/>
      <c r="G867" s="185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</row>
    <row r="868" ht="15.75" hidden="1" customHeight="1">
      <c r="A868" s="184"/>
      <c r="B868" s="184"/>
      <c r="C868" s="184"/>
      <c r="D868" s="184"/>
      <c r="E868" s="184"/>
      <c r="F868" s="184"/>
      <c r="G868" s="185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</row>
    <row r="869" ht="15.75" hidden="1" customHeight="1">
      <c r="A869" s="184"/>
      <c r="B869" s="184"/>
      <c r="C869" s="184"/>
      <c r="D869" s="184"/>
      <c r="E869" s="184"/>
      <c r="F869" s="184"/>
      <c r="G869" s="185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</row>
    <row r="870" ht="15.75" hidden="1" customHeight="1">
      <c r="A870" s="184"/>
      <c r="B870" s="184"/>
      <c r="C870" s="184"/>
      <c r="D870" s="184"/>
      <c r="E870" s="184"/>
      <c r="F870" s="184"/>
      <c r="G870" s="185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</row>
    <row r="871" ht="15.75" hidden="1" customHeight="1">
      <c r="A871" s="184"/>
      <c r="B871" s="184"/>
      <c r="C871" s="184"/>
      <c r="D871" s="184"/>
      <c r="E871" s="184"/>
      <c r="F871" s="184"/>
      <c r="G871" s="185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</row>
    <row r="872" ht="15.75" hidden="1" customHeight="1">
      <c r="A872" s="184"/>
      <c r="B872" s="184"/>
      <c r="C872" s="184"/>
      <c r="D872" s="184"/>
      <c r="E872" s="184"/>
      <c r="F872" s="184"/>
      <c r="G872" s="185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</row>
    <row r="873" ht="15.75" hidden="1" customHeight="1">
      <c r="A873" s="184"/>
      <c r="B873" s="184"/>
      <c r="C873" s="184"/>
      <c r="D873" s="184"/>
      <c r="E873" s="184"/>
      <c r="F873" s="184"/>
      <c r="G873" s="185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</row>
    <row r="874" ht="15.75" hidden="1" customHeight="1">
      <c r="A874" s="184"/>
      <c r="B874" s="184"/>
      <c r="C874" s="184"/>
      <c r="D874" s="184"/>
      <c r="E874" s="184"/>
      <c r="F874" s="184"/>
      <c r="G874" s="185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</row>
    <row r="875" ht="15.75" hidden="1" customHeight="1">
      <c r="A875" s="184"/>
      <c r="B875" s="184"/>
      <c r="C875" s="184"/>
      <c r="D875" s="184"/>
      <c r="E875" s="184"/>
      <c r="F875" s="184"/>
      <c r="G875" s="185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</row>
    <row r="876" ht="15.75" hidden="1" customHeight="1">
      <c r="A876" s="184"/>
      <c r="B876" s="184"/>
      <c r="C876" s="184"/>
      <c r="D876" s="184"/>
      <c r="E876" s="184"/>
      <c r="F876" s="184"/>
      <c r="G876" s="185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</row>
    <row r="877" ht="15.75" hidden="1" customHeight="1">
      <c r="A877" s="184"/>
      <c r="B877" s="184"/>
      <c r="C877" s="184"/>
      <c r="D877" s="184"/>
      <c r="E877" s="184"/>
      <c r="F877" s="184"/>
      <c r="G877" s="185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</row>
    <row r="878" ht="15.75" hidden="1" customHeight="1">
      <c r="A878" s="184"/>
      <c r="B878" s="184"/>
      <c r="C878" s="184"/>
      <c r="D878" s="184"/>
      <c r="E878" s="184"/>
      <c r="F878" s="184"/>
      <c r="G878" s="185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</row>
    <row r="879" ht="15.75" hidden="1" customHeight="1">
      <c r="A879" s="184"/>
      <c r="B879" s="184"/>
      <c r="C879" s="184"/>
      <c r="D879" s="184"/>
      <c r="E879" s="184"/>
      <c r="F879" s="184"/>
      <c r="G879" s="185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</row>
    <row r="880" ht="15.75" hidden="1" customHeight="1">
      <c r="A880" s="184"/>
      <c r="B880" s="184"/>
      <c r="C880" s="184"/>
      <c r="D880" s="184"/>
      <c r="E880" s="184"/>
      <c r="F880" s="184"/>
      <c r="G880" s="185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</row>
    <row r="881" ht="15.75" hidden="1" customHeight="1">
      <c r="A881" s="184"/>
      <c r="B881" s="184"/>
      <c r="C881" s="184"/>
      <c r="D881" s="184"/>
      <c r="E881" s="184"/>
      <c r="F881" s="184"/>
      <c r="G881" s="185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</row>
    <row r="882" ht="15.75" hidden="1" customHeight="1">
      <c r="A882" s="184"/>
      <c r="B882" s="184"/>
      <c r="C882" s="184"/>
      <c r="D882" s="184"/>
      <c r="E882" s="184"/>
      <c r="F882" s="184"/>
      <c r="G882" s="185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</row>
    <row r="883" ht="15.75" hidden="1" customHeight="1">
      <c r="A883" s="184"/>
      <c r="B883" s="184"/>
      <c r="C883" s="184"/>
      <c r="D883" s="184"/>
      <c r="E883" s="184"/>
      <c r="F883" s="184"/>
      <c r="G883" s="185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</row>
    <row r="884" ht="15.75" hidden="1" customHeight="1">
      <c r="A884" s="184"/>
      <c r="B884" s="184"/>
      <c r="C884" s="184"/>
      <c r="D884" s="184"/>
      <c r="E884" s="184"/>
      <c r="F884" s="184"/>
      <c r="G884" s="185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</row>
    <row r="885" ht="15.75" hidden="1" customHeight="1">
      <c r="A885" s="184"/>
      <c r="B885" s="184"/>
      <c r="C885" s="184"/>
      <c r="D885" s="184"/>
      <c r="E885" s="184"/>
      <c r="F885" s="184"/>
      <c r="G885" s="185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</row>
    <row r="886" ht="15.75" hidden="1" customHeight="1">
      <c r="A886" s="184"/>
      <c r="B886" s="184"/>
      <c r="C886" s="184"/>
      <c r="D886" s="184"/>
      <c r="E886" s="184"/>
      <c r="F886" s="184"/>
      <c r="G886" s="185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</row>
    <row r="887" ht="15.75" hidden="1" customHeight="1">
      <c r="A887" s="184"/>
      <c r="B887" s="184"/>
      <c r="C887" s="184"/>
      <c r="D887" s="184"/>
      <c r="E887" s="184"/>
      <c r="F887" s="184"/>
      <c r="G887" s="185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</row>
    <row r="888" ht="15.75" hidden="1" customHeight="1">
      <c r="A888" s="184"/>
      <c r="B888" s="184"/>
      <c r="C888" s="184"/>
      <c r="D888" s="184"/>
      <c r="E888" s="184"/>
      <c r="F888" s="184"/>
      <c r="G888" s="185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</row>
    <row r="889" ht="15.75" hidden="1" customHeight="1">
      <c r="A889" s="184"/>
      <c r="B889" s="184"/>
      <c r="C889" s="184"/>
      <c r="D889" s="184"/>
      <c r="E889" s="184"/>
      <c r="F889" s="184"/>
      <c r="G889" s="185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</row>
    <row r="890" ht="15.75" hidden="1" customHeight="1">
      <c r="A890" s="184"/>
      <c r="B890" s="184"/>
      <c r="C890" s="184"/>
      <c r="D890" s="184"/>
      <c r="E890" s="184"/>
      <c r="F890" s="184"/>
      <c r="G890" s="185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</row>
    <row r="891" ht="15.75" hidden="1" customHeight="1">
      <c r="A891" s="184"/>
      <c r="B891" s="184"/>
      <c r="C891" s="184"/>
      <c r="D891" s="184"/>
      <c r="E891" s="184"/>
      <c r="F891" s="184"/>
      <c r="G891" s="185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</row>
    <row r="892" ht="15.75" hidden="1" customHeight="1">
      <c r="A892" s="184"/>
      <c r="B892" s="184"/>
      <c r="C892" s="184"/>
      <c r="D892" s="184"/>
      <c r="E892" s="184"/>
      <c r="F892" s="184"/>
      <c r="G892" s="185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</row>
    <row r="893" ht="15.75" hidden="1" customHeight="1">
      <c r="A893" s="184"/>
      <c r="B893" s="184"/>
      <c r="C893" s="184"/>
      <c r="D893" s="184"/>
      <c r="E893" s="184"/>
      <c r="F893" s="184"/>
      <c r="G893" s="185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</row>
    <row r="894" ht="15.75" hidden="1" customHeight="1">
      <c r="A894" s="184"/>
      <c r="B894" s="184"/>
      <c r="C894" s="184"/>
      <c r="D894" s="184"/>
      <c r="E894" s="184"/>
      <c r="F894" s="184"/>
      <c r="G894" s="185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</row>
    <row r="895" ht="15.75" hidden="1" customHeight="1">
      <c r="A895" s="184"/>
      <c r="B895" s="184"/>
      <c r="C895" s="184"/>
      <c r="D895" s="184"/>
      <c r="E895" s="184"/>
      <c r="F895" s="184"/>
      <c r="G895" s="185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</row>
    <row r="896" ht="15.75" hidden="1" customHeight="1">
      <c r="A896" s="184"/>
      <c r="B896" s="184"/>
      <c r="C896" s="184"/>
      <c r="D896" s="184"/>
      <c r="E896" s="184"/>
      <c r="F896" s="184"/>
      <c r="G896" s="185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</row>
    <row r="897" ht="15.75" hidden="1" customHeight="1">
      <c r="A897" s="184"/>
      <c r="B897" s="184"/>
      <c r="C897" s="184"/>
      <c r="D897" s="184"/>
      <c r="E897" s="184"/>
      <c r="F897" s="184"/>
      <c r="G897" s="185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</row>
    <row r="898" ht="15.75" hidden="1" customHeight="1">
      <c r="A898" s="184"/>
      <c r="B898" s="184"/>
      <c r="C898" s="184"/>
      <c r="D898" s="184"/>
      <c r="E898" s="184"/>
      <c r="F898" s="184"/>
      <c r="G898" s="185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</row>
    <row r="899" ht="15.75" hidden="1" customHeight="1">
      <c r="A899" s="184"/>
      <c r="B899" s="184"/>
      <c r="C899" s="184"/>
      <c r="D899" s="184"/>
      <c r="E899" s="184"/>
      <c r="F899" s="184"/>
      <c r="G899" s="185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</row>
    <row r="900" ht="15.75" hidden="1" customHeight="1">
      <c r="A900" s="184"/>
      <c r="B900" s="184"/>
      <c r="C900" s="184"/>
      <c r="D900" s="184"/>
      <c r="E900" s="184"/>
      <c r="F900" s="184"/>
      <c r="G900" s="185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</row>
    <row r="901" ht="15.75" hidden="1" customHeight="1">
      <c r="A901" s="184"/>
      <c r="B901" s="184"/>
      <c r="C901" s="184"/>
      <c r="D901" s="184"/>
      <c r="E901" s="184"/>
      <c r="F901" s="184"/>
      <c r="G901" s="185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</row>
    <row r="902" ht="15.75" hidden="1" customHeight="1">
      <c r="A902" s="184"/>
      <c r="B902" s="184"/>
      <c r="C902" s="184"/>
      <c r="D902" s="184"/>
      <c r="E902" s="184"/>
      <c r="F902" s="184"/>
      <c r="G902" s="185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</row>
    <row r="903" ht="15.75" hidden="1" customHeight="1">
      <c r="A903" s="184"/>
      <c r="B903" s="184"/>
      <c r="C903" s="184"/>
      <c r="D903" s="184"/>
      <c r="E903" s="184"/>
      <c r="F903" s="184"/>
      <c r="G903" s="185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</row>
    <row r="904" ht="15.75" hidden="1" customHeight="1">
      <c r="A904" s="184"/>
      <c r="B904" s="184"/>
      <c r="C904" s="184"/>
      <c r="D904" s="184"/>
      <c r="E904" s="184"/>
      <c r="F904" s="184"/>
      <c r="G904" s="185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</row>
    <row r="905" ht="15.75" hidden="1" customHeight="1">
      <c r="A905" s="184"/>
      <c r="B905" s="184"/>
      <c r="C905" s="184"/>
      <c r="D905" s="184"/>
      <c r="E905" s="184"/>
      <c r="F905" s="184"/>
      <c r="G905" s="185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</row>
    <row r="906" ht="15.75" hidden="1" customHeight="1">
      <c r="A906" s="184"/>
      <c r="B906" s="184"/>
      <c r="C906" s="184"/>
      <c r="D906" s="184"/>
      <c r="E906" s="184"/>
      <c r="F906" s="184"/>
      <c r="G906" s="185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</row>
    <row r="907" ht="15.75" hidden="1" customHeight="1">
      <c r="A907" s="184"/>
      <c r="B907" s="184"/>
      <c r="C907" s="184"/>
      <c r="D907" s="184"/>
      <c r="E907" s="184"/>
      <c r="F907" s="184"/>
      <c r="G907" s="185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</row>
    <row r="908" ht="15.75" hidden="1" customHeight="1">
      <c r="A908" s="184"/>
      <c r="B908" s="184"/>
      <c r="C908" s="184"/>
      <c r="D908" s="184"/>
      <c r="E908" s="184"/>
      <c r="F908" s="184"/>
      <c r="G908" s="185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</row>
    <row r="909" ht="15.75" hidden="1" customHeight="1">
      <c r="A909" s="184"/>
      <c r="B909" s="184"/>
      <c r="C909" s="184"/>
      <c r="D909" s="184"/>
      <c r="E909" s="184"/>
      <c r="F909" s="184"/>
      <c r="G909" s="185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</row>
    <row r="910" ht="15.75" hidden="1" customHeight="1">
      <c r="A910" s="184"/>
      <c r="B910" s="184"/>
      <c r="C910" s="184"/>
      <c r="D910" s="184"/>
      <c r="E910" s="184"/>
      <c r="F910" s="184"/>
      <c r="G910" s="185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</row>
    <row r="911" ht="15.75" hidden="1" customHeight="1">
      <c r="A911" s="184"/>
      <c r="B911" s="184"/>
      <c r="C911" s="184"/>
      <c r="D911" s="184"/>
      <c r="E911" s="184"/>
      <c r="F911" s="184"/>
      <c r="G911" s="185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</row>
    <row r="912" ht="15.75" hidden="1" customHeight="1">
      <c r="A912" s="184"/>
      <c r="B912" s="184"/>
      <c r="C912" s="184"/>
      <c r="D912" s="184"/>
      <c r="E912" s="184"/>
      <c r="F912" s="184"/>
      <c r="G912" s="185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</row>
    <row r="913" ht="15.75" hidden="1" customHeight="1">
      <c r="A913" s="184"/>
      <c r="B913" s="184"/>
      <c r="C913" s="184"/>
      <c r="D913" s="184"/>
      <c r="E913" s="184"/>
      <c r="F913" s="184"/>
      <c r="G913" s="185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</row>
    <row r="914" ht="15.75" hidden="1" customHeight="1">
      <c r="A914" s="184"/>
      <c r="B914" s="184"/>
      <c r="C914" s="184"/>
      <c r="D914" s="184"/>
      <c r="E914" s="184"/>
      <c r="F914" s="184"/>
      <c r="G914" s="185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</row>
    <row r="915" ht="15.75" hidden="1" customHeight="1">
      <c r="A915" s="184"/>
      <c r="B915" s="184"/>
      <c r="C915" s="184"/>
      <c r="D915" s="184"/>
      <c r="E915" s="184"/>
      <c r="F915" s="184"/>
      <c r="G915" s="185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</row>
    <row r="916" ht="15.75" hidden="1" customHeight="1">
      <c r="A916" s="184"/>
      <c r="B916" s="184"/>
      <c r="C916" s="184"/>
      <c r="D916" s="184"/>
      <c r="E916" s="184"/>
      <c r="F916" s="184"/>
      <c r="G916" s="185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</row>
    <row r="917" ht="15.75" hidden="1" customHeight="1">
      <c r="A917" s="184"/>
      <c r="B917" s="184"/>
      <c r="C917" s="184"/>
      <c r="D917" s="184"/>
      <c r="E917" s="184"/>
      <c r="F917" s="184"/>
      <c r="G917" s="185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</row>
    <row r="918" ht="15.75" hidden="1" customHeight="1">
      <c r="A918" s="184"/>
      <c r="B918" s="184"/>
      <c r="C918" s="184"/>
      <c r="D918" s="184"/>
      <c r="E918" s="184"/>
      <c r="F918" s="184"/>
      <c r="G918" s="185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</row>
    <row r="919" ht="15.75" hidden="1" customHeight="1">
      <c r="A919" s="184"/>
      <c r="B919" s="184"/>
      <c r="C919" s="184"/>
      <c r="D919" s="184"/>
      <c r="E919" s="184"/>
      <c r="F919" s="184"/>
      <c r="G919" s="185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</row>
    <row r="920" ht="15.75" hidden="1" customHeight="1">
      <c r="A920" s="184"/>
      <c r="B920" s="184"/>
      <c r="C920" s="184"/>
      <c r="D920" s="184"/>
      <c r="E920" s="184"/>
      <c r="F920" s="184"/>
      <c r="G920" s="185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</row>
    <row r="921" ht="15.75" hidden="1" customHeight="1">
      <c r="A921" s="184"/>
      <c r="B921" s="184"/>
      <c r="C921" s="184"/>
      <c r="D921" s="184"/>
      <c r="E921" s="184"/>
      <c r="F921" s="184"/>
      <c r="G921" s="185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</row>
    <row r="922" ht="15.75" hidden="1" customHeight="1">
      <c r="A922" s="184"/>
      <c r="B922" s="184"/>
      <c r="C922" s="184"/>
      <c r="D922" s="184"/>
      <c r="E922" s="184"/>
      <c r="F922" s="184"/>
      <c r="G922" s="185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</row>
    <row r="923" ht="15.75" hidden="1" customHeight="1">
      <c r="A923" s="184"/>
      <c r="B923" s="184"/>
      <c r="C923" s="184"/>
      <c r="D923" s="184"/>
      <c r="E923" s="184"/>
      <c r="F923" s="184"/>
      <c r="G923" s="185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</row>
    <row r="924" ht="15.75" hidden="1" customHeight="1">
      <c r="A924" s="184"/>
      <c r="B924" s="184"/>
      <c r="C924" s="184"/>
      <c r="D924" s="184"/>
      <c r="E924" s="184"/>
      <c r="F924" s="184"/>
      <c r="G924" s="185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</row>
    <row r="925" ht="15.75" hidden="1" customHeight="1">
      <c r="A925" s="184"/>
      <c r="B925" s="184"/>
      <c r="C925" s="184"/>
      <c r="D925" s="184"/>
      <c r="E925" s="184"/>
      <c r="F925" s="184"/>
      <c r="G925" s="185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</row>
    <row r="926" ht="15.75" hidden="1" customHeight="1">
      <c r="A926" s="184"/>
      <c r="B926" s="184"/>
      <c r="C926" s="184"/>
      <c r="D926" s="184"/>
      <c r="E926" s="184"/>
      <c r="F926" s="184"/>
      <c r="G926" s="185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</row>
    <row r="927" ht="15.75" hidden="1" customHeight="1">
      <c r="A927" s="184"/>
      <c r="B927" s="184"/>
      <c r="C927" s="184"/>
      <c r="D927" s="184"/>
      <c r="E927" s="184"/>
      <c r="F927" s="184"/>
      <c r="G927" s="185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</row>
    <row r="928" ht="15.75" hidden="1" customHeight="1">
      <c r="A928" s="184"/>
      <c r="B928" s="184"/>
      <c r="C928" s="184"/>
      <c r="D928" s="184"/>
      <c r="E928" s="184"/>
      <c r="F928" s="184"/>
      <c r="G928" s="185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</row>
    <row r="929" ht="15.75" hidden="1" customHeight="1">
      <c r="A929" s="184"/>
      <c r="B929" s="184"/>
      <c r="C929" s="184"/>
      <c r="D929" s="184"/>
      <c r="E929" s="184"/>
      <c r="F929" s="184"/>
      <c r="G929" s="185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</row>
    <row r="930" ht="15.75" hidden="1" customHeight="1">
      <c r="A930" s="184"/>
      <c r="B930" s="184"/>
      <c r="C930" s="184"/>
      <c r="D930" s="184"/>
      <c r="E930" s="184"/>
      <c r="F930" s="184"/>
      <c r="G930" s="185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</row>
    <row r="931" ht="15.75" hidden="1" customHeight="1">
      <c r="A931" s="184"/>
      <c r="B931" s="184"/>
      <c r="C931" s="184"/>
      <c r="D931" s="184"/>
      <c r="E931" s="184"/>
      <c r="F931" s="184"/>
      <c r="G931" s="185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</row>
    <row r="932" ht="15.75" hidden="1" customHeight="1">
      <c r="A932" s="184"/>
      <c r="B932" s="184"/>
      <c r="C932" s="184"/>
      <c r="D932" s="184"/>
      <c r="E932" s="184"/>
      <c r="F932" s="184"/>
      <c r="G932" s="185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</row>
    <row r="933" ht="15.75" hidden="1" customHeight="1">
      <c r="A933" s="184"/>
      <c r="B933" s="184"/>
      <c r="C933" s="184"/>
      <c r="D933" s="184"/>
      <c r="E933" s="184"/>
      <c r="F933" s="184"/>
      <c r="G933" s="185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</row>
    <row r="934" ht="15.75" hidden="1" customHeight="1">
      <c r="A934" s="184"/>
      <c r="B934" s="184"/>
      <c r="C934" s="184"/>
      <c r="D934" s="184"/>
      <c r="E934" s="184"/>
      <c r="F934" s="184"/>
      <c r="G934" s="185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</row>
    <row r="935" ht="15.75" hidden="1" customHeight="1">
      <c r="A935" s="184"/>
      <c r="B935" s="184"/>
      <c r="C935" s="184"/>
      <c r="D935" s="184"/>
      <c r="E935" s="184"/>
      <c r="F935" s="184"/>
      <c r="G935" s="185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</row>
    <row r="936" ht="15.75" hidden="1" customHeight="1">
      <c r="A936" s="184"/>
      <c r="B936" s="184"/>
      <c r="C936" s="184"/>
      <c r="D936" s="184"/>
      <c r="E936" s="184"/>
      <c r="F936" s="184"/>
      <c r="G936" s="185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</row>
    <row r="937" ht="15.75" hidden="1" customHeight="1">
      <c r="A937" s="184"/>
      <c r="B937" s="184"/>
      <c r="C937" s="184"/>
      <c r="D937" s="184"/>
      <c r="E937" s="184"/>
      <c r="F937" s="184"/>
      <c r="G937" s="185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</row>
    <row r="938" ht="15.75" hidden="1" customHeight="1">
      <c r="A938" s="184"/>
      <c r="B938" s="184"/>
      <c r="C938" s="184"/>
      <c r="D938" s="184"/>
      <c r="E938" s="184"/>
      <c r="F938" s="184"/>
      <c r="G938" s="185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</row>
    <row r="939" ht="15.75" hidden="1" customHeight="1">
      <c r="A939" s="184"/>
      <c r="B939" s="184"/>
      <c r="C939" s="184"/>
      <c r="D939" s="184"/>
      <c r="E939" s="184"/>
      <c r="F939" s="184"/>
      <c r="G939" s="185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</row>
    <row r="940" ht="15.75" hidden="1" customHeight="1">
      <c r="A940" s="184"/>
      <c r="B940" s="184"/>
      <c r="C940" s="184"/>
      <c r="D940" s="184"/>
      <c r="E940" s="184"/>
      <c r="F940" s="184"/>
      <c r="G940" s="185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</row>
    <row r="941" ht="15.75" hidden="1" customHeight="1">
      <c r="A941" s="184"/>
      <c r="B941" s="184"/>
      <c r="C941" s="184"/>
      <c r="D941" s="184"/>
      <c r="E941" s="184"/>
      <c r="F941" s="184"/>
      <c r="G941" s="185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</row>
    <row r="942" ht="15.75" hidden="1" customHeight="1">
      <c r="A942" s="184"/>
      <c r="B942" s="184"/>
      <c r="C942" s="184"/>
      <c r="D942" s="184"/>
      <c r="E942" s="184"/>
      <c r="F942" s="184"/>
      <c r="G942" s="185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</row>
    <row r="943" ht="15.75" hidden="1" customHeight="1">
      <c r="A943" s="184"/>
      <c r="B943" s="184"/>
      <c r="C943" s="184"/>
      <c r="D943" s="184"/>
      <c r="E943" s="184"/>
      <c r="F943" s="184"/>
      <c r="G943" s="185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</row>
    <row r="944" ht="15.75" hidden="1" customHeight="1">
      <c r="A944" s="184"/>
      <c r="B944" s="184"/>
      <c r="C944" s="184"/>
      <c r="D944" s="184"/>
      <c r="E944" s="184"/>
      <c r="F944" s="184"/>
      <c r="G944" s="185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</row>
    <row r="945" ht="15.75" hidden="1" customHeight="1">
      <c r="A945" s="184"/>
      <c r="B945" s="184"/>
      <c r="C945" s="184"/>
      <c r="D945" s="184"/>
      <c r="E945" s="184"/>
      <c r="F945" s="184"/>
      <c r="G945" s="185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</row>
    <row r="946" ht="15.75" hidden="1" customHeight="1">
      <c r="A946" s="184"/>
      <c r="B946" s="184"/>
      <c r="C946" s="184"/>
      <c r="D946" s="184"/>
      <c r="E946" s="184"/>
      <c r="F946" s="184"/>
      <c r="G946" s="185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</row>
    <row r="947" ht="15.75" hidden="1" customHeight="1">
      <c r="A947" s="184"/>
      <c r="B947" s="184"/>
      <c r="C947" s="184"/>
      <c r="D947" s="184"/>
      <c r="E947" s="184"/>
      <c r="F947" s="184"/>
      <c r="G947" s="185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</row>
    <row r="948" ht="15.75" hidden="1" customHeight="1">
      <c r="A948" s="184"/>
      <c r="B948" s="184"/>
      <c r="C948" s="184"/>
      <c r="D948" s="184"/>
      <c r="E948" s="184"/>
      <c r="F948" s="184"/>
      <c r="G948" s="185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</row>
    <row r="949" ht="15.75" hidden="1" customHeight="1">
      <c r="A949" s="184"/>
      <c r="B949" s="184"/>
      <c r="C949" s="184"/>
      <c r="D949" s="184"/>
      <c r="E949" s="184"/>
      <c r="F949" s="184"/>
      <c r="G949" s="185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</row>
    <row r="950" ht="15.75" hidden="1" customHeight="1">
      <c r="A950" s="184"/>
      <c r="B950" s="184"/>
      <c r="C950" s="184"/>
      <c r="D950" s="184"/>
      <c r="E950" s="184"/>
      <c r="F950" s="184"/>
      <c r="G950" s="185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</row>
    <row r="951" ht="15.75" hidden="1" customHeight="1">
      <c r="A951" s="184"/>
      <c r="B951" s="184"/>
      <c r="C951" s="184"/>
      <c r="D951" s="184"/>
      <c r="E951" s="184"/>
      <c r="F951" s="184"/>
      <c r="G951" s="185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</row>
    <row r="952" ht="15.75" hidden="1" customHeight="1">
      <c r="A952" s="184"/>
      <c r="B952" s="184"/>
      <c r="C952" s="184"/>
      <c r="D952" s="184"/>
      <c r="E952" s="184"/>
      <c r="F952" s="184"/>
      <c r="G952" s="185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</row>
    <row r="953" ht="15.75" hidden="1" customHeight="1">
      <c r="A953" s="184"/>
      <c r="B953" s="184"/>
      <c r="C953" s="184"/>
      <c r="D953" s="184"/>
      <c r="E953" s="184"/>
      <c r="F953" s="184"/>
      <c r="G953" s="185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</row>
    <row r="954" ht="15.75" hidden="1" customHeight="1">
      <c r="A954" s="184"/>
      <c r="B954" s="184"/>
      <c r="C954" s="184"/>
      <c r="D954" s="184"/>
      <c r="E954" s="184"/>
      <c r="F954" s="184"/>
      <c r="G954" s="185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</row>
    <row r="955" ht="15.75" hidden="1" customHeight="1">
      <c r="A955" s="184"/>
      <c r="B955" s="184"/>
      <c r="C955" s="184"/>
      <c r="D955" s="184"/>
      <c r="E955" s="184"/>
      <c r="F955" s="184"/>
      <c r="G955" s="185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</row>
    <row r="956" ht="15.75" hidden="1" customHeight="1">
      <c r="A956" s="184"/>
      <c r="B956" s="184"/>
      <c r="C956" s="184"/>
      <c r="D956" s="184"/>
      <c r="E956" s="184"/>
      <c r="F956" s="184"/>
      <c r="G956" s="185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</row>
    <row r="957" ht="15.75" hidden="1" customHeight="1">
      <c r="A957" s="184"/>
      <c r="B957" s="184"/>
      <c r="C957" s="184"/>
      <c r="D957" s="184"/>
      <c r="E957" s="184"/>
      <c r="F957" s="184"/>
      <c r="G957" s="185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</row>
    <row r="958" ht="15.75" hidden="1" customHeight="1">
      <c r="A958" s="184"/>
      <c r="B958" s="184"/>
      <c r="C958" s="184"/>
      <c r="D958" s="184"/>
      <c r="E958" s="184"/>
      <c r="F958" s="184"/>
      <c r="G958" s="185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</row>
    <row r="959" ht="15.75" hidden="1" customHeight="1">
      <c r="A959" s="184"/>
      <c r="B959" s="184"/>
      <c r="C959" s="184"/>
      <c r="D959" s="184"/>
      <c r="E959" s="184"/>
      <c r="F959" s="184"/>
      <c r="G959" s="185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</row>
    <row r="960" ht="15.75" hidden="1" customHeight="1">
      <c r="A960" s="184"/>
      <c r="B960" s="184"/>
      <c r="C960" s="184"/>
      <c r="D960" s="184"/>
      <c r="E960" s="184"/>
      <c r="F960" s="184"/>
      <c r="G960" s="185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</row>
    <row r="961" ht="15.75" hidden="1" customHeight="1">
      <c r="A961" s="184"/>
      <c r="B961" s="184"/>
      <c r="C961" s="184"/>
      <c r="D961" s="184"/>
      <c r="E961" s="184"/>
      <c r="F961" s="184"/>
      <c r="G961" s="185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</row>
    <row r="962" ht="15.75" hidden="1" customHeight="1">
      <c r="A962" s="184"/>
      <c r="B962" s="184"/>
      <c r="C962" s="184"/>
      <c r="D962" s="184"/>
      <c r="E962" s="184"/>
      <c r="F962" s="184"/>
      <c r="G962" s="185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</row>
    <row r="963" ht="15.75" hidden="1" customHeight="1">
      <c r="A963" s="184"/>
      <c r="B963" s="184"/>
      <c r="C963" s="184"/>
      <c r="D963" s="184"/>
      <c r="E963" s="184"/>
      <c r="F963" s="184"/>
      <c r="G963" s="185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</row>
    <row r="964" ht="15.75" hidden="1" customHeight="1">
      <c r="A964" s="184"/>
      <c r="B964" s="184"/>
      <c r="C964" s="184"/>
      <c r="D964" s="184"/>
      <c r="E964" s="184"/>
      <c r="F964" s="184"/>
      <c r="G964" s="185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</row>
    <row r="965" ht="15.75" hidden="1" customHeight="1">
      <c r="A965" s="184"/>
      <c r="B965" s="184"/>
      <c r="C965" s="184"/>
      <c r="D965" s="184"/>
      <c r="E965" s="184"/>
      <c r="F965" s="184"/>
      <c r="G965" s="185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</row>
    <row r="966" ht="15.75" hidden="1" customHeight="1">
      <c r="A966" s="184"/>
      <c r="B966" s="184"/>
      <c r="C966" s="184"/>
      <c r="D966" s="184"/>
      <c r="E966" s="184"/>
      <c r="F966" s="184"/>
      <c r="G966" s="185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</row>
    <row r="967" ht="15.75" hidden="1" customHeight="1">
      <c r="A967" s="184"/>
      <c r="B967" s="184"/>
      <c r="C967" s="184"/>
      <c r="D967" s="184"/>
      <c r="E967" s="184"/>
      <c r="F967" s="184"/>
      <c r="G967" s="185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</row>
    <row r="968" ht="15.75" hidden="1" customHeight="1">
      <c r="A968" s="184"/>
      <c r="B968" s="184"/>
      <c r="C968" s="184"/>
      <c r="D968" s="184"/>
      <c r="E968" s="184"/>
      <c r="F968" s="184"/>
      <c r="G968" s="185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</row>
    <row r="969" ht="15.75" hidden="1" customHeight="1">
      <c r="A969" s="184"/>
      <c r="B969" s="184"/>
      <c r="C969" s="184"/>
      <c r="D969" s="184"/>
      <c r="E969" s="184"/>
      <c r="F969" s="184"/>
      <c r="G969" s="185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</row>
    <row r="970" ht="15.75" hidden="1" customHeight="1">
      <c r="A970" s="184"/>
      <c r="B970" s="184"/>
      <c r="C970" s="184"/>
      <c r="D970" s="184"/>
      <c r="E970" s="184"/>
      <c r="F970" s="184"/>
      <c r="G970" s="185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</row>
    <row r="971" ht="15.75" hidden="1" customHeight="1">
      <c r="A971" s="184"/>
      <c r="B971" s="184"/>
      <c r="C971" s="184"/>
      <c r="D971" s="184"/>
      <c r="E971" s="184"/>
      <c r="F971" s="184"/>
      <c r="G971" s="185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</row>
    <row r="972" ht="15.75" hidden="1" customHeight="1">
      <c r="A972" s="184"/>
      <c r="B972" s="184"/>
      <c r="C972" s="184"/>
      <c r="D972" s="184"/>
      <c r="E972" s="184"/>
      <c r="F972" s="184"/>
      <c r="G972" s="185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</row>
    <row r="973" ht="15.75" hidden="1" customHeight="1">
      <c r="A973" s="184"/>
      <c r="B973" s="184"/>
      <c r="C973" s="184"/>
      <c r="D973" s="184"/>
      <c r="E973" s="184"/>
      <c r="F973" s="184"/>
      <c r="G973" s="185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</row>
    <row r="974" ht="15.75" hidden="1" customHeight="1">
      <c r="A974" s="184"/>
      <c r="B974" s="184"/>
      <c r="C974" s="184"/>
      <c r="D974" s="184"/>
      <c r="E974" s="184"/>
      <c r="F974" s="184"/>
      <c r="G974" s="185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</row>
    <row r="975" ht="15.75" hidden="1" customHeight="1">
      <c r="A975" s="184"/>
      <c r="B975" s="184"/>
      <c r="C975" s="184"/>
      <c r="D975" s="184"/>
      <c r="E975" s="184"/>
      <c r="F975" s="184"/>
      <c r="G975" s="185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</row>
    <row r="976" ht="15.75" hidden="1" customHeight="1">
      <c r="A976" s="184"/>
      <c r="B976" s="184"/>
      <c r="C976" s="184"/>
      <c r="D976" s="184"/>
      <c r="E976" s="184"/>
      <c r="F976" s="184"/>
      <c r="G976" s="185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</row>
    <row r="977" ht="15.75" hidden="1" customHeight="1">
      <c r="A977" s="184"/>
      <c r="B977" s="184"/>
      <c r="C977" s="184"/>
      <c r="D977" s="184"/>
      <c r="E977" s="184"/>
      <c r="F977" s="184"/>
      <c r="G977" s="185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</row>
    <row r="978" ht="15.75" hidden="1" customHeight="1">
      <c r="A978" s="184"/>
      <c r="B978" s="184"/>
      <c r="C978" s="184"/>
      <c r="D978" s="184"/>
      <c r="E978" s="184"/>
      <c r="F978" s="184"/>
      <c r="G978" s="185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</row>
    <row r="979" ht="15.75" hidden="1" customHeight="1">
      <c r="A979" s="184"/>
      <c r="B979" s="184"/>
      <c r="C979" s="184"/>
      <c r="D979" s="184"/>
      <c r="E979" s="184"/>
      <c r="F979" s="184"/>
      <c r="G979" s="185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</row>
    <row r="980" ht="15.75" hidden="1" customHeight="1">
      <c r="A980" s="184"/>
      <c r="B980" s="184"/>
      <c r="C980" s="184"/>
      <c r="D980" s="184"/>
      <c r="E980" s="184"/>
      <c r="F980" s="184"/>
      <c r="G980" s="185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</row>
    <row r="981" ht="15.75" hidden="1" customHeight="1">
      <c r="A981" s="184"/>
      <c r="B981" s="184"/>
      <c r="C981" s="184"/>
      <c r="D981" s="184"/>
      <c r="E981" s="184"/>
      <c r="F981" s="184"/>
      <c r="G981" s="185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</row>
    <row r="982" ht="15.75" hidden="1" customHeight="1">
      <c r="A982" s="184"/>
      <c r="B982" s="184"/>
      <c r="C982" s="184"/>
      <c r="D982" s="184"/>
      <c r="E982" s="184"/>
      <c r="F982" s="184"/>
      <c r="G982" s="185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</row>
    <row r="983" ht="15.75" hidden="1" customHeight="1">
      <c r="A983" s="184"/>
      <c r="B983" s="184"/>
      <c r="C983" s="184"/>
      <c r="D983" s="184"/>
      <c r="E983" s="184"/>
      <c r="F983" s="184"/>
      <c r="G983" s="185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</row>
    <row r="984" ht="15.75" hidden="1" customHeight="1">
      <c r="A984" s="184"/>
      <c r="B984" s="184"/>
      <c r="C984" s="184"/>
      <c r="D984" s="184"/>
      <c r="E984" s="184"/>
      <c r="F984" s="184"/>
      <c r="G984" s="185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</row>
    <row r="985" ht="15.75" hidden="1" customHeight="1">
      <c r="A985" s="184"/>
      <c r="B985" s="184"/>
      <c r="C985" s="184"/>
      <c r="D985" s="184"/>
      <c r="E985" s="184"/>
      <c r="F985" s="184"/>
      <c r="G985" s="185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</row>
    <row r="986" ht="15.75" hidden="1" customHeight="1">
      <c r="A986" s="184"/>
      <c r="B986" s="184"/>
      <c r="C986" s="184"/>
      <c r="D986" s="184"/>
      <c r="E986" s="184"/>
      <c r="F986" s="184"/>
      <c r="G986" s="185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</row>
    <row r="987" ht="15.75" hidden="1" customHeight="1">
      <c r="A987" s="184"/>
      <c r="B987" s="184"/>
      <c r="C987" s="184"/>
      <c r="D987" s="184"/>
      <c r="E987" s="184"/>
      <c r="F987" s="184"/>
      <c r="G987" s="185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</row>
    <row r="988" ht="15.75" hidden="1" customHeight="1">
      <c r="A988" s="184"/>
      <c r="B988" s="184"/>
      <c r="C988" s="184"/>
      <c r="D988" s="184"/>
      <c r="E988" s="184"/>
      <c r="F988" s="184"/>
      <c r="G988" s="185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</row>
    <row r="989" ht="15.75" hidden="1" customHeight="1">
      <c r="A989" s="184"/>
      <c r="B989" s="184"/>
      <c r="C989" s="184"/>
      <c r="D989" s="184"/>
      <c r="E989" s="184"/>
      <c r="F989" s="184"/>
      <c r="G989" s="185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</row>
    <row r="990" ht="15.75" hidden="1" customHeight="1">
      <c r="A990" s="184"/>
      <c r="B990" s="184"/>
      <c r="C990" s="184"/>
      <c r="D990" s="184"/>
      <c r="E990" s="184"/>
      <c r="F990" s="184"/>
      <c r="G990" s="185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</row>
    <row r="991" ht="15.75" hidden="1" customHeight="1">
      <c r="A991" s="184"/>
      <c r="B991" s="184"/>
      <c r="C991" s="184"/>
      <c r="D991" s="184"/>
      <c r="E991" s="184"/>
      <c r="F991" s="184"/>
      <c r="G991" s="185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</row>
    <row r="992" ht="15.75" hidden="1" customHeight="1">
      <c r="A992" s="184"/>
      <c r="B992" s="184"/>
      <c r="C992" s="184"/>
      <c r="D992" s="184"/>
      <c r="E992" s="184"/>
      <c r="F992" s="184"/>
      <c r="G992" s="185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</row>
    <row r="993" ht="15.75" hidden="1" customHeight="1">
      <c r="A993" s="184"/>
      <c r="B993" s="184"/>
      <c r="C993" s="184"/>
      <c r="D993" s="184"/>
      <c r="E993" s="184"/>
      <c r="F993" s="184"/>
      <c r="G993" s="185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</row>
    <row r="994" ht="15.75" hidden="1" customHeight="1">
      <c r="A994" s="184"/>
      <c r="B994" s="184"/>
      <c r="C994" s="184"/>
      <c r="D994" s="184"/>
      <c r="E994" s="184"/>
      <c r="F994" s="184"/>
      <c r="G994" s="185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</row>
    <row r="995" ht="15.75" hidden="1" customHeight="1">
      <c r="A995" s="184"/>
      <c r="B995" s="184"/>
      <c r="C995" s="184"/>
      <c r="D995" s="184"/>
      <c r="E995" s="184"/>
      <c r="F995" s="184"/>
      <c r="G995" s="185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</row>
    <row r="996" ht="15.75" hidden="1" customHeight="1">
      <c r="A996" s="184"/>
      <c r="B996" s="184"/>
      <c r="C996" s="184"/>
      <c r="D996" s="184"/>
      <c r="E996" s="184"/>
      <c r="F996" s="184"/>
      <c r="G996" s="185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</row>
    <row r="997" ht="15.75" hidden="1" customHeight="1">
      <c r="A997" s="184"/>
      <c r="B997" s="184"/>
      <c r="C997" s="184"/>
      <c r="D997" s="184"/>
      <c r="E997" s="184"/>
      <c r="F997" s="184"/>
      <c r="G997" s="185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  <c r="AC997" s="184"/>
    </row>
    <row r="998" ht="15.75" hidden="1" customHeight="1">
      <c r="A998" s="184"/>
      <c r="B998" s="184"/>
      <c r="C998" s="184"/>
      <c r="D998" s="184"/>
      <c r="E998" s="184"/>
      <c r="F998" s="184"/>
      <c r="G998" s="185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  <c r="AC998" s="184"/>
    </row>
    <row r="999" ht="15.75" hidden="1" customHeight="1">
      <c r="A999" s="184"/>
      <c r="B999" s="184"/>
      <c r="C999" s="184"/>
      <c r="D999" s="184"/>
      <c r="E999" s="184"/>
      <c r="F999" s="184"/>
      <c r="G999" s="185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  <c r="AC999" s="184"/>
    </row>
  </sheetData>
  <mergeCells count="51">
    <mergeCell ref="V8:V9"/>
    <mergeCell ref="W8:W9"/>
    <mergeCell ref="A45:B49"/>
    <mergeCell ref="A50:C50"/>
    <mergeCell ref="D50:J50"/>
    <mergeCell ref="K50:P50"/>
    <mergeCell ref="R50:W50"/>
    <mergeCell ref="Y50:AC50"/>
    <mergeCell ref="O8:O9"/>
    <mergeCell ref="P8:P9"/>
    <mergeCell ref="Q8:Q9"/>
    <mergeCell ref="R8:R9"/>
    <mergeCell ref="S8:S9"/>
    <mergeCell ref="T8:T9"/>
    <mergeCell ref="U8:U9"/>
    <mergeCell ref="K4:P4"/>
    <mergeCell ref="R4:W4"/>
    <mergeCell ref="D5:I5"/>
    <mergeCell ref="K5:W5"/>
    <mergeCell ref="K6:P7"/>
    <mergeCell ref="R6:W7"/>
    <mergeCell ref="Y7:AC7"/>
    <mergeCell ref="A1:C6"/>
    <mergeCell ref="D1:AC1"/>
    <mergeCell ref="E2:F2"/>
    <mergeCell ref="G2:I2"/>
    <mergeCell ref="K2:W2"/>
    <mergeCell ref="Y2:AC6"/>
    <mergeCell ref="K3:W3"/>
    <mergeCell ref="F8:F9"/>
    <mergeCell ref="G8:G9"/>
    <mergeCell ref="D3:I3"/>
    <mergeCell ref="D4:I4"/>
    <mergeCell ref="D6:I7"/>
    <mergeCell ref="A8:A9"/>
    <mergeCell ref="B8:C9"/>
    <mergeCell ref="D8:D9"/>
    <mergeCell ref="E8:E9"/>
    <mergeCell ref="X8:X9"/>
    <mergeCell ref="Y8:Y9"/>
    <mergeCell ref="Z8:Z9"/>
    <mergeCell ref="AA8:AA9"/>
    <mergeCell ref="AB8:AB9"/>
    <mergeCell ref="AC8:AC9"/>
    <mergeCell ref="H8:H9"/>
    <mergeCell ref="I8:I9"/>
    <mergeCell ref="J8:J9"/>
    <mergeCell ref="K8:K9"/>
    <mergeCell ref="L8:L9"/>
    <mergeCell ref="M8:M9"/>
    <mergeCell ref="N8:N9"/>
  </mergeCells>
  <conditionalFormatting sqref="D45:J45">
    <cfRule type="cellIs" dxfId="0" priority="1" operator="notEqual">
      <formula>14</formula>
    </cfRule>
  </conditionalFormatting>
  <conditionalFormatting sqref="D45:J45">
    <cfRule type="cellIs" dxfId="0" priority="2" operator="equal">
      <formula>14</formula>
    </cfRule>
  </conditionalFormatting>
  <conditionalFormatting sqref="K45:AC45 K47:O49">
    <cfRule type="cellIs" dxfId="0" priority="3" operator="notEqual">
      <formula>14</formula>
    </cfRule>
  </conditionalFormatting>
  <conditionalFormatting sqref="D46:O46">
    <cfRule type="cellIs" dxfId="0" priority="4" operator="notEqual">
      <formula>44</formula>
    </cfRule>
  </conditionalFormatting>
  <conditionalFormatting sqref="P46:AC46">
    <cfRule type="cellIs" dxfId="0" priority="5" operator="notEqual">
      <formula>44</formula>
    </cfRule>
  </conditionalFormatting>
  <conditionalFormatting sqref="D47:J49">
    <cfRule type="cellIs" dxfId="0" priority="6" operator="notEqual">
      <formula>14</formula>
    </cfRule>
  </conditionalFormatting>
  <conditionalFormatting sqref="P47:AC49">
    <cfRule type="cellIs" dxfId="0" priority="7" operator="notEqual">
      <formula>14</formula>
    </cfRule>
  </conditionalFormatting>
  <conditionalFormatting sqref="D10:Z44">
    <cfRule type="expression" dxfId="1" priority="8">
      <formula>$A10="REP"</formula>
    </cfRule>
  </conditionalFormatting>
  <conditionalFormatting sqref="D10:AC44">
    <cfRule type="expression" dxfId="2" priority="9">
      <formula>$A10="BAJA"</formula>
    </cfRule>
  </conditionalFormatting>
  <conditionalFormatting sqref="AC10:AC44">
    <cfRule type="expression" dxfId="3" priority="10">
      <formula>$A10="REP"</formula>
    </cfRule>
  </conditionalFormatting>
  <conditionalFormatting sqref="AA10:AB44">
    <cfRule type="expression" dxfId="4" priority="11">
      <formula>$A10="RPO"</formula>
    </cfRule>
  </conditionalFormatting>
  <conditionalFormatting sqref="Y10:Z44">
    <cfRule type="expression" dxfId="5" priority="12">
      <formula>$A10="RP"</formula>
    </cfRule>
  </conditionalFormatting>
  <conditionalFormatting sqref="D10:W44">
    <cfRule type="expression" dxfId="4" priority="13">
      <formula>$A10="RPE"</formula>
    </cfRule>
  </conditionalFormatting>
  <conditionalFormatting sqref="D10:Y44">
    <cfRule type="expression" dxfId="4" priority="14">
      <formula>$A10="RPO"</formula>
    </cfRule>
  </conditionalFormatting>
  <conditionalFormatting sqref="D10:AC44">
    <cfRule type="expression" dxfId="4" priority="15">
      <formula>$A10="AA"</formula>
    </cfRule>
  </conditionalFormatting>
  <conditionalFormatting sqref="D10:AC44">
    <cfRule type="expression" dxfId="4" priority="16">
      <formula>$A10="CO"</formula>
    </cfRule>
  </conditionalFormatting>
  <conditionalFormatting sqref="D10:AC44">
    <cfRule type="expression" dxfId="4" priority="17">
      <formula>$A10="RC"</formula>
    </cfRule>
  </conditionalFormatting>
  <conditionalFormatting sqref="H10:H44">
    <cfRule type="containsBlanks" dxfId="6" priority="18">
      <formula>LEN(TRIM(H10))=0</formula>
    </cfRule>
  </conditionalFormatting>
  <conditionalFormatting sqref="O10:O44">
    <cfRule type="containsBlanks" dxfId="6" priority="19">
      <formula>LEN(TRIM(O10))=0</formula>
    </cfRule>
  </conditionalFormatting>
  <conditionalFormatting sqref="V10:V44">
    <cfRule type="containsBlanks" dxfId="6" priority="20">
      <formula>LEN(TRIM(V10))=0</formula>
    </cfRule>
  </conditionalFormatting>
  <conditionalFormatting sqref="N10:N44">
    <cfRule type="cellIs" dxfId="7" priority="21" operator="equal">
      <formula>"NE"</formula>
    </cfRule>
  </conditionalFormatting>
  <conditionalFormatting sqref="G10:G44">
    <cfRule type="cellIs" dxfId="7" priority="22" operator="equal">
      <formula>"NE"</formula>
    </cfRule>
  </conditionalFormatting>
  <conditionalFormatting sqref="D10:X44">
    <cfRule type="cellIs" dxfId="8" priority="23" operator="lessThan">
      <formula>4.5</formula>
    </cfRule>
  </conditionalFormatting>
  <conditionalFormatting sqref="D10:X44">
    <cfRule type="containsBlanks" dxfId="5" priority="24">
      <formula>LEN(TRIM(D10))=0</formula>
    </cfRule>
  </conditionalFormatting>
  <conditionalFormatting sqref="K10:X44">
    <cfRule type="cellIs" dxfId="8" priority="25" operator="lessThan">
      <formula>4.5</formula>
    </cfRule>
  </conditionalFormatting>
  <conditionalFormatting sqref="K10:X44">
    <cfRule type="containsBlanks" dxfId="5" priority="26">
      <formula>LEN(TRIM(K10))=0</formula>
    </cfRule>
  </conditionalFormatting>
  <conditionalFormatting sqref="AC10:AC44">
    <cfRule type="expression" dxfId="6" priority="27">
      <formula>$A10="REP"</formula>
    </cfRule>
  </conditionalFormatting>
  <conditionalFormatting sqref="AB10:AB44">
    <cfRule type="expression" dxfId="6" priority="28">
      <formula>$AA10&gt;=5</formula>
    </cfRule>
  </conditionalFormatting>
  <conditionalFormatting sqref="AA10:AB44">
    <cfRule type="expression" dxfId="6" priority="29">
      <formula>$A10="ACT"</formula>
    </cfRule>
  </conditionalFormatting>
  <conditionalFormatting sqref="Z10:AB44">
    <cfRule type="expression" dxfId="4" priority="30">
      <formula>$A10="RPE"</formula>
    </cfRule>
  </conditionalFormatting>
  <conditionalFormatting sqref="R10:R45 S10:AC44">
    <cfRule type="cellIs" dxfId="8" priority="31" operator="lessThan">
      <formula>4.5</formula>
    </cfRule>
  </conditionalFormatting>
  <conditionalFormatting sqref="Z10:Z44">
    <cfRule type="expression" dxfId="6" priority="32">
      <formula>$Y10=5</formula>
    </cfRule>
  </conditionalFormatting>
  <conditionalFormatting sqref="Z10:Z44">
    <cfRule type="expression" dxfId="9" priority="33">
      <formula>$Y10=6</formula>
    </cfRule>
  </conditionalFormatting>
  <conditionalFormatting sqref="Z10:Z44">
    <cfRule type="expression" dxfId="9" priority="34">
      <formula>$Y10=7</formula>
    </cfRule>
  </conditionalFormatting>
  <conditionalFormatting sqref="Z10:Z44">
    <cfRule type="expression" dxfId="9" priority="35">
      <formula>$Y10=9</formula>
    </cfRule>
  </conditionalFormatting>
  <conditionalFormatting sqref="Z10:Z44">
    <cfRule type="expression" dxfId="9" priority="36">
      <formula>$Y10=10</formula>
    </cfRule>
  </conditionalFormatting>
  <conditionalFormatting sqref="Z10:Z44">
    <cfRule type="expression" dxfId="9" priority="37">
      <formula>$Y10=8</formula>
    </cfRule>
  </conditionalFormatting>
  <conditionalFormatting sqref="R10:R45 S10:AC44">
    <cfRule type="containsBlanks" dxfId="5" priority="38">
      <formula>LEN(TRIM(R10))=0</formula>
    </cfRule>
  </conditionalFormatting>
  <conditionalFormatting sqref="A10:C44">
    <cfRule type="expression" dxfId="10" priority="39">
      <formula>$A10="REP"</formula>
    </cfRule>
  </conditionalFormatting>
  <conditionalFormatting sqref="Y10:Y44">
    <cfRule type="cellIs" dxfId="7" priority="40" operator="equal">
      <formula>"NE"</formula>
    </cfRule>
  </conditionalFormatting>
  <conditionalFormatting sqref="D10:D44">
    <cfRule type="cellIs" dxfId="7" priority="41" operator="equal">
      <formula>"NE"</formula>
    </cfRule>
  </conditionalFormatting>
  <conditionalFormatting sqref="K10:K44">
    <cfRule type="cellIs" dxfId="7" priority="42" operator="equal">
      <formula>"NE"</formula>
    </cfRule>
  </conditionalFormatting>
  <conditionalFormatting sqref="R10:R44">
    <cfRule type="cellIs" dxfId="7" priority="43" operator="equal">
      <formula>"NE"</formula>
    </cfRule>
  </conditionalFormatting>
  <conditionalFormatting sqref="I10:I44">
    <cfRule type="cellIs" dxfId="7" priority="44" operator="equal">
      <formula>"NE"</formula>
    </cfRule>
  </conditionalFormatting>
  <conditionalFormatting sqref="P10:P44">
    <cfRule type="cellIs" dxfId="7" priority="45" operator="equal">
      <formula>"NE"</formula>
    </cfRule>
  </conditionalFormatting>
  <conditionalFormatting sqref="W10:W44">
    <cfRule type="cellIs" dxfId="7" priority="46" operator="equal">
      <formula>"NE"</formula>
    </cfRule>
  </conditionalFormatting>
  <conditionalFormatting sqref="U10:U44">
    <cfRule type="cellIs" dxfId="7" priority="47" operator="equal">
      <formula>"NE"</formula>
    </cfRule>
  </conditionalFormatting>
  <conditionalFormatting sqref="A10:C44">
    <cfRule type="expression" dxfId="11" priority="48">
      <formula>$A10="BAJA"</formula>
    </cfRule>
  </conditionalFormatting>
  <conditionalFormatting sqref="A10:C44">
    <cfRule type="expression" dxfId="3" priority="49">
      <formula>$A10="ACT"</formula>
    </cfRule>
  </conditionalFormatting>
  <conditionalFormatting sqref="A10:C44">
    <cfRule type="expression" dxfId="12" priority="50">
      <formula>$A10="CO"</formula>
    </cfRule>
  </conditionalFormatting>
  <conditionalFormatting sqref="A10:C44">
    <cfRule type="expression" dxfId="12" priority="51">
      <formula>$A10="AA"</formula>
    </cfRule>
  </conditionalFormatting>
  <conditionalFormatting sqref="A10:C44">
    <cfRule type="expression" dxfId="12" priority="52">
      <formula>$A10="RC"</formula>
    </cfRule>
  </conditionalFormatting>
  <conditionalFormatting sqref="A10:C44">
    <cfRule type="expression" dxfId="12" priority="53">
      <formula>$A10="RPO"</formula>
    </cfRule>
  </conditionalFormatting>
  <conditionalFormatting sqref="A10:C44">
    <cfRule type="expression" dxfId="12" priority="54">
      <formula>$A10="RPE"</formula>
    </cfRule>
  </conditionalFormatting>
  <conditionalFormatting sqref="E10:F44">
    <cfRule type="cellIs" dxfId="7" priority="55" operator="equal">
      <formula>"NE"</formula>
    </cfRule>
  </conditionalFormatting>
  <conditionalFormatting sqref="L10:M44">
    <cfRule type="cellIs" dxfId="7" priority="56" operator="equal">
      <formula>"NE"</formula>
    </cfRule>
  </conditionalFormatting>
  <conditionalFormatting sqref="S10:T44">
    <cfRule type="cellIs" dxfId="7" priority="57" operator="equal">
      <formula>"NE"</formula>
    </cfRule>
  </conditionalFormatting>
  <dataValidations>
    <dataValidation type="list" allowBlank="1" sqref="A10:A44">
      <formula1>"ACT,REP,CO,AA,RC,RPO,RPE,BAJA"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0.1" defaultRowHeight="15.0"/>
  <cols>
    <col customWidth="1" min="1" max="2" width="7.1"/>
    <col customWidth="1" min="3" max="3" width="23.4"/>
    <col customWidth="1" min="4" max="4" width="11.8"/>
    <col customWidth="1" hidden="1" min="5" max="5" width="4.2"/>
    <col customWidth="1" hidden="1" min="6" max="6" width="3.7"/>
    <col customWidth="1" min="7" max="7" width="11.8"/>
    <col customWidth="1" hidden="1" min="8" max="8" width="2.7"/>
    <col customWidth="1" hidden="1" min="9" max="9" width="2.9"/>
    <col customWidth="1" min="10" max="10" width="11.8"/>
    <col customWidth="1" min="11" max="12" width="3.4"/>
    <col customWidth="1" min="13" max="13" width="15.4"/>
    <col customWidth="1" min="14" max="14" width="11.8"/>
    <col customWidth="1" hidden="1" min="15" max="16" width="11.8"/>
    <col customWidth="1" min="17" max="21" width="11.8"/>
    <col customWidth="1" min="22" max="23" width="12.7"/>
    <col customWidth="1" hidden="1" min="24" max="33" width="10.3"/>
    <col customWidth="1" hidden="1" min="34" max="34" width="10.8"/>
  </cols>
  <sheetData>
    <row r="1" ht="15.75" customHeight="1">
      <c r="A1" s="186"/>
      <c r="D1" s="187" t="s">
        <v>63</v>
      </c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</row>
    <row r="2" ht="15.75" customHeight="1">
      <c r="D2" s="189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</row>
    <row r="3" ht="15.75" customHeight="1">
      <c r="D3" s="191" t="s">
        <v>19</v>
      </c>
      <c r="F3" s="192"/>
      <c r="G3" s="193" t="s">
        <v>20</v>
      </c>
      <c r="I3" s="194"/>
      <c r="J3" s="194" t="str">
        <f>'EVALUACIÓN'!H2</f>
        <v>SEVILLA ESTE</v>
      </c>
      <c r="K3" s="195"/>
      <c r="L3" s="195"/>
      <c r="M3" s="195"/>
      <c r="N3" s="195"/>
      <c r="O3" s="196" t="s">
        <v>64</v>
      </c>
      <c r="P3" s="45"/>
      <c r="Q3" s="45"/>
      <c r="R3" s="45"/>
      <c r="S3" s="45"/>
      <c r="T3" s="45"/>
      <c r="U3" s="45"/>
      <c r="V3" s="45"/>
      <c r="W3" s="197"/>
      <c r="X3" s="198" t="s">
        <v>65</v>
      </c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ht="15.75" customHeight="1">
      <c r="D4" s="199" t="str">
        <f>'EVALUACIÓN'!E2</f>
        <v>2024-25</v>
      </c>
      <c r="E4" s="200"/>
      <c r="F4" s="200"/>
      <c r="G4" s="201" t="s">
        <v>22</v>
      </c>
      <c r="I4" s="202"/>
      <c r="J4" s="202" t="str">
        <f>'EVALUACIÓN'!H3</f>
        <v>1º A SISTEMAS MICROINFORMÁTICOS Y REDES</v>
      </c>
      <c r="W4" s="203"/>
      <c r="X4" s="204"/>
    </row>
    <row r="5" ht="18.0" customHeight="1">
      <c r="D5" s="205"/>
      <c r="E5" s="193"/>
      <c r="F5" s="193"/>
      <c r="G5" s="206" t="s">
        <v>23</v>
      </c>
      <c r="I5" s="207"/>
      <c r="J5" s="207" t="str">
        <f>'EVALUACIÓN'!H4</f>
        <v>OSKAR MUÑOZ GALIANEZ</v>
      </c>
      <c r="K5" s="208"/>
      <c r="L5" s="208"/>
      <c r="M5" s="208"/>
      <c r="N5" s="209"/>
      <c r="W5" s="203"/>
      <c r="X5" s="204"/>
    </row>
    <row r="6" ht="18.0" customHeight="1">
      <c r="D6" s="210"/>
      <c r="E6" s="211"/>
      <c r="F6" s="211"/>
      <c r="G6" s="212" t="s">
        <v>24</v>
      </c>
      <c r="I6" s="213"/>
      <c r="J6" s="213" t="str">
        <f>'EVALUACIÓN'!H5</f>
        <v>SISTEMAS OPERATIVOS MONOPUESTO</v>
      </c>
      <c r="O6" s="190"/>
      <c r="P6" s="190"/>
      <c r="Q6" s="190"/>
      <c r="R6" s="190"/>
      <c r="S6" s="190"/>
      <c r="T6" s="190"/>
      <c r="U6" s="190"/>
      <c r="V6" s="190"/>
      <c r="W6" s="214"/>
      <c r="X6" s="204"/>
    </row>
    <row r="7" ht="16.5" customHeight="1">
      <c r="A7" s="190"/>
      <c r="B7" s="190"/>
      <c r="C7" s="190"/>
      <c r="D7" s="215" t="s">
        <v>66</v>
      </c>
      <c r="E7" s="2"/>
      <c r="F7" s="2"/>
      <c r="G7" s="2"/>
      <c r="H7" s="2"/>
      <c r="I7" s="2"/>
      <c r="J7" s="2"/>
      <c r="K7" s="2"/>
      <c r="L7" s="3"/>
      <c r="M7" s="16" t="s">
        <v>67</v>
      </c>
      <c r="N7" s="216" t="s">
        <v>68</v>
      </c>
      <c r="O7" s="217"/>
      <c r="P7" s="72"/>
      <c r="Q7" s="72"/>
      <c r="R7" s="72"/>
      <c r="S7" s="72"/>
      <c r="T7" s="218"/>
      <c r="U7" s="219" t="s">
        <v>69</v>
      </c>
      <c r="V7" s="220" t="s">
        <v>70</v>
      </c>
      <c r="W7" s="221" t="s">
        <v>71</v>
      </c>
      <c r="X7" s="222" t="s">
        <v>25</v>
      </c>
      <c r="Y7" s="195"/>
      <c r="Z7" s="195"/>
      <c r="AA7" s="195"/>
      <c r="AB7" s="195"/>
      <c r="AC7" s="195"/>
      <c r="AD7" s="195"/>
      <c r="AE7" s="195"/>
      <c r="AF7" s="195"/>
      <c r="AG7" s="223"/>
      <c r="AH7" s="224" t="s">
        <v>72</v>
      </c>
    </row>
    <row r="8" ht="16.5" customHeight="1">
      <c r="A8" s="225" t="s">
        <v>29</v>
      </c>
      <c r="B8" s="226" t="s">
        <v>30</v>
      </c>
      <c r="C8" s="227"/>
      <c r="D8" s="228" t="s">
        <v>73</v>
      </c>
      <c r="E8" s="229"/>
      <c r="F8" s="230"/>
      <c r="G8" s="231" t="s">
        <v>74</v>
      </c>
      <c r="H8" s="229"/>
      <c r="I8" s="230"/>
      <c r="J8" s="232" t="s">
        <v>75</v>
      </c>
      <c r="K8" s="229"/>
      <c r="L8" s="230"/>
      <c r="M8" s="233">
        <v>0.1</v>
      </c>
      <c r="N8" s="6"/>
      <c r="O8" s="234" t="s">
        <v>73</v>
      </c>
      <c r="P8" s="235" t="s">
        <v>73</v>
      </c>
      <c r="Q8" s="236" t="s">
        <v>74</v>
      </c>
      <c r="R8" s="237" t="s">
        <v>76</v>
      </c>
      <c r="S8" s="238" t="s">
        <v>75</v>
      </c>
      <c r="T8" s="239" t="s">
        <v>77</v>
      </c>
      <c r="U8" s="240"/>
      <c r="V8" s="240"/>
      <c r="W8" s="240"/>
      <c r="X8" s="241" t="s">
        <v>78</v>
      </c>
      <c r="Y8" s="242"/>
      <c r="Z8" s="243"/>
      <c r="AA8" s="244" t="s">
        <v>79</v>
      </c>
      <c r="AB8" s="245" t="s">
        <v>80</v>
      </c>
      <c r="AC8" s="246"/>
      <c r="AD8" s="246"/>
      <c r="AE8" s="246"/>
      <c r="AF8" s="246"/>
      <c r="AG8" s="246"/>
    </row>
    <row r="9" ht="16.5" customHeight="1">
      <c r="A9" s="247"/>
      <c r="B9" s="8"/>
      <c r="C9" s="179"/>
      <c r="D9" s="248" t="s">
        <v>81</v>
      </c>
      <c r="E9" s="249"/>
      <c r="F9" s="250"/>
      <c r="G9" s="251" t="s">
        <v>82</v>
      </c>
      <c r="H9" s="252"/>
      <c r="I9" s="250"/>
      <c r="J9" s="253" t="s">
        <v>82</v>
      </c>
      <c r="K9" s="252"/>
      <c r="L9" s="250"/>
      <c r="M9" s="10"/>
      <c r="N9" s="8"/>
      <c r="O9" s="254"/>
      <c r="P9" s="255" t="s">
        <v>83</v>
      </c>
      <c r="Q9" s="36"/>
      <c r="R9" s="256" t="s">
        <v>83</v>
      </c>
      <c r="S9" s="36"/>
      <c r="T9" s="257" t="s">
        <v>83</v>
      </c>
      <c r="U9" s="258"/>
      <c r="V9" s="258"/>
      <c r="W9" s="258"/>
      <c r="X9" s="259"/>
      <c r="Y9" s="260"/>
      <c r="Z9" s="260"/>
      <c r="AA9" s="261"/>
      <c r="AB9" s="262"/>
      <c r="AC9" s="246"/>
      <c r="AD9" s="246"/>
      <c r="AE9" s="246"/>
      <c r="AF9" s="246"/>
      <c r="AG9" s="246"/>
    </row>
    <row r="10" ht="15.75" customHeight="1">
      <c r="A10" s="263" t="str">
        <f>INSTITUTO!A10</f>
        <v>ACT</v>
      </c>
      <c r="B10" s="264">
        <f>INSTITUTO!B10</f>
        <v>1</v>
      </c>
      <c r="C10" s="265" t="str">
        <f>INSTITUTO!C10</f>
        <v>Aragón Garcia, Gonzalo</v>
      </c>
      <c r="D10" s="266">
        <f>IFERROR(__xludf.DUMMYFUNCTION("+'EVALUACIÓN'!Q10"),6.8999999999999995)</f>
        <v>6.9</v>
      </c>
      <c r="E10" s="6"/>
      <c r="F10" s="267"/>
      <c r="G10" s="266">
        <f>IFERROR(__xludf.DUMMYFUNCTION("+'EVALUACIÓN'!AC10"),7.34)</f>
        <v>7.34</v>
      </c>
      <c r="H10" s="6"/>
      <c r="I10" s="267"/>
      <c r="J10" s="266">
        <f>IFERROR(__xludf.DUMMYFUNCTION("+'EVALUACIÓN'!AO10"),7.225)</f>
        <v>7.225</v>
      </c>
      <c r="K10" s="6"/>
      <c r="L10" s="267"/>
      <c r="M10" s="268"/>
      <c r="N10" s="269">
        <f t="shared" ref="N10:N44" si="1">IF(OR(A10="CO",A10="AA"),"CO",AH10)</f>
        <v>7.155</v>
      </c>
      <c r="O10" s="270">
        <v>7.0</v>
      </c>
      <c r="P10" s="271"/>
      <c r="Q10" s="270">
        <v>7.0</v>
      </c>
      <c r="R10" s="272"/>
      <c r="S10" s="270">
        <v>7.0</v>
      </c>
      <c r="T10" s="272"/>
      <c r="U10" s="273">
        <v>7.0</v>
      </c>
      <c r="V10" s="274" t="str">
        <f t="shared" ref="V10:V12" si="2">IF(OR(P10="NE",R10="NE",T10="NE"),"NE",)</f>
        <v/>
      </c>
      <c r="W10" s="275" t="str">
        <f>'EVALUACIÓN'!AP10</f>
        <v>SUPERADO</v>
      </c>
      <c r="X10" s="276" t="s">
        <v>57</v>
      </c>
      <c r="AA10" s="277">
        <f>COUNTIF(D10:D44,"&lt;5")-COUNTIF(D10:D44,"-0")</f>
        <v>0</v>
      </c>
      <c r="AB10" s="278">
        <f>AA10/AA15</f>
        <v>0</v>
      </c>
      <c r="AC10" s="184"/>
      <c r="AD10" s="184"/>
      <c r="AE10" s="184"/>
      <c r="AF10" s="184"/>
      <c r="AG10" s="279"/>
      <c r="AH10" s="280">
        <f t="shared" ref="AH10:AH44" si="3">(D10+G10+J10)/3+M10*M$8</f>
        <v>7.155</v>
      </c>
    </row>
    <row r="11" ht="15.75" customHeight="1">
      <c r="A11" s="263" t="str">
        <f>INSTITUTO!A11</f>
        <v>ACT</v>
      </c>
      <c r="B11" s="264">
        <f>INSTITUTO!B11</f>
        <v>2</v>
      </c>
      <c r="C11" s="265" t="str">
        <f>INSTITUTO!C11</f>
        <v>Ariza Criado, Guillermo</v>
      </c>
      <c r="D11" s="266">
        <f>IFERROR(__xludf.DUMMYFUNCTION("+'EVALUACIÓN'!Q11"),8.47)</f>
        <v>8.47</v>
      </c>
      <c r="E11" s="6"/>
      <c r="F11" s="267"/>
      <c r="G11" s="266">
        <f>IFERROR(__xludf.DUMMYFUNCTION("+'EVALUACIÓN'!AC11"),7.58)</f>
        <v>7.58</v>
      </c>
      <c r="H11" s="6"/>
      <c r="I11" s="267"/>
      <c r="J11" s="266">
        <f>IFERROR(__xludf.DUMMYFUNCTION("+'EVALUACIÓN'!AO11"),9.625)</f>
        <v>9.625</v>
      </c>
      <c r="K11" s="6"/>
      <c r="L11" s="267"/>
      <c r="M11" s="281"/>
      <c r="N11" s="269">
        <f t="shared" si="1"/>
        <v>8.558333333</v>
      </c>
      <c r="O11" s="282">
        <v>9.0</v>
      </c>
      <c r="P11" s="283"/>
      <c r="Q11" s="282">
        <v>8.0</v>
      </c>
      <c r="R11" s="283"/>
      <c r="S11" s="282">
        <v>10.0</v>
      </c>
      <c r="T11" s="283"/>
      <c r="U11" s="273">
        <v>9.0</v>
      </c>
      <c r="V11" s="273" t="str">
        <f t="shared" si="2"/>
        <v/>
      </c>
      <c r="W11" s="284" t="str">
        <f>'EVALUACIÓN'!AP11</f>
        <v>SUPERADO</v>
      </c>
      <c r="X11" s="276" t="s">
        <v>58</v>
      </c>
      <c r="AA11" s="277">
        <f>COUNTIF(D10:D44,"&lt;7")-COUNTIF(D10:D44,"&lt;5")</f>
        <v>11</v>
      </c>
      <c r="AB11" s="278">
        <f>AA11/AA15</f>
        <v>0.3793103448</v>
      </c>
      <c r="AC11" s="184"/>
      <c r="AD11" s="184"/>
      <c r="AE11" s="184"/>
      <c r="AF11" s="184"/>
      <c r="AG11" s="279"/>
      <c r="AH11" s="280">
        <f t="shared" si="3"/>
        <v>8.558333333</v>
      </c>
    </row>
    <row r="12" ht="15.75" customHeight="1">
      <c r="A12" s="263" t="str">
        <f>INSTITUTO!A12</f>
        <v>ACT</v>
      </c>
      <c r="B12" s="264">
        <f>INSTITUTO!B12</f>
        <v>3</v>
      </c>
      <c r="C12" s="265" t="str">
        <f>INSTITUTO!C12</f>
        <v>Barrera Cifuentes, Javier</v>
      </c>
      <c r="D12" s="266">
        <f>IFERROR(__xludf.DUMMYFUNCTION("+'EVALUACIÓN'!Q12"),6.329999999999999)</f>
        <v>6.33</v>
      </c>
      <c r="E12" s="6"/>
      <c r="F12" s="267"/>
      <c r="G12" s="266">
        <f>IFERROR(__xludf.DUMMYFUNCTION("+'EVALUACIÓN'!AC12"),5.885)</f>
        <v>5.885</v>
      </c>
      <c r="H12" s="6"/>
      <c r="I12" s="267"/>
      <c r="J12" s="266">
        <f>IFERROR(__xludf.DUMMYFUNCTION("+'EVALUACIÓN'!AO12"),6.699999999999999)</f>
        <v>6.7</v>
      </c>
      <c r="K12" s="6"/>
      <c r="L12" s="267"/>
      <c r="M12" s="281"/>
      <c r="N12" s="269">
        <f t="shared" si="1"/>
        <v>6.305</v>
      </c>
      <c r="O12" s="282">
        <v>6.0</v>
      </c>
      <c r="P12" s="283"/>
      <c r="Q12" s="282">
        <v>6.0</v>
      </c>
      <c r="R12" s="283"/>
      <c r="S12" s="282">
        <v>7.0</v>
      </c>
      <c r="T12" s="283"/>
      <c r="U12" s="273">
        <v>6.0</v>
      </c>
      <c r="V12" s="273" t="str">
        <f t="shared" si="2"/>
        <v/>
      </c>
      <c r="W12" s="284" t="str">
        <f>'EVALUACIÓN'!AP12</f>
        <v>SUPERADO</v>
      </c>
      <c r="X12" s="276" t="s">
        <v>59</v>
      </c>
      <c r="AA12" s="277">
        <f>COUNTIF(D10:D44,"&lt;8")-COUNTIF(D10:D44,"&lt;7")</f>
        <v>12</v>
      </c>
      <c r="AB12" s="278">
        <f>AA12/AA15</f>
        <v>0.4137931034</v>
      </c>
      <c r="AC12" s="184"/>
      <c r="AD12" s="184"/>
      <c r="AE12" s="184"/>
      <c r="AF12" s="184"/>
      <c r="AG12" s="279"/>
      <c r="AH12" s="280">
        <f t="shared" si="3"/>
        <v>6.305</v>
      </c>
    </row>
    <row r="13" ht="15.75" customHeight="1">
      <c r="A13" s="263" t="str">
        <f>INSTITUTO!A13</f>
        <v>ACT</v>
      </c>
      <c r="B13" s="264">
        <f>INSTITUTO!B13</f>
        <v>4</v>
      </c>
      <c r="C13" s="265" t="str">
        <f>INSTITUTO!C13</f>
        <v>Bautista Gahona, Santiago María</v>
      </c>
      <c r="D13" s="266">
        <f>IFERROR(__xludf.DUMMYFUNCTION("+'EVALUACIÓN'!Q13"),7.02)</f>
        <v>7.02</v>
      </c>
      <c r="E13" s="6"/>
      <c r="F13" s="267"/>
      <c r="G13" s="266">
        <f>IFERROR(__xludf.DUMMYFUNCTION("+'EVALUACIÓN'!AC13"),3.015)</f>
        <v>3.015</v>
      </c>
      <c r="H13" s="6"/>
      <c r="I13" s="267"/>
      <c r="J13" s="266">
        <f>IFERROR(__xludf.DUMMYFUNCTION("+'EVALUACIÓN'!AO13"),0.0)</f>
        <v>0</v>
      </c>
      <c r="K13" s="6"/>
      <c r="L13" s="267"/>
      <c r="M13" s="281"/>
      <c r="N13" s="269">
        <f t="shared" si="1"/>
        <v>3.345</v>
      </c>
      <c r="O13" s="282">
        <v>7.0</v>
      </c>
      <c r="P13" s="283"/>
      <c r="Q13" s="282">
        <v>1.0</v>
      </c>
      <c r="R13" s="283">
        <v>1.0</v>
      </c>
      <c r="S13" s="282">
        <v>1.0</v>
      </c>
      <c r="T13" s="283">
        <v>1.0</v>
      </c>
      <c r="U13" s="273">
        <v>1.0</v>
      </c>
      <c r="V13" s="273">
        <v>1.0</v>
      </c>
      <c r="W13" s="284" t="str">
        <f>'EVALUACIÓN'!AP13</f>
        <v>SUPERADO</v>
      </c>
      <c r="X13" s="276" t="s">
        <v>60</v>
      </c>
      <c r="AA13" s="277">
        <f>COUNTIF(D10:D44,"&lt;9")-COUNTIF(D10:D44,"&lt;8")</f>
        <v>6</v>
      </c>
      <c r="AB13" s="278">
        <f>AA13/AA15</f>
        <v>0.2068965517</v>
      </c>
      <c r="AC13" s="184"/>
      <c r="AD13" s="184"/>
      <c r="AE13" s="184"/>
      <c r="AF13" s="184"/>
      <c r="AG13" s="279"/>
      <c r="AH13" s="280">
        <f t="shared" si="3"/>
        <v>3.345</v>
      </c>
    </row>
    <row r="14" ht="15.75" customHeight="1">
      <c r="A14" s="263" t="str">
        <f>INSTITUTO!A14</f>
        <v>ACT</v>
      </c>
      <c r="B14" s="264">
        <f>INSTITUTO!B14</f>
        <v>5</v>
      </c>
      <c r="C14" s="265" t="str">
        <f>INSTITUTO!C14</f>
        <v>Bautista Molina, Alejandro</v>
      </c>
      <c r="D14" s="266">
        <f>IFERROR(__xludf.DUMMYFUNCTION("+'EVALUACIÓN'!Q14"),7.95)</f>
        <v>7.95</v>
      </c>
      <c r="E14" s="6"/>
      <c r="F14" s="267"/>
      <c r="G14" s="266">
        <f>IFERROR(__xludf.DUMMYFUNCTION("+'EVALUACIÓN'!AC14"),6.29)</f>
        <v>6.29</v>
      </c>
      <c r="H14" s="6"/>
      <c r="I14" s="267"/>
      <c r="J14" s="266">
        <f>IFERROR(__xludf.DUMMYFUNCTION("+'EVALUACIÓN'!AO14"),7.824999999999999)</f>
        <v>7.825</v>
      </c>
      <c r="K14" s="6"/>
      <c r="L14" s="267"/>
      <c r="M14" s="281"/>
      <c r="N14" s="269">
        <f t="shared" si="1"/>
        <v>7.355</v>
      </c>
      <c r="O14" s="282">
        <v>8.0</v>
      </c>
      <c r="P14" s="283"/>
      <c r="Q14" s="282">
        <v>6.0</v>
      </c>
      <c r="R14" s="283"/>
      <c r="S14" s="282">
        <v>8.0</v>
      </c>
      <c r="T14" s="283"/>
      <c r="U14" s="273">
        <v>7.0</v>
      </c>
      <c r="V14" s="273" t="str">
        <f t="shared" ref="V14:V38" si="4">IF(OR(P14="NE",R14="NE",T14="NE"),"NE",)</f>
        <v/>
      </c>
      <c r="W14" s="284" t="str">
        <f>'EVALUACIÓN'!AP14</f>
        <v>SUPERADO</v>
      </c>
      <c r="X14" s="285" t="s">
        <v>61</v>
      </c>
      <c r="Y14" s="190"/>
      <c r="Z14" s="190"/>
      <c r="AA14" s="286">
        <f>COUNTIF(D10:D44,"&lt;=10")-COUNTIF(D10:D44,"&lt;9")</f>
        <v>0</v>
      </c>
      <c r="AB14" s="287">
        <f>AA14/AA15</f>
        <v>0</v>
      </c>
      <c r="AC14" s="184"/>
      <c r="AD14" s="184"/>
      <c r="AE14" s="184"/>
      <c r="AF14" s="184"/>
      <c r="AG14" s="279"/>
      <c r="AH14" s="280">
        <f t="shared" si="3"/>
        <v>7.355</v>
      </c>
    </row>
    <row r="15" ht="15.75" customHeight="1">
      <c r="A15" s="263" t="str">
        <f>INSTITUTO!A15</f>
        <v>ACT</v>
      </c>
      <c r="B15" s="264">
        <f>INSTITUTO!B15</f>
        <v>6</v>
      </c>
      <c r="C15" s="265" t="str">
        <f>INSTITUTO!C15</f>
        <v>Bustamante Navarro, Carlos de</v>
      </c>
      <c r="D15" s="266">
        <f>IFERROR(__xludf.DUMMYFUNCTION("+'EVALUACIÓN'!Q15"),6.499999999999999)</f>
        <v>6.5</v>
      </c>
      <c r="E15" s="6"/>
      <c r="F15" s="267"/>
      <c r="G15" s="266">
        <f>IFERROR(__xludf.DUMMYFUNCTION("+'EVALUACIÓN'!AC15"),6.56)</f>
        <v>6.56</v>
      </c>
      <c r="H15" s="6"/>
      <c r="I15" s="267"/>
      <c r="J15" s="266">
        <f>IFERROR(__xludf.DUMMYFUNCTION("+'EVALUACIÓN'!AO15"),7.674999999999999)</f>
        <v>7.675</v>
      </c>
      <c r="K15" s="6"/>
      <c r="L15" s="267"/>
      <c r="M15" s="281"/>
      <c r="N15" s="269">
        <f t="shared" si="1"/>
        <v>6.911666667</v>
      </c>
      <c r="O15" s="282">
        <v>7.0</v>
      </c>
      <c r="P15" s="283"/>
      <c r="Q15" s="282">
        <v>7.0</v>
      </c>
      <c r="R15" s="283"/>
      <c r="S15" s="282">
        <v>8.0</v>
      </c>
      <c r="T15" s="283"/>
      <c r="U15" s="273">
        <v>7.0</v>
      </c>
      <c r="V15" s="273" t="str">
        <f t="shared" si="4"/>
        <v/>
      </c>
      <c r="W15" s="284" t="str">
        <f>'EVALUACIÓN'!AP15</f>
        <v>SUPERADO</v>
      </c>
      <c r="X15" s="288" t="s">
        <v>84</v>
      </c>
      <c r="Y15" s="289"/>
      <c r="Z15" s="289"/>
      <c r="AA15" s="290">
        <f t="shared" ref="AA15:AB15" si="5">SUM(AA10:AA14)</f>
        <v>29</v>
      </c>
      <c r="AB15" s="291">
        <f t="shared" si="5"/>
        <v>1</v>
      </c>
      <c r="AC15" s="184"/>
      <c r="AD15" s="184"/>
      <c r="AE15" s="184"/>
      <c r="AF15" s="184"/>
      <c r="AG15" s="279"/>
      <c r="AH15" s="280">
        <f t="shared" si="3"/>
        <v>6.911666667</v>
      </c>
    </row>
    <row r="16" ht="15.75" customHeight="1">
      <c r="A16" s="263" t="str">
        <f>INSTITUTO!A16</f>
        <v>ACT</v>
      </c>
      <c r="B16" s="264">
        <f>INSTITUTO!B16</f>
        <v>7</v>
      </c>
      <c r="C16" s="265" t="str">
        <f>INSTITUTO!C16</f>
        <v>Caldera Pinto, Miguel Ángel</v>
      </c>
      <c r="D16" s="266">
        <f>IFERROR(__xludf.DUMMYFUNCTION("+'EVALUACIÓN'!Q16"),8.26)</f>
        <v>8.26</v>
      </c>
      <c r="E16" s="6"/>
      <c r="F16" s="267"/>
      <c r="G16" s="266">
        <f>IFERROR(__xludf.DUMMYFUNCTION("+'EVALUACIÓN'!AC16"),8.665)</f>
        <v>8.665</v>
      </c>
      <c r="H16" s="6"/>
      <c r="I16" s="267"/>
      <c r="J16" s="266">
        <f>IFERROR(__xludf.DUMMYFUNCTION("+'EVALUACIÓN'!AO16"),9.25)</f>
        <v>9.25</v>
      </c>
      <c r="K16" s="6"/>
      <c r="L16" s="267"/>
      <c r="M16" s="281"/>
      <c r="N16" s="269">
        <f t="shared" si="1"/>
        <v>8.725</v>
      </c>
      <c r="O16" s="282">
        <v>8.0</v>
      </c>
      <c r="P16" s="283"/>
      <c r="Q16" s="282">
        <v>9.0</v>
      </c>
      <c r="R16" s="283"/>
      <c r="S16" s="282">
        <v>9.0</v>
      </c>
      <c r="T16" s="283"/>
      <c r="U16" s="273">
        <v>9.0</v>
      </c>
      <c r="V16" s="273" t="str">
        <f t="shared" si="4"/>
        <v/>
      </c>
      <c r="W16" s="284" t="str">
        <f>'EVALUACIÓN'!AP16</f>
        <v>SUPERADO</v>
      </c>
      <c r="X16" s="222" t="s">
        <v>26</v>
      </c>
      <c r="Y16" s="195"/>
      <c r="Z16" s="195"/>
      <c r="AA16" s="195"/>
      <c r="AB16" s="195"/>
      <c r="AC16" s="195"/>
      <c r="AD16" s="195"/>
      <c r="AE16" s="195"/>
      <c r="AF16" s="195"/>
      <c r="AG16" s="223"/>
      <c r="AH16" s="280">
        <f t="shared" si="3"/>
        <v>8.725</v>
      </c>
    </row>
    <row r="17" ht="15.75" customHeight="1">
      <c r="A17" s="263" t="str">
        <f>INSTITUTO!A17</f>
        <v>ACT</v>
      </c>
      <c r="B17" s="264">
        <f>INSTITUTO!B17</f>
        <v>8</v>
      </c>
      <c r="C17" s="265" t="str">
        <f>INSTITUTO!C17</f>
        <v>Camúñez Hidalgo, José Antonio</v>
      </c>
      <c r="D17" s="266">
        <f>IFERROR(__xludf.DUMMYFUNCTION("+'EVALUACIÓN'!Q17"),7.039999999999999)</f>
        <v>7.04</v>
      </c>
      <c r="E17" s="6"/>
      <c r="F17" s="267"/>
      <c r="G17" s="266">
        <f>IFERROR(__xludf.DUMMYFUNCTION("+'EVALUACIÓN'!AC17"),7.415)</f>
        <v>7.415</v>
      </c>
      <c r="H17" s="6"/>
      <c r="I17" s="267"/>
      <c r="J17" s="266">
        <f>IFERROR(__xludf.DUMMYFUNCTION("+'EVALUACIÓN'!AO17"),7.645)</f>
        <v>7.645</v>
      </c>
      <c r="K17" s="6"/>
      <c r="L17" s="267"/>
      <c r="M17" s="281"/>
      <c r="N17" s="269">
        <f t="shared" si="1"/>
        <v>7.366666667</v>
      </c>
      <c r="O17" s="282">
        <v>7.0</v>
      </c>
      <c r="P17" s="283"/>
      <c r="Q17" s="282">
        <v>7.0</v>
      </c>
      <c r="R17" s="283"/>
      <c r="S17" s="282">
        <v>8.0</v>
      </c>
      <c r="T17" s="283"/>
      <c r="U17" s="273">
        <v>7.0</v>
      </c>
      <c r="V17" s="273" t="str">
        <f t="shared" si="4"/>
        <v/>
      </c>
      <c r="W17" s="284" t="str">
        <f>'EVALUACIÓN'!AP17</f>
        <v>SUPERADO</v>
      </c>
      <c r="X17" s="241" t="s">
        <v>78</v>
      </c>
      <c r="Y17" s="242"/>
      <c r="Z17" s="243"/>
      <c r="AA17" s="292" t="s">
        <v>79</v>
      </c>
      <c r="AB17" s="293" t="s">
        <v>80</v>
      </c>
      <c r="AC17" s="184"/>
      <c r="AD17" s="184"/>
      <c r="AE17" s="184"/>
      <c r="AF17" s="184"/>
      <c r="AG17" s="279"/>
      <c r="AH17" s="280">
        <f t="shared" si="3"/>
        <v>7.366666667</v>
      </c>
    </row>
    <row r="18" ht="15.75" customHeight="1">
      <c r="A18" s="263" t="str">
        <f>INSTITUTO!A18</f>
        <v>ACT</v>
      </c>
      <c r="B18" s="264">
        <f>INSTITUTO!B18</f>
        <v>9</v>
      </c>
      <c r="C18" s="265" t="str">
        <f>INSTITUTO!C18</f>
        <v>Cano Ortega, Javier</v>
      </c>
      <c r="D18" s="266">
        <f>IFERROR(__xludf.DUMMYFUNCTION("+'EVALUACIÓN'!Q18"),6.93)</f>
        <v>6.93</v>
      </c>
      <c r="E18" s="6"/>
      <c r="F18" s="267"/>
      <c r="G18" s="266">
        <f>IFERROR(__xludf.DUMMYFUNCTION("+'EVALUACIÓN'!AC18"),7.549999999999999)</f>
        <v>7.55</v>
      </c>
      <c r="H18" s="6"/>
      <c r="I18" s="267"/>
      <c r="J18" s="266">
        <f>IFERROR(__xludf.DUMMYFUNCTION("+'EVALUACIÓN'!AO18"),7.5249999999999995)</f>
        <v>7.525</v>
      </c>
      <c r="K18" s="6"/>
      <c r="L18" s="267"/>
      <c r="M18" s="281"/>
      <c r="N18" s="269">
        <f t="shared" si="1"/>
        <v>7.335</v>
      </c>
      <c r="O18" s="282">
        <v>7.0</v>
      </c>
      <c r="P18" s="283"/>
      <c r="Q18" s="282">
        <v>8.0</v>
      </c>
      <c r="R18" s="283"/>
      <c r="S18" s="282">
        <v>8.0</v>
      </c>
      <c r="T18" s="283"/>
      <c r="U18" s="273">
        <v>7.0</v>
      </c>
      <c r="V18" s="273" t="str">
        <f t="shared" si="4"/>
        <v/>
      </c>
      <c r="W18" s="284" t="str">
        <f>'EVALUACIÓN'!AP18</f>
        <v>SUPERADO</v>
      </c>
      <c r="X18" s="276" t="s">
        <v>57</v>
      </c>
      <c r="AA18" s="277">
        <f>COUNTIF(G10:G44,"&lt;5")-COUNTIF(G10:G44,"-0")</f>
        <v>1</v>
      </c>
      <c r="AB18" s="278">
        <f>AA18/AA23</f>
        <v>0.03333333333</v>
      </c>
      <c r="AC18" s="184"/>
      <c r="AD18" s="184"/>
      <c r="AE18" s="184"/>
      <c r="AF18" s="184"/>
      <c r="AG18" s="279"/>
      <c r="AH18" s="280">
        <f t="shared" si="3"/>
        <v>7.335</v>
      </c>
    </row>
    <row r="19" ht="15.75" customHeight="1">
      <c r="A19" s="263" t="str">
        <f>INSTITUTO!A19</f>
        <v>ACT</v>
      </c>
      <c r="B19" s="264">
        <f>INSTITUTO!B19</f>
        <v>10</v>
      </c>
      <c r="C19" s="265" t="str">
        <f>INSTITUTO!C19</f>
        <v>Córdova Milani, Bruno</v>
      </c>
      <c r="D19" s="266">
        <f>IFERROR(__xludf.DUMMYFUNCTION("+'EVALUACIÓN'!Q19"),7.01)</f>
        <v>7.01</v>
      </c>
      <c r="E19" s="6"/>
      <c r="F19" s="267"/>
      <c r="G19" s="266">
        <f>IFERROR(__xludf.DUMMYFUNCTION("+'EVALUACIÓN'!AC19"),5.945)</f>
        <v>5.945</v>
      </c>
      <c r="H19" s="6"/>
      <c r="I19" s="267"/>
      <c r="J19" s="266">
        <f>IFERROR(__xludf.DUMMYFUNCTION("+'EVALUACIÓN'!AO19"),6.05)</f>
        <v>6.05</v>
      </c>
      <c r="K19" s="6"/>
      <c r="L19" s="267"/>
      <c r="M19" s="281"/>
      <c r="N19" s="269">
        <f t="shared" si="1"/>
        <v>6.335</v>
      </c>
      <c r="O19" s="282">
        <v>7.0</v>
      </c>
      <c r="P19" s="283"/>
      <c r="Q19" s="282">
        <v>6.0</v>
      </c>
      <c r="R19" s="283"/>
      <c r="S19" s="282">
        <v>6.0</v>
      </c>
      <c r="T19" s="283"/>
      <c r="U19" s="273">
        <v>6.0</v>
      </c>
      <c r="V19" s="273" t="str">
        <f t="shared" si="4"/>
        <v/>
      </c>
      <c r="W19" s="284" t="str">
        <f>'EVALUACIÓN'!AP19</f>
        <v>SUPERADO</v>
      </c>
      <c r="X19" s="276" t="s">
        <v>58</v>
      </c>
      <c r="AA19" s="277">
        <f>COUNTIF(G10:G44,"&lt;7")-COUNTIF(G10:G44,"&lt;5")</f>
        <v>12</v>
      </c>
      <c r="AB19" s="278">
        <f>AA19/AA23</f>
        <v>0.4</v>
      </c>
      <c r="AC19" s="184"/>
      <c r="AD19" s="184"/>
      <c r="AE19" s="184"/>
      <c r="AF19" s="184"/>
      <c r="AG19" s="279"/>
      <c r="AH19" s="280">
        <f t="shared" si="3"/>
        <v>6.335</v>
      </c>
    </row>
    <row r="20" ht="15.75" customHeight="1">
      <c r="A20" s="263" t="str">
        <f>INSTITUTO!A20</f>
        <v>ACT</v>
      </c>
      <c r="B20" s="264">
        <f>INSTITUTO!B20</f>
        <v>11</v>
      </c>
      <c r="C20" s="265" t="str">
        <f>INSTITUTO!C20</f>
        <v>Cuenca Trasmonte, Daniel</v>
      </c>
      <c r="D20" s="266">
        <f>IFERROR(__xludf.DUMMYFUNCTION("+'EVALUACIÓN'!Q20"),8.33)</f>
        <v>8.33</v>
      </c>
      <c r="E20" s="6"/>
      <c r="F20" s="267"/>
      <c r="G20" s="266">
        <f>IFERROR(__xludf.DUMMYFUNCTION("+'EVALUACIÓN'!AC20"),9.79)</f>
        <v>9.79</v>
      </c>
      <c r="H20" s="6"/>
      <c r="I20" s="267"/>
      <c r="J20" s="266">
        <f>IFERROR(__xludf.DUMMYFUNCTION("+'EVALUACIÓN'!AO20"),8.8)</f>
        <v>8.8</v>
      </c>
      <c r="K20" s="6"/>
      <c r="L20" s="267"/>
      <c r="M20" s="281"/>
      <c r="N20" s="269">
        <f t="shared" si="1"/>
        <v>8.973333333</v>
      </c>
      <c r="O20" s="282">
        <v>8.0</v>
      </c>
      <c r="P20" s="283"/>
      <c r="Q20" s="282">
        <v>10.0</v>
      </c>
      <c r="R20" s="283"/>
      <c r="S20" s="282">
        <v>9.0</v>
      </c>
      <c r="T20" s="283"/>
      <c r="U20" s="273">
        <v>9.0</v>
      </c>
      <c r="V20" s="273" t="str">
        <f t="shared" si="4"/>
        <v/>
      </c>
      <c r="W20" s="284" t="str">
        <f>'EVALUACIÓN'!AP20</f>
        <v>SUPERADO</v>
      </c>
      <c r="X20" s="276" t="s">
        <v>59</v>
      </c>
      <c r="AA20" s="277">
        <f>COUNTIF(G10:G44,"&lt;8")-COUNTIF(G10:G44,"&lt;7")</f>
        <v>9</v>
      </c>
      <c r="AB20" s="278">
        <f>AA20/AA23</f>
        <v>0.3</v>
      </c>
      <c r="AC20" s="184"/>
      <c r="AD20" s="184"/>
      <c r="AE20" s="184"/>
      <c r="AF20" s="184"/>
      <c r="AG20" s="279"/>
      <c r="AH20" s="280">
        <f t="shared" si="3"/>
        <v>8.973333333</v>
      </c>
    </row>
    <row r="21" ht="15.75" customHeight="1">
      <c r="A21" s="263" t="str">
        <f>INSTITUTO!A21</f>
        <v>ACT</v>
      </c>
      <c r="B21" s="264">
        <f>INSTITUTO!B21</f>
        <v>12</v>
      </c>
      <c r="C21" s="265" t="str">
        <f>INSTITUTO!C21</f>
        <v>Esteve Martínez, Jaime</v>
      </c>
      <c r="D21" s="266">
        <f>IFERROR(__xludf.DUMMYFUNCTION("+'EVALUACIÓN'!Q21"),6.25)</f>
        <v>6.25</v>
      </c>
      <c r="E21" s="6"/>
      <c r="F21" s="267"/>
      <c r="G21" s="266">
        <f>IFERROR(__xludf.DUMMYFUNCTION("+'EVALUACIÓN'!AC21"),6.709999999999999)</f>
        <v>6.71</v>
      </c>
      <c r="H21" s="6"/>
      <c r="I21" s="267"/>
      <c r="J21" s="266">
        <f>IFERROR(__xludf.DUMMYFUNCTION("+'EVALUACIÓN'!AO21"),7.24)</f>
        <v>7.24</v>
      </c>
      <c r="K21" s="6"/>
      <c r="L21" s="267"/>
      <c r="M21" s="281"/>
      <c r="N21" s="269">
        <f t="shared" si="1"/>
        <v>6.733333333</v>
      </c>
      <c r="O21" s="282">
        <v>6.0</v>
      </c>
      <c r="P21" s="283"/>
      <c r="Q21" s="282">
        <v>7.0</v>
      </c>
      <c r="R21" s="283"/>
      <c r="S21" s="282">
        <v>7.0</v>
      </c>
      <c r="T21" s="283"/>
      <c r="U21" s="273">
        <v>7.0</v>
      </c>
      <c r="V21" s="273" t="str">
        <f t="shared" si="4"/>
        <v/>
      </c>
      <c r="W21" s="284" t="str">
        <f>'EVALUACIÓN'!AP21</f>
        <v>SUPERADO</v>
      </c>
      <c r="X21" s="276" t="s">
        <v>60</v>
      </c>
      <c r="AA21" s="277">
        <f>COUNTIF(G10:G44,"&lt;9")-COUNTIF(G10:G44,"&lt;8")</f>
        <v>6</v>
      </c>
      <c r="AB21" s="278">
        <f>AA21/AA23</f>
        <v>0.2</v>
      </c>
      <c r="AC21" s="184"/>
      <c r="AD21" s="184"/>
      <c r="AE21" s="184"/>
      <c r="AF21" s="184"/>
      <c r="AG21" s="279"/>
      <c r="AH21" s="280">
        <f t="shared" si="3"/>
        <v>6.733333333</v>
      </c>
    </row>
    <row r="22" ht="15.75" customHeight="1">
      <c r="A22" s="263" t="str">
        <f>INSTITUTO!A22</f>
        <v>ACT</v>
      </c>
      <c r="B22" s="264">
        <f>INSTITUTO!B22</f>
        <v>13</v>
      </c>
      <c r="C22" s="265" t="str">
        <f>INSTITUTO!C22</f>
        <v>Ferreira Casero, Gonzalo</v>
      </c>
      <c r="D22" s="266">
        <f>IFERROR(__xludf.DUMMYFUNCTION("+'EVALUACIÓN'!Q22"),8.06)</f>
        <v>8.06</v>
      </c>
      <c r="E22" s="6"/>
      <c r="F22" s="267"/>
      <c r="G22" s="266">
        <f>IFERROR(__xludf.DUMMYFUNCTION("+'EVALUACIÓN'!AC22"),8.934999999999999)</f>
        <v>8.935</v>
      </c>
      <c r="H22" s="6"/>
      <c r="I22" s="267"/>
      <c r="J22" s="266">
        <f>IFERROR(__xludf.DUMMYFUNCTION("+'EVALUACIÓN'!AO22"),8.35)</f>
        <v>8.35</v>
      </c>
      <c r="K22" s="6"/>
      <c r="L22" s="267"/>
      <c r="M22" s="281"/>
      <c r="N22" s="269">
        <f t="shared" si="1"/>
        <v>8.448333333</v>
      </c>
      <c r="O22" s="282">
        <v>8.0</v>
      </c>
      <c r="P22" s="283"/>
      <c r="Q22" s="282">
        <v>9.0</v>
      </c>
      <c r="R22" s="283"/>
      <c r="S22" s="282">
        <v>8.0</v>
      </c>
      <c r="T22" s="283"/>
      <c r="U22" s="273">
        <v>9.0</v>
      </c>
      <c r="V22" s="273" t="str">
        <f t="shared" si="4"/>
        <v/>
      </c>
      <c r="W22" s="284" t="str">
        <f>'EVALUACIÓN'!AP22</f>
        <v>SUPERADO</v>
      </c>
      <c r="X22" s="285" t="s">
        <v>61</v>
      </c>
      <c r="Y22" s="190"/>
      <c r="Z22" s="190"/>
      <c r="AA22" s="286">
        <f>COUNTIF(G10:G44,"&lt;=10")-COUNTIF(G10:G44,"&lt;9")</f>
        <v>2</v>
      </c>
      <c r="AB22" s="287">
        <f>AA22/AA23</f>
        <v>0.06666666667</v>
      </c>
      <c r="AC22" s="184"/>
      <c r="AD22" s="184"/>
      <c r="AE22" s="184"/>
      <c r="AF22" s="184"/>
      <c r="AG22" s="279"/>
      <c r="AH22" s="280">
        <f t="shared" si="3"/>
        <v>8.448333333</v>
      </c>
    </row>
    <row r="23" ht="15.75" customHeight="1">
      <c r="A23" s="263" t="str">
        <f>INSTITUTO!A23</f>
        <v>ACT</v>
      </c>
      <c r="B23" s="264">
        <f>INSTITUTO!B23</f>
        <v>14</v>
      </c>
      <c r="C23" s="265" t="str">
        <f>INSTITUTO!C23</f>
        <v>Florencio Pliego, Francisco</v>
      </c>
      <c r="D23" s="266">
        <f>IFERROR(__xludf.DUMMYFUNCTION("+'EVALUACIÓN'!Q23"),6.7)</f>
        <v>6.7</v>
      </c>
      <c r="E23" s="6"/>
      <c r="F23" s="267"/>
      <c r="G23" s="266">
        <f>IFERROR(__xludf.DUMMYFUNCTION("+'EVALUACIÓN'!AC23"),6.18)</f>
        <v>6.18</v>
      </c>
      <c r="H23" s="6"/>
      <c r="I23" s="267"/>
      <c r="J23" s="266">
        <f>IFERROR(__xludf.DUMMYFUNCTION("+'EVALUACIÓN'!AO23"),6.85)</f>
        <v>6.85</v>
      </c>
      <c r="K23" s="6"/>
      <c r="L23" s="267"/>
      <c r="M23" s="281"/>
      <c r="N23" s="269">
        <f t="shared" si="1"/>
        <v>6.576666667</v>
      </c>
      <c r="O23" s="282">
        <v>7.0</v>
      </c>
      <c r="P23" s="283"/>
      <c r="Q23" s="282">
        <v>6.0</v>
      </c>
      <c r="R23" s="283"/>
      <c r="S23" s="282">
        <v>7.0</v>
      </c>
      <c r="T23" s="283"/>
      <c r="U23" s="273">
        <v>7.0</v>
      </c>
      <c r="V23" s="273" t="str">
        <f t="shared" si="4"/>
        <v/>
      </c>
      <c r="W23" s="284" t="str">
        <f>'EVALUACIÓN'!AP23</f>
        <v>SUPERADO</v>
      </c>
      <c r="X23" s="288" t="s">
        <v>84</v>
      </c>
      <c r="Y23" s="289"/>
      <c r="Z23" s="289"/>
      <c r="AA23" s="290">
        <f t="shared" ref="AA23:AB23" si="6">SUM(AA18:AA22)</f>
        <v>30</v>
      </c>
      <c r="AB23" s="291">
        <f t="shared" si="6"/>
        <v>1</v>
      </c>
      <c r="AC23" s="184"/>
      <c r="AD23" s="184"/>
      <c r="AE23" s="184"/>
      <c r="AF23" s="184"/>
      <c r="AG23" s="279"/>
      <c r="AH23" s="280">
        <f t="shared" si="3"/>
        <v>6.576666667</v>
      </c>
    </row>
    <row r="24" ht="15.75" customHeight="1">
      <c r="A24" s="263" t="str">
        <f>INSTITUTO!A24</f>
        <v>ACT</v>
      </c>
      <c r="B24" s="264">
        <f>INSTITUTO!B24</f>
        <v>15</v>
      </c>
      <c r="C24" s="265" t="str">
        <f>INSTITUTO!C24</f>
        <v>Gómez García, Irene</v>
      </c>
      <c r="D24" s="266">
        <f>IFERROR(__xludf.DUMMYFUNCTION("+'EVALUACIÓN'!Q24"),6.979999999999999)</f>
        <v>6.98</v>
      </c>
      <c r="E24" s="6"/>
      <c r="F24" s="267"/>
      <c r="G24" s="266">
        <f>IFERROR(__xludf.DUMMYFUNCTION("+'EVALUACIÓN'!AC24"),7.915)</f>
        <v>7.915</v>
      </c>
      <c r="H24" s="6"/>
      <c r="I24" s="267"/>
      <c r="J24" s="266">
        <f>IFERROR(__xludf.DUMMYFUNCTION("+'EVALUACIÓN'!AO24"),8.8)</f>
        <v>8.8</v>
      </c>
      <c r="K24" s="6"/>
      <c r="L24" s="267"/>
      <c r="M24" s="281"/>
      <c r="N24" s="269">
        <f t="shared" si="1"/>
        <v>7.898333333</v>
      </c>
      <c r="O24" s="282">
        <v>7.0</v>
      </c>
      <c r="P24" s="283"/>
      <c r="Q24" s="282">
        <v>8.0</v>
      </c>
      <c r="R24" s="283"/>
      <c r="S24" s="282">
        <v>9.0</v>
      </c>
      <c r="T24" s="283"/>
      <c r="U24" s="273">
        <v>8.0</v>
      </c>
      <c r="V24" s="273" t="str">
        <f t="shared" si="4"/>
        <v/>
      </c>
      <c r="W24" s="284" t="str">
        <f>'EVALUACIÓN'!AP24</f>
        <v>SUPERADO</v>
      </c>
      <c r="X24" s="222" t="s">
        <v>27</v>
      </c>
      <c r="Y24" s="195"/>
      <c r="Z24" s="195"/>
      <c r="AA24" s="195"/>
      <c r="AB24" s="195"/>
      <c r="AC24" s="195"/>
      <c r="AD24" s="195"/>
      <c r="AE24" s="195"/>
      <c r="AF24" s="195"/>
      <c r="AG24" s="223"/>
      <c r="AH24" s="280">
        <f t="shared" si="3"/>
        <v>7.898333333</v>
      </c>
    </row>
    <row r="25" ht="15.75" customHeight="1">
      <c r="A25" s="263" t="str">
        <f>INSTITUTO!A25</f>
        <v>ACT</v>
      </c>
      <c r="B25" s="264">
        <f>INSTITUTO!B25</f>
        <v>16</v>
      </c>
      <c r="C25" s="265" t="str">
        <f>INSTITUTO!C25</f>
        <v>González Perdomo, Jonathan Vladimir</v>
      </c>
      <c r="D25" s="266">
        <f>IFERROR(__xludf.DUMMYFUNCTION("+'EVALUACIÓN'!Q25"),7.0600000000000005)</f>
        <v>7.06</v>
      </c>
      <c r="E25" s="6"/>
      <c r="F25" s="267"/>
      <c r="G25" s="266">
        <f>IFERROR(__xludf.DUMMYFUNCTION("+'EVALUACIÓN'!AC25"),7.6)</f>
        <v>7.6</v>
      </c>
      <c r="H25" s="6"/>
      <c r="I25" s="267"/>
      <c r="J25" s="266">
        <f>IFERROR(__xludf.DUMMYFUNCTION("+'EVALUACIÓN'!AO25"),7.75)</f>
        <v>7.75</v>
      </c>
      <c r="K25" s="6"/>
      <c r="L25" s="267"/>
      <c r="M25" s="281"/>
      <c r="N25" s="269">
        <f t="shared" si="1"/>
        <v>7.47</v>
      </c>
      <c r="O25" s="282">
        <v>7.0</v>
      </c>
      <c r="P25" s="283"/>
      <c r="Q25" s="282">
        <v>8.0</v>
      </c>
      <c r="R25" s="283"/>
      <c r="S25" s="282">
        <v>8.0</v>
      </c>
      <c r="T25" s="283"/>
      <c r="U25" s="273">
        <v>8.0</v>
      </c>
      <c r="V25" s="273" t="str">
        <f t="shared" si="4"/>
        <v/>
      </c>
      <c r="W25" s="284" t="str">
        <f>'EVALUACIÓN'!AP25</f>
        <v>SUPERADO</v>
      </c>
      <c r="X25" s="294" t="s">
        <v>78</v>
      </c>
      <c r="Y25" s="190"/>
      <c r="Z25" s="295"/>
      <c r="AA25" s="296" t="s">
        <v>79</v>
      </c>
      <c r="AB25" s="297" t="s">
        <v>80</v>
      </c>
      <c r="AC25" s="184"/>
      <c r="AD25" s="184"/>
      <c r="AE25" s="184"/>
      <c r="AF25" s="184"/>
      <c r="AG25" s="279"/>
      <c r="AH25" s="280">
        <f t="shared" si="3"/>
        <v>7.47</v>
      </c>
    </row>
    <row r="26" ht="15.75" customHeight="1">
      <c r="A26" s="263" t="str">
        <f>INSTITUTO!A26</f>
        <v>ACT</v>
      </c>
      <c r="B26" s="264">
        <f>INSTITUTO!B26</f>
        <v>17</v>
      </c>
      <c r="C26" s="265" t="str">
        <f>INSTITUTO!C26</f>
        <v>Jiménez Hernández, Jesús</v>
      </c>
      <c r="D26" s="266">
        <f>IFERROR(__xludf.DUMMYFUNCTION("+'EVALUACIÓN'!Q26"),7.07)</f>
        <v>7.07</v>
      </c>
      <c r="E26" s="6"/>
      <c r="F26" s="267"/>
      <c r="G26" s="266">
        <f>IFERROR(__xludf.DUMMYFUNCTION("+'EVALUACIÓN'!AC26"),8.065000000000001)</f>
        <v>8.065</v>
      </c>
      <c r="H26" s="6"/>
      <c r="I26" s="267"/>
      <c r="J26" s="266">
        <f>IFERROR(__xludf.DUMMYFUNCTION("+'EVALUACIÓN'!AO26"),6.26)</f>
        <v>6.26</v>
      </c>
      <c r="K26" s="6"/>
      <c r="L26" s="267"/>
      <c r="M26" s="281"/>
      <c r="N26" s="269">
        <f t="shared" si="1"/>
        <v>7.131666667</v>
      </c>
      <c r="O26" s="282">
        <v>7.0</v>
      </c>
      <c r="P26" s="283"/>
      <c r="Q26" s="282">
        <v>8.0</v>
      </c>
      <c r="R26" s="283"/>
      <c r="S26" s="282">
        <v>6.0</v>
      </c>
      <c r="T26" s="283"/>
      <c r="U26" s="273">
        <v>7.0</v>
      </c>
      <c r="V26" s="273" t="str">
        <f t="shared" si="4"/>
        <v/>
      </c>
      <c r="W26" s="284" t="str">
        <f>'EVALUACIÓN'!AP26</f>
        <v>SUPERADO</v>
      </c>
      <c r="X26" s="276" t="s">
        <v>57</v>
      </c>
      <c r="AA26" s="277">
        <f>COUNTIF(J10:J44,"&lt;5")-COUNTIF(J10:J44,"-0")</f>
        <v>0</v>
      </c>
      <c r="AB26" s="278">
        <f>AA26/AA31</f>
        <v>0</v>
      </c>
      <c r="AC26" s="184"/>
      <c r="AD26" s="184"/>
      <c r="AE26" s="184"/>
      <c r="AF26" s="184"/>
      <c r="AG26" s="279"/>
      <c r="AH26" s="280">
        <f t="shared" si="3"/>
        <v>7.131666667</v>
      </c>
    </row>
    <row r="27" ht="15.75" customHeight="1">
      <c r="A27" s="263" t="str">
        <f>INSTITUTO!A27</f>
        <v>ACT</v>
      </c>
      <c r="B27" s="264">
        <f>INSTITUTO!B27</f>
        <v>18</v>
      </c>
      <c r="C27" s="265" t="str">
        <f>INSTITUTO!C27</f>
        <v>Martel León, Antonio</v>
      </c>
      <c r="D27" s="266">
        <f>IFERROR(__xludf.DUMMYFUNCTION("+'EVALUACIÓN'!Q27"),5.449999999999999)</f>
        <v>5.45</v>
      </c>
      <c r="E27" s="6"/>
      <c r="F27" s="267"/>
      <c r="G27" s="266">
        <f>IFERROR(__xludf.DUMMYFUNCTION("+'EVALUACIÓN'!AC27"),6.3)</f>
        <v>6.3</v>
      </c>
      <c r="H27" s="6"/>
      <c r="I27" s="267"/>
      <c r="J27" s="266">
        <f>IFERROR(__xludf.DUMMYFUNCTION("+'EVALUACIÓN'!AO27"),7.975)</f>
        <v>7.975</v>
      </c>
      <c r="K27" s="6"/>
      <c r="L27" s="267"/>
      <c r="M27" s="281"/>
      <c r="N27" s="269">
        <f t="shared" si="1"/>
        <v>6.575</v>
      </c>
      <c r="O27" s="282">
        <v>5.0</v>
      </c>
      <c r="P27" s="283"/>
      <c r="Q27" s="282">
        <v>6.0</v>
      </c>
      <c r="R27" s="283"/>
      <c r="S27" s="282">
        <v>8.0</v>
      </c>
      <c r="T27" s="283"/>
      <c r="U27" s="273">
        <v>7.0</v>
      </c>
      <c r="V27" s="273" t="str">
        <f t="shared" si="4"/>
        <v/>
      </c>
      <c r="W27" s="284" t="str">
        <f>'EVALUACIÓN'!AP27</f>
        <v>SUPERADO</v>
      </c>
      <c r="X27" s="276" t="s">
        <v>58</v>
      </c>
      <c r="AA27" s="277">
        <f>COUNTIF(J10:J44,"&lt;7")-COUNTIF(J10:J44,"&lt;5")</f>
        <v>5</v>
      </c>
      <c r="AB27" s="278">
        <f>AA27/AA31</f>
        <v>0.1785714286</v>
      </c>
      <c r="AC27" s="184"/>
      <c r="AD27" s="184"/>
      <c r="AE27" s="184"/>
      <c r="AF27" s="184"/>
      <c r="AG27" s="279"/>
      <c r="AH27" s="280">
        <f t="shared" si="3"/>
        <v>6.575</v>
      </c>
    </row>
    <row r="28" ht="15.75" customHeight="1">
      <c r="A28" s="263" t="str">
        <f>INSTITUTO!A28</f>
        <v>ACT</v>
      </c>
      <c r="B28" s="264">
        <f>INSTITUTO!B28</f>
        <v>19</v>
      </c>
      <c r="C28" s="265" t="str">
        <f>INSTITUTO!C28</f>
        <v>Montero Gutiérrez, Sergio</v>
      </c>
      <c r="D28" s="266">
        <f>IFERROR(__xludf.DUMMYFUNCTION("+'EVALUACIÓN'!Q28"),8.63)</f>
        <v>8.63</v>
      </c>
      <c r="E28" s="6"/>
      <c r="F28" s="267"/>
      <c r="G28" s="266">
        <f>IFERROR(__xludf.DUMMYFUNCTION("+'EVALUACIÓN'!AC28"),7.46)</f>
        <v>7.46</v>
      </c>
      <c r="H28" s="6"/>
      <c r="I28" s="267"/>
      <c r="J28" s="266">
        <f>IFERROR(__xludf.DUMMYFUNCTION("+'EVALUACIÓN'!AO28"),8.5)</f>
        <v>8.5</v>
      </c>
      <c r="K28" s="6"/>
      <c r="L28" s="267"/>
      <c r="M28" s="281"/>
      <c r="N28" s="269">
        <f t="shared" si="1"/>
        <v>8.196666667</v>
      </c>
      <c r="O28" s="282">
        <v>9.0</v>
      </c>
      <c r="P28" s="283"/>
      <c r="Q28" s="282">
        <v>8.0</v>
      </c>
      <c r="R28" s="283"/>
      <c r="S28" s="282">
        <v>9.0</v>
      </c>
      <c r="T28" s="283"/>
      <c r="U28" s="273">
        <v>8.0</v>
      </c>
      <c r="V28" s="273" t="str">
        <f t="shared" si="4"/>
        <v/>
      </c>
      <c r="W28" s="284" t="str">
        <f>'EVALUACIÓN'!AP28</f>
        <v>SUPERADO</v>
      </c>
      <c r="X28" s="276" t="s">
        <v>59</v>
      </c>
      <c r="AA28" s="277">
        <f>COUNTIF(J10:J44,"&lt;8")-COUNTIF(J10:J44,"&lt;7")</f>
        <v>13</v>
      </c>
      <c r="AB28" s="278">
        <f>AA28/AA31</f>
        <v>0.4642857143</v>
      </c>
      <c r="AC28" s="184"/>
      <c r="AD28" s="184"/>
      <c r="AE28" s="184"/>
      <c r="AF28" s="184"/>
      <c r="AG28" s="279"/>
      <c r="AH28" s="280">
        <f t="shared" si="3"/>
        <v>8.196666667</v>
      </c>
    </row>
    <row r="29" ht="15.75" customHeight="1">
      <c r="A29" s="263" t="str">
        <f>INSTITUTO!A29</f>
        <v>ACT</v>
      </c>
      <c r="B29" s="264">
        <f>INSTITUTO!B29</f>
        <v>20</v>
      </c>
      <c r="C29" s="265" t="str">
        <f>INSTITUTO!C29</f>
        <v>Montero Ramos, Manuel</v>
      </c>
      <c r="D29" s="266">
        <f>IFERROR(__xludf.DUMMYFUNCTION("+'EVALUACIÓN'!Q29"),7.9399999999999995)</f>
        <v>7.94</v>
      </c>
      <c r="E29" s="6"/>
      <c r="F29" s="267"/>
      <c r="G29" s="266">
        <f>IFERROR(__xludf.DUMMYFUNCTION("+'EVALUACIÓN'!AC29"),8.65)</f>
        <v>8.65</v>
      </c>
      <c r="H29" s="6"/>
      <c r="I29" s="267"/>
      <c r="J29" s="266">
        <f>IFERROR(__xludf.DUMMYFUNCTION("+'EVALUACIÓN'!AO29"),7.779999999999999)</f>
        <v>7.78</v>
      </c>
      <c r="K29" s="6"/>
      <c r="L29" s="267"/>
      <c r="M29" s="281"/>
      <c r="N29" s="269">
        <f t="shared" si="1"/>
        <v>8.123333333</v>
      </c>
      <c r="O29" s="282">
        <v>8.0</v>
      </c>
      <c r="P29" s="283"/>
      <c r="Q29" s="282">
        <v>9.0</v>
      </c>
      <c r="R29" s="283"/>
      <c r="S29" s="282">
        <v>8.0</v>
      </c>
      <c r="T29" s="283"/>
      <c r="U29" s="273">
        <v>8.0</v>
      </c>
      <c r="V29" s="273" t="str">
        <f t="shared" si="4"/>
        <v/>
      </c>
      <c r="W29" s="284" t="str">
        <f>'EVALUACIÓN'!AP29</f>
        <v>SUPERADO</v>
      </c>
      <c r="X29" s="276" t="s">
        <v>60</v>
      </c>
      <c r="AA29" s="277">
        <f>COUNTIF(J10:J44,"&lt;9")-COUNTIF(J10:J44,"&lt;8")</f>
        <v>7</v>
      </c>
      <c r="AB29" s="278">
        <f>AA29/AA31</f>
        <v>0.25</v>
      </c>
      <c r="AC29" s="184"/>
      <c r="AD29" s="184"/>
      <c r="AE29" s="184"/>
      <c r="AF29" s="184"/>
      <c r="AG29" s="279"/>
      <c r="AH29" s="298">
        <f t="shared" si="3"/>
        <v>8.123333333</v>
      </c>
    </row>
    <row r="30" ht="15.75" customHeight="1">
      <c r="A30" s="263" t="str">
        <f>INSTITUTO!A30</f>
        <v>ACT</v>
      </c>
      <c r="B30" s="264">
        <f>INSTITUTO!B30</f>
        <v>21</v>
      </c>
      <c r="C30" s="265" t="str">
        <f>INSTITUTO!C30</f>
        <v>Murillo Villar, Javier</v>
      </c>
      <c r="D30" s="266">
        <f>IFERROR(__xludf.DUMMYFUNCTION("+'EVALUACIÓN'!Q30"),7.65)</f>
        <v>7.65</v>
      </c>
      <c r="E30" s="6"/>
      <c r="F30" s="267"/>
      <c r="G30" s="266">
        <f>IFERROR(__xludf.DUMMYFUNCTION("+'EVALUACIÓN'!AC30"),8.71)</f>
        <v>8.71</v>
      </c>
      <c r="H30" s="6"/>
      <c r="I30" s="267"/>
      <c r="J30" s="266">
        <f>IFERROR(__xludf.DUMMYFUNCTION("+'EVALUACIÓN'!AO30"),8.77)</f>
        <v>8.77</v>
      </c>
      <c r="K30" s="6"/>
      <c r="L30" s="267"/>
      <c r="M30" s="281"/>
      <c r="N30" s="269">
        <f t="shared" si="1"/>
        <v>8.376666667</v>
      </c>
      <c r="O30" s="282">
        <v>8.0</v>
      </c>
      <c r="P30" s="283"/>
      <c r="Q30" s="282">
        <v>9.0</v>
      </c>
      <c r="R30" s="283"/>
      <c r="S30" s="282">
        <v>9.0</v>
      </c>
      <c r="T30" s="283"/>
      <c r="U30" s="273">
        <v>8.0</v>
      </c>
      <c r="V30" s="273" t="str">
        <f t="shared" si="4"/>
        <v/>
      </c>
      <c r="W30" s="284" t="str">
        <f>'EVALUACIÓN'!AP30</f>
        <v>SUPERADO</v>
      </c>
      <c r="X30" s="285" t="s">
        <v>61</v>
      </c>
      <c r="Y30" s="190"/>
      <c r="Z30" s="190"/>
      <c r="AA30" s="286">
        <f>COUNTIF(J10:J44,"&lt;=10")-COUNTIF(J10:J44,"&lt;9")</f>
        <v>3</v>
      </c>
      <c r="AB30" s="287">
        <f>AA30/AA31</f>
        <v>0.1071428571</v>
      </c>
      <c r="AC30" s="184"/>
      <c r="AD30" s="184"/>
      <c r="AE30" s="184"/>
      <c r="AF30" s="184"/>
      <c r="AG30" s="279"/>
      <c r="AH30" s="280">
        <f t="shared" si="3"/>
        <v>8.376666667</v>
      </c>
    </row>
    <row r="31" ht="15.75" customHeight="1">
      <c r="A31" s="263" t="str">
        <f>INSTITUTO!A31</f>
        <v>ACT</v>
      </c>
      <c r="B31" s="264">
        <f>INSTITUTO!B31</f>
        <v>22</v>
      </c>
      <c r="C31" s="265" t="str">
        <f>INSTITUTO!C31</f>
        <v>Pérez del Saz, Juan Ángel</v>
      </c>
      <c r="D31" s="266">
        <f>IFERROR(__xludf.DUMMYFUNCTION("+'EVALUACIÓN'!Q31"),5.4399999999999995)</f>
        <v>5.44</v>
      </c>
      <c r="E31" s="6"/>
      <c r="F31" s="267"/>
      <c r="G31" s="266">
        <f>IFERROR(__xludf.DUMMYFUNCTION("+'EVALUACIÓN'!AC31"),7.25)</f>
        <v>7.25</v>
      </c>
      <c r="H31" s="6"/>
      <c r="I31" s="267"/>
      <c r="J31" s="266">
        <f>IFERROR(__xludf.DUMMYFUNCTION("+'EVALUACIÓN'!AO31"),5.99)</f>
        <v>5.99</v>
      </c>
      <c r="K31" s="6"/>
      <c r="L31" s="267"/>
      <c r="M31" s="281"/>
      <c r="N31" s="269">
        <f t="shared" si="1"/>
        <v>6.226666667</v>
      </c>
      <c r="O31" s="282">
        <v>5.0</v>
      </c>
      <c r="P31" s="283"/>
      <c r="Q31" s="282">
        <v>7.0</v>
      </c>
      <c r="R31" s="283"/>
      <c r="S31" s="282">
        <v>6.0</v>
      </c>
      <c r="T31" s="283"/>
      <c r="U31" s="273">
        <v>6.0</v>
      </c>
      <c r="V31" s="273" t="str">
        <f t="shared" si="4"/>
        <v/>
      </c>
      <c r="W31" s="284" t="str">
        <f>'EVALUACIÓN'!AP31</f>
        <v>SUPERADO</v>
      </c>
      <c r="X31" s="299" t="s">
        <v>84</v>
      </c>
      <c r="Y31" s="300"/>
      <c r="Z31" s="300"/>
      <c r="AA31" s="290">
        <f t="shared" ref="AA31:AB31" si="7">SUM(AA26:AA30)</f>
        <v>28</v>
      </c>
      <c r="AB31" s="291">
        <f t="shared" si="7"/>
        <v>1</v>
      </c>
      <c r="AC31" s="184"/>
      <c r="AD31" s="184"/>
      <c r="AE31" s="184"/>
      <c r="AF31" s="184"/>
      <c r="AG31" s="279"/>
      <c r="AH31" s="280">
        <f t="shared" si="3"/>
        <v>6.226666667</v>
      </c>
    </row>
    <row r="32" ht="15.75" customHeight="1">
      <c r="A32" s="263" t="str">
        <f>INSTITUTO!A32</f>
        <v>ACT</v>
      </c>
      <c r="B32" s="264">
        <f>INSTITUTO!B32</f>
        <v>23</v>
      </c>
      <c r="C32" s="265" t="str">
        <f>INSTITUTO!C32</f>
        <v>Ramírez Pérez, Daniel</v>
      </c>
      <c r="D32" s="266">
        <f>IFERROR(__xludf.DUMMYFUNCTION("+'EVALUACIÓN'!Q32"),5.56)</f>
        <v>5.56</v>
      </c>
      <c r="E32" s="6"/>
      <c r="F32" s="267"/>
      <c r="G32" s="266">
        <f>IFERROR(__xludf.DUMMYFUNCTION("+'EVALUACIÓN'!AC32"),5.58)</f>
        <v>5.58</v>
      </c>
      <c r="H32" s="6"/>
      <c r="I32" s="267"/>
      <c r="J32" s="266">
        <f>IFERROR(__xludf.DUMMYFUNCTION("+'EVALUACIÓN'!AO32"),8.2)</f>
        <v>8.2</v>
      </c>
      <c r="K32" s="6"/>
      <c r="L32" s="267"/>
      <c r="M32" s="281"/>
      <c r="N32" s="269">
        <f t="shared" si="1"/>
        <v>6.446666667</v>
      </c>
      <c r="O32" s="282">
        <v>6.0</v>
      </c>
      <c r="P32" s="283"/>
      <c r="Q32" s="282">
        <v>6.0</v>
      </c>
      <c r="R32" s="283"/>
      <c r="S32" s="282">
        <v>8.0</v>
      </c>
      <c r="T32" s="283"/>
      <c r="U32" s="273">
        <v>7.0</v>
      </c>
      <c r="V32" s="273" t="str">
        <f t="shared" si="4"/>
        <v/>
      </c>
      <c r="W32" s="284" t="str">
        <f>'EVALUACIÓN'!AP32</f>
        <v>SUPERADO</v>
      </c>
      <c r="X32" s="294" t="s">
        <v>5</v>
      </c>
      <c r="Y32" s="190"/>
      <c r="Z32" s="190"/>
      <c r="AA32" s="190"/>
      <c r="AB32" s="190"/>
      <c r="AC32" s="190"/>
      <c r="AD32" s="190"/>
      <c r="AE32" s="190"/>
      <c r="AF32" s="190"/>
      <c r="AG32" s="295"/>
      <c r="AH32" s="280">
        <f t="shared" si="3"/>
        <v>6.446666667</v>
      </c>
    </row>
    <row r="33" ht="15.75" customHeight="1">
      <c r="A33" s="263" t="str">
        <f>INSTITUTO!A33</f>
        <v>ACT</v>
      </c>
      <c r="B33" s="264">
        <f>INSTITUTO!B33</f>
        <v>24</v>
      </c>
      <c r="C33" s="265" t="str">
        <f>INSTITUTO!C33</f>
        <v>Ramos De la Rosa, Rafael</v>
      </c>
      <c r="D33" s="266">
        <f>IFERROR(__xludf.DUMMYFUNCTION("+'EVALUACIÓN'!Q33"),6.390000000000001)</f>
        <v>6.39</v>
      </c>
      <c r="E33" s="6"/>
      <c r="F33" s="267"/>
      <c r="G33" s="266">
        <f>IFERROR(__xludf.DUMMYFUNCTION("+'EVALUACIÓN'!AC33"),6.33)</f>
        <v>6.33</v>
      </c>
      <c r="H33" s="6"/>
      <c r="I33" s="267"/>
      <c r="J33" s="266">
        <f>IFERROR(__xludf.DUMMYFUNCTION("+'EVALUACIÓN'!AO33"),8.5)</f>
        <v>8.5</v>
      </c>
      <c r="K33" s="6"/>
      <c r="L33" s="267"/>
      <c r="M33" s="281"/>
      <c r="N33" s="269">
        <f t="shared" si="1"/>
        <v>7.073333333</v>
      </c>
      <c r="O33" s="282">
        <v>6.0</v>
      </c>
      <c r="P33" s="283"/>
      <c r="Q33" s="282">
        <v>6.0</v>
      </c>
      <c r="R33" s="283"/>
      <c r="S33" s="282">
        <v>9.0</v>
      </c>
      <c r="T33" s="283"/>
      <c r="U33" s="273">
        <v>7.0</v>
      </c>
      <c r="V33" s="273" t="str">
        <f t="shared" si="4"/>
        <v/>
      </c>
      <c r="W33" s="284" t="str">
        <f>'EVALUACIÓN'!AP33</f>
        <v>SUPERADO</v>
      </c>
      <c r="X33" s="294" t="s">
        <v>78</v>
      </c>
      <c r="Y33" s="190"/>
      <c r="Z33" s="190"/>
      <c r="AA33" s="296" t="s">
        <v>79</v>
      </c>
      <c r="AB33" s="297" t="s">
        <v>80</v>
      </c>
      <c r="AC33" s="184"/>
      <c r="AD33" s="184"/>
      <c r="AE33" s="184"/>
      <c r="AF33" s="184"/>
      <c r="AG33" s="279"/>
      <c r="AH33" s="280">
        <f t="shared" si="3"/>
        <v>7.073333333</v>
      </c>
    </row>
    <row r="34" ht="15.75" customHeight="1">
      <c r="A34" s="263" t="str">
        <f>INSTITUTO!A34</f>
        <v>ACT</v>
      </c>
      <c r="B34" s="264">
        <f>INSTITUTO!B34</f>
        <v>25</v>
      </c>
      <c r="C34" s="265" t="str">
        <f>INSTITUTO!C34</f>
        <v>Rodríguez Barrios, Manuel</v>
      </c>
      <c r="D34" s="266">
        <f>IFERROR(__xludf.DUMMYFUNCTION("+'EVALUACIÓN'!Q34"),7.969999999999999)</f>
        <v>7.97</v>
      </c>
      <c r="E34" s="6"/>
      <c r="F34" s="267"/>
      <c r="G34" s="266">
        <f>IFERROR(__xludf.DUMMYFUNCTION("+'EVALUACIÓN'!AC34"),9.35)</f>
        <v>9.35</v>
      </c>
      <c r="H34" s="6"/>
      <c r="I34" s="267"/>
      <c r="J34" s="266">
        <f>IFERROR(__xludf.DUMMYFUNCTION("+'EVALUACIÓN'!AO34"),9.55)</f>
        <v>9.55</v>
      </c>
      <c r="K34" s="6"/>
      <c r="L34" s="267"/>
      <c r="M34" s="268">
        <v>10.0</v>
      </c>
      <c r="N34" s="269">
        <f t="shared" si="1"/>
        <v>9.956666667</v>
      </c>
      <c r="O34" s="282">
        <v>8.0</v>
      </c>
      <c r="P34" s="283"/>
      <c r="Q34" s="282">
        <v>10.0</v>
      </c>
      <c r="R34" s="283"/>
      <c r="S34" s="282">
        <v>10.0</v>
      </c>
      <c r="T34" s="283"/>
      <c r="U34" s="273">
        <v>10.0</v>
      </c>
      <c r="V34" s="273" t="str">
        <f t="shared" si="4"/>
        <v/>
      </c>
      <c r="W34" s="284" t="str">
        <f>'EVALUACIÓN'!AP34</f>
        <v>SUPERADO</v>
      </c>
      <c r="X34" s="276" t="s">
        <v>57</v>
      </c>
      <c r="AA34" s="301">
        <f>COUNTIF(N10:N44,"&lt;5")-COUNTIF(N10:N44,"-0")</f>
        <v>1</v>
      </c>
      <c r="AB34" s="278">
        <f>AA34/AA39</f>
        <v>0.03448275862</v>
      </c>
      <c r="AC34" s="184"/>
      <c r="AD34" s="184"/>
      <c r="AE34" s="184"/>
      <c r="AF34" s="184"/>
      <c r="AG34" s="279"/>
      <c r="AH34" s="280">
        <f t="shared" si="3"/>
        <v>9.956666667</v>
      </c>
    </row>
    <row r="35" ht="15.75" customHeight="1">
      <c r="A35" s="263" t="str">
        <f>INSTITUTO!A35</f>
        <v>ACT</v>
      </c>
      <c r="B35" s="264">
        <f>INSTITUTO!B35</f>
        <v>26</v>
      </c>
      <c r="C35" s="265" t="str">
        <f>INSTITUTO!C35</f>
        <v>Ruiz Franco, Arturo</v>
      </c>
      <c r="D35" s="266">
        <f>IFERROR(__xludf.DUMMYFUNCTION("+'EVALUACIÓN'!Q35"),7.479999999999999)</f>
        <v>7.48</v>
      </c>
      <c r="E35" s="6"/>
      <c r="F35" s="267"/>
      <c r="G35" s="266">
        <f>IFERROR(__xludf.DUMMYFUNCTION("+'EVALUACIÓN'!AC35"),7.415)</f>
        <v>7.415</v>
      </c>
      <c r="H35" s="6"/>
      <c r="I35" s="267"/>
      <c r="J35" s="266">
        <f>IFERROR(__xludf.DUMMYFUNCTION("+'EVALUACIÓN'!AO35"),7.8999999999999995)</f>
        <v>7.9</v>
      </c>
      <c r="K35" s="6"/>
      <c r="L35" s="267"/>
      <c r="M35" s="281"/>
      <c r="N35" s="269">
        <f t="shared" si="1"/>
        <v>7.598333333</v>
      </c>
      <c r="O35" s="282">
        <v>8.0</v>
      </c>
      <c r="P35" s="283"/>
      <c r="Q35" s="282">
        <v>7.0</v>
      </c>
      <c r="R35" s="283"/>
      <c r="S35" s="282">
        <v>8.0</v>
      </c>
      <c r="T35" s="283"/>
      <c r="U35" s="273">
        <v>8.0</v>
      </c>
      <c r="V35" s="273" t="str">
        <f t="shared" si="4"/>
        <v/>
      </c>
      <c r="W35" s="284" t="str">
        <f>'EVALUACIÓN'!AP35</f>
        <v>SUPERADO</v>
      </c>
      <c r="X35" s="276" t="s">
        <v>58</v>
      </c>
      <c r="AA35" s="301">
        <f>COUNTIF(N10:N44,"&lt;7")-COUNTIF(N10:N44,"&lt;5")</f>
        <v>9</v>
      </c>
      <c r="AB35" s="278">
        <f>AA35/AA39</f>
        <v>0.3103448276</v>
      </c>
      <c r="AC35" s="184"/>
      <c r="AD35" s="184"/>
      <c r="AE35" s="184"/>
      <c r="AF35" s="184"/>
      <c r="AG35" s="279"/>
      <c r="AH35" s="280">
        <f t="shared" si="3"/>
        <v>7.598333333</v>
      </c>
    </row>
    <row r="36" ht="15.75" customHeight="1">
      <c r="A36" s="263" t="str">
        <f>INSTITUTO!A36</f>
        <v>ACT</v>
      </c>
      <c r="B36" s="264">
        <f>INSTITUTO!B36</f>
        <v>27</v>
      </c>
      <c r="C36" s="265" t="str">
        <f>INSTITUTO!C36</f>
        <v>Ruiz Ridao, Cristina</v>
      </c>
      <c r="D36" s="266">
        <f>IFERROR(__xludf.DUMMYFUNCTION("+'EVALUACIÓN'!Q36"),7.839999999999999)</f>
        <v>7.84</v>
      </c>
      <c r="E36" s="6"/>
      <c r="F36" s="267"/>
      <c r="G36" s="266">
        <f>IFERROR(__xludf.DUMMYFUNCTION("+'EVALUACIÓN'!AC36"),8.8)</f>
        <v>8.8</v>
      </c>
      <c r="H36" s="6"/>
      <c r="I36" s="267"/>
      <c r="J36" s="266">
        <f>IFERROR(__xludf.DUMMYFUNCTION("+'EVALUACIÓN'!AO36"),7.825)</f>
        <v>7.825</v>
      </c>
      <c r="K36" s="6"/>
      <c r="L36" s="267"/>
      <c r="M36" s="281"/>
      <c r="N36" s="269">
        <f t="shared" si="1"/>
        <v>8.155</v>
      </c>
      <c r="O36" s="282">
        <v>8.0</v>
      </c>
      <c r="P36" s="283"/>
      <c r="Q36" s="282">
        <v>9.0</v>
      </c>
      <c r="R36" s="283"/>
      <c r="S36" s="282">
        <v>8.0</v>
      </c>
      <c r="T36" s="283"/>
      <c r="U36" s="273">
        <v>8.0</v>
      </c>
      <c r="V36" s="273" t="str">
        <f t="shared" si="4"/>
        <v/>
      </c>
      <c r="W36" s="284" t="str">
        <f>'EVALUACIÓN'!AP36</f>
        <v>SUPERADO</v>
      </c>
      <c r="X36" s="276" t="s">
        <v>59</v>
      </c>
      <c r="AA36" s="301">
        <f>COUNTIF(N10:N44,"&lt;8")-COUNTIF(N10:N44,"&lt;7")</f>
        <v>10</v>
      </c>
      <c r="AB36" s="278">
        <f>AA36/AA39</f>
        <v>0.3448275862</v>
      </c>
      <c r="AC36" s="184"/>
      <c r="AD36" s="184"/>
      <c r="AE36" s="184"/>
      <c r="AF36" s="184"/>
      <c r="AG36" s="279"/>
      <c r="AH36" s="280">
        <f t="shared" si="3"/>
        <v>8.155</v>
      </c>
    </row>
    <row r="37" ht="15.75" customHeight="1">
      <c r="A37" s="263" t="str">
        <f>INSTITUTO!A37</f>
        <v>ACT</v>
      </c>
      <c r="B37" s="264">
        <f>INSTITUTO!B37</f>
        <v>28</v>
      </c>
      <c r="C37" s="265" t="str">
        <f>INSTITUTO!C37</f>
        <v>Salcedo Peñalosa, Pablo</v>
      </c>
      <c r="D37" s="266">
        <f>IFERROR(__xludf.DUMMYFUNCTION("+'EVALUACIÓN'!Q37"),7.469999999999999)</f>
        <v>7.47</v>
      </c>
      <c r="E37" s="6"/>
      <c r="F37" s="267"/>
      <c r="G37" s="266">
        <f>IFERROR(__xludf.DUMMYFUNCTION("+'EVALUACIÓN'!AC37"),5.715)</f>
        <v>5.715</v>
      </c>
      <c r="H37" s="6"/>
      <c r="I37" s="267"/>
      <c r="J37" s="266">
        <f>IFERROR(__xludf.DUMMYFUNCTION("+'EVALUACIÓN'!AO37"),7.075)</f>
        <v>7.075</v>
      </c>
      <c r="K37" s="6"/>
      <c r="L37" s="267"/>
      <c r="M37" s="281"/>
      <c r="N37" s="269">
        <f t="shared" si="1"/>
        <v>6.753333333</v>
      </c>
      <c r="O37" s="282">
        <v>8.0</v>
      </c>
      <c r="P37" s="283"/>
      <c r="Q37" s="282">
        <v>6.0</v>
      </c>
      <c r="R37" s="283"/>
      <c r="S37" s="282">
        <v>7.0</v>
      </c>
      <c r="T37" s="283"/>
      <c r="U37" s="273">
        <v>7.0</v>
      </c>
      <c r="V37" s="273" t="str">
        <f t="shared" si="4"/>
        <v/>
      </c>
      <c r="W37" s="284" t="str">
        <f>'EVALUACIÓN'!AP37</f>
        <v>SUPERADO</v>
      </c>
      <c r="X37" s="276" t="s">
        <v>60</v>
      </c>
      <c r="AA37" s="301">
        <f>COUNTIF(N10:N44,"&lt;9")-COUNTIF(N10:N44,"&lt;8")</f>
        <v>8</v>
      </c>
      <c r="AB37" s="278">
        <f>AA37/AA39</f>
        <v>0.275862069</v>
      </c>
      <c r="AC37" s="184"/>
      <c r="AD37" s="184"/>
      <c r="AE37" s="184"/>
      <c r="AF37" s="184"/>
      <c r="AG37" s="279"/>
      <c r="AH37" s="298">
        <f t="shared" si="3"/>
        <v>6.753333333</v>
      </c>
    </row>
    <row r="38" ht="15.75" customHeight="1">
      <c r="A38" s="263" t="str">
        <f>INSTITUTO!A38</f>
        <v>ACT</v>
      </c>
      <c r="B38" s="264">
        <f>INSTITUTO!B38</f>
        <v>29</v>
      </c>
      <c r="C38" s="265" t="str">
        <f>INSTITUTO!C38</f>
        <v>Segura Díaz, Esteban</v>
      </c>
      <c r="D38" s="266">
        <f>IFERROR(__xludf.DUMMYFUNCTION("+'EVALUACIÓN'!Q38"),8.04)</f>
        <v>8.04</v>
      </c>
      <c r="E38" s="6"/>
      <c r="F38" s="267"/>
      <c r="G38" s="266">
        <f>IFERROR(__xludf.DUMMYFUNCTION("+'EVALUACIÓN'!AC38"),6.63)</f>
        <v>6.63</v>
      </c>
      <c r="H38" s="6"/>
      <c r="I38" s="267"/>
      <c r="J38" s="266">
        <f>IFERROR(__xludf.DUMMYFUNCTION("+'EVALUACIÓN'!AO38"),7.0249999999999995)</f>
        <v>7.025</v>
      </c>
      <c r="K38" s="6"/>
      <c r="L38" s="267"/>
      <c r="M38" s="281"/>
      <c r="N38" s="269">
        <f t="shared" si="1"/>
        <v>7.231666667</v>
      </c>
      <c r="O38" s="282">
        <v>8.0</v>
      </c>
      <c r="P38" s="283"/>
      <c r="Q38" s="282">
        <v>7.0</v>
      </c>
      <c r="R38" s="283"/>
      <c r="S38" s="282">
        <v>7.0</v>
      </c>
      <c r="T38" s="283"/>
      <c r="U38" s="273">
        <v>7.0</v>
      </c>
      <c r="V38" s="273" t="str">
        <f t="shared" si="4"/>
        <v/>
      </c>
      <c r="W38" s="284" t="str">
        <f>'EVALUACIÓN'!AP38</f>
        <v>SUPERADO</v>
      </c>
      <c r="X38" s="285" t="s">
        <v>61</v>
      </c>
      <c r="Y38" s="190"/>
      <c r="Z38" s="190"/>
      <c r="AA38" s="302">
        <f>COUNTIF(N10:N44,"&lt;=10")-COUNTIF(N10:N44,"&lt;9")</f>
        <v>1</v>
      </c>
      <c r="AB38" s="287">
        <f>AA38/AA39</f>
        <v>0.03448275862</v>
      </c>
      <c r="AC38" s="184"/>
      <c r="AD38" s="184"/>
      <c r="AE38" s="184"/>
      <c r="AF38" s="184"/>
      <c r="AG38" s="279"/>
      <c r="AH38" s="280">
        <f t="shared" si="3"/>
        <v>7.231666667</v>
      </c>
    </row>
    <row r="39" ht="15.75" customHeight="1">
      <c r="A39" s="263" t="str">
        <f>INSTITUTO!A39</f>
        <v>ACT</v>
      </c>
      <c r="B39" s="264">
        <f>INSTITUTO!B39</f>
        <v>30</v>
      </c>
      <c r="C39" s="265" t="str">
        <f>INSTITUTO!C39</f>
        <v/>
      </c>
      <c r="D39" s="266" t="str">
        <f>IFERROR(__xludf.DUMMYFUNCTION("+'EVALUACIÓN'!Q39"),"#DIV/0!")</f>
        <v>#DIV/0!</v>
      </c>
      <c r="E39" s="6"/>
      <c r="F39" s="267"/>
      <c r="G39" s="266">
        <f>IFERROR(__xludf.DUMMYFUNCTION("+'EVALUACIÓN'!AC39"),6.0)</f>
        <v>6</v>
      </c>
      <c r="H39" s="6"/>
      <c r="I39" s="267"/>
      <c r="J39" s="266" t="str">
        <f>IFERROR(__xludf.DUMMYFUNCTION("+'EVALUACIÓN'!AO39"),"#DIV/0!")</f>
        <v>#DIV/0!</v>
      </c>
      <c r="K39" s="6"/>
      <c r="L39" s="267"/>
      <c r="M39" s="281"/>
      <c r="N39" s="269" t="str">
        <f t="shared" si="1"/>
        <v>#DIV/0!</v>
      </c>
      <c r="O39" s="282"/>
      <c r="P39" s="283"/>
      <c r="Q39" s="282"/>
      <c r="R39" s="283"/>
      <c r="S39" s="282"/>
      <c r="T39" s="283"/>
      <c r="U39" s="273" t="str">
        <f t="shared" ref="U39:V39" si="8">IF(OR(O39="NE",Q39="NE",S39="NE"),"NE",)</f>
        <v/>
      </c>
      <c r="V39" s="273" t="str">
        <f t="shared" si="8"/>
        <v/>
      </c>
      <c r="W39" s="284" t="str">
        <f>'EVALUACIÓN'!AP39</f>
        <v/>
      </c>
      <c r="X39" s="303" t="s">
        <v>84</v>
      </c>
      <c r="Y39" s="242"/>
      <c r="Z39" s="242"/>
      <c r="AA39" s="304">
        <f t="shared" ref="AA39:AB39" si="9">SUM(AA34:AA38)</f>
        <v>29</v>
      </c>
      <c r="AB39" s="305">
        <f t="shared" si="9"/>
        <v>1</v>
      </c>
      <c r="AC39" s="306"/>
      <c r="AD39" s="306"/>
      <c r="AE39" s="306"/>
      <c r="AF39" s="306"/>
      <c r="AG39" s="307"/>
      <c r="AH39" s="280" t="str">
        <f t="shared" si="3"/>
        <v>#DIV/0!</v>
      </c>
    </row>
    <row r="40" ht="15.75" customHeight="1">
      <c r="A40" s="263" t="str">
        <f>INSTITUTO!A40</f>
        <v>ACT</v>
      </c>
      <c r="B40" s="264">
        <f>INSTITUTO!B40</f>
        <v>31</v>
      </c>
      <c r="C40" s="265" t="str">
        <f>INSTITUTO!C40</f>
        <v/>
      </c>
      <c r="D40" s="266" t="str">
        <f>IFERROR(__xludf.DUMMYFUNCTION("+'EVALUACIÓN'!Q40"),"#DIV/0!")</f>
        <v>#DIV/0!</v>
      </c>
      <c r="E40" s="6"/>
      <c r="F40" s="267"/>
      <c r="G40" s="266" t="str">
        <f>IFERROR(__xludf.DUMMYFUNCTION("+'EVALUACIÓN'!AC40"),"#DIV/0!")</f>
        <v>#DIV/0!</v>
      </c>
      <c r="H40" s="6"/>
      <c r="I40" s="267"/>
      <c r="J40" s="266" t="str">
        <f>IFERROR(__xludf.DUMMYFUNCTION("+'EVALUACIÓN'!AO40"),"#DIV/0!")</f>
        <v>#DIV/0!</v>
      </c>
      <c r="K40" s="6"/>
      <c r="L40" s="267"/>
      <c r="M40" s="281"/>
      <c r="N40" s="269" t="str">
        <f t="shared" si="1"/>
        <v>#DIV/0!</v>
      </c>
      <c r="O40" s="282"/>
      <c r="P40" s="283"/>
      <c r="Q40" s="282"/>
      <c r="R40" s="283"/>
      <c r="S40" s="282"/>
      <c r="T40" s="283"/>
      <c r="U40" s="273" t="str">
        <f t="shared" ref="U40:V40" si="10">IF(OR(O40="NE",Q40="NE",S40="NE"),"NE",)</f>
        <v/>
      </c>
      <c r="V40" s="273" t="str">
        <f t="shared" si="10"/>
        <v/>
      </c>
      <c r="W40" s="284" t="str">
        <f>'EVALUACIÓN'!AP40</f>
        <v/>
      </c>
      <c r="AH40" s="280" t="str">
        <f t="shared" si="3"/>
        <v>#DIV/0!</v>
      </c>
    </row>
    <row r="41" ht="15.75" customHeight="1">
      <c r="A41" s="263" t="str">
        <f>INSTITUTO!A41</f>
        <v>ACT</v>
      </c>
      <c r="B41" s="264">
        <f>INSTITUTO!B41</f>
        <v>32</v>
      </c>
      <c r="C41" s="265" t="str">
        <f>INSTITUTO!C41</f>
        <v/>
      </c>
      <c r="D41" s="266" t="str">
        <f>IFERROR(__xludf.DUMMYFUNCTION("+'EVALUACIÓN'!Q41"),"#DIV/0!")</f>
        <v>#DIV/0!</v>
      </c>
      <c r="E41" s="6"/>
      <c r="F41" s="267"/>
      <c r="G41" s="266" t="str">
        <f>IFERROR(__xludf.DUMMYFUNCTION("+'EVALUACIÓN'!AC41"),"#DIV/0!")</f>
        <v>#DIV/0!</v>
      </c>
      <c r="H41" s="6"/>
      <c r="I41" s="267"/>
      <c r="J41" s="266" t="str">
        <f>IFERROR(__xludf.DUMMYFUNCTION("+'EVALUACIÓN'!AO41"),"#DIV/0!")</f>
        <v>#DIV/0!</v>
      </c>
      <c r="K41" s="6"/>
      <c r="L41" s="267"/>
      <c r="M41" s="281"/>
      <c r="N41" s="269" t="str">
        <f t="shared" si="1"/>
        <v>#DIV/0!</v>
      </c>
      <c r="O41" s="282"/>
      <c r="P41" s="283"/>
      <c r="Q41" s="282"/>
      <c r="R41" s="283"/>
      <c r="S41" s="282"/>
      <c r="T41" s="283"/>
      <c r="U41" s="273" t="str">
        <f t="shared" ref="U41:V41" si="11">IF(OR(O41="NE",Q41="NE",S41="NE"),"NE",)</f>
        <v/>
      </c>
      <c r="V41" s="273" t="str">
        <f t="shared" si="11"/>
        <v/>
      </c>
      <c r="W41" s="284" t="str">
        <f>'EVALUACIÓN'!AP41</f>
        <v/>
      </c>
      <c r="AH41" s="280" t="str">
        <f t="shared" si="3"/>
        <v>#DIV/0!</v>
      </c>
    </row>
    <row r="42" ht="15.75" customHeight="1">
      <c r="A42" s="263" t="str">
        <f>INSTITUTO!A42</f>
        <v>ACT</v>
      </c>
      <c r="B42" s="264">
        <f>INSTITUTO!B42</f>
        <v>33</v>
      </c>
      <c r="C42" s="265" t="str">
        <f>INSTITUTO!C42</f>
        <v/>
      </c>
      <c r="D42" s="266" t="str">
        <f>IFERROR(__xludf.DUMMYFUNCTION("+'EVALUACIÓN'!Q42"),"#DIV/0!")</f>
        <v>#DIV/0!</v>
      </c>
      <c r="E42" s="6"/>
      <c r="F42" s="267"/>
      <c r="G42" s="266" t="str">
        <f>IFERROR(__xludf.DUMMYFUNCTION("+'EVALUACIÓN'!AC42"),"#DIV/0!")</f>
        <v>#DIV/0!</v>
      </c>
      <c r="H42" s="6"/>
      <c r="I42" s="267"/>
      <c r="J42" s="266" t="str">
        <f>IFERROR(__xludf.DUMMYFUNCTION("+'EVALUACIÓN'!AO42"),"#DIV/0!")</f>
        <v>#DIV/0!</v>
      </c>
      <c r="K42" s="6"/>
      <c r="L42" s="267"/>
      <c r="M42" s="281"/>
      <c r="N42" s="269" t="str">
        <f t="shared" si="1"/>
        <v>#DIV/0!</v>
      </c>
      <c r="O42" s="282"/>
      <c r="P42" s="283"/>
      <c r="Q42" s="282"/>
      <c r="R42" s="283"/>
      <c r="S42" s="282"/>
      <c r="T42" s="283"/>
      <c r="U42" s="273" t="str">
        <f t="shared" ref="U42:V42" si="12">IF(OR(O42="NE",Q42="NE",S42="NE"),"NE",)</f>
        <v/>
      </c>
      <c r="V42" s="273" t="str">
        <f t="shared" si="12"/>
        <v/>
      </c>
      <c r="W42" s="284" t="str">
        <f>'EVALUACIÓN'!AP42</f>
        <v/>
      </c>
      <c r="AH42" s="280" t="str">
        <f t="shared" si="3"/>
        <v>#DIV/0!</v>
      </c>
    </row>
    <row r="43" ht="15.75" customHeight="1">
      <c r="A43" s="263" t="str">
        <f>INSTITUTO!A43</f>
        <v>ACT</v>
      </c>
      <c r="B43" s="264">
        <f>INSTITUTO!B43</f>
        <v>34</v>
      </c>
      <c r="C43" s="265" t="str">
        <f>INSTITUTO!C43</f>
        <v/>
      </c>
      <c r="D43" s="266" t="str">
        <f>IFERROR(__xludf.DUMMYFUNCTION("+'EVALUACIÓN'!Q43"),"#DIV/0!")</f>
        <v>#DIV/0!</v>
      </c>
      <c r="E43" s="6"/>
      <c r="F43" s="267"/>
      <c r="G43" s="266" t="str">
        <f>IFERROR(__xludf.DUMMYFUNCTION("+'EVALUACIÓN'!AC43"),"#DIV/0!")</f>
        <v>#DIV/0!</v>
      </c>
      <c r="H43" s="6"/>
      <c r="I43" s="267"/>
      <c r="J43" s="266" t="str">
        <f>IFERROR(__xludf.DUMMYFUNCTION("+'EVALUACIÓN'!AO43"),"#DIV/0!")</f>
        <v>#DIV/0!</v>
      </c>
      <c r="K43" s="6"/>
      <c r="L43" s="267"/>
      <c r="M43" s="281"/>
      <c r="N43" s="269" t="str">
        <f t="shared" si="1"/>
        <v>#DIV/0!</v>
      </c>
      <c r="O43" s="282"/>
      <c r="P43" s="283"/>
      <c r="Q43" s="282"/>
      <c r="R43" s="283"/>
      <c r="S43" s="282"/>
      <c r="T43" s="283"/>
      <c r="U43" s="273" t="str">
        <f t="shared" ref="U43:V43" si="13">IF(OR(O43="NE",Q43="NE",S43="NE"),"NE",)</f>
        <v/>
      </c>
      <c r="V43" s="273" t="str">
        <f t="shared" si="13"/>
        <v/>
      </c>
      <c r="W43" s="284" t="str">
        <f>'EVALUACIÓN'!AP43</f>
        <v/>
      </c>
      <c r="AH43" s="280" t="str">
        <f t="shared" si="3"/>
        <v>#DIV/0!</v>
      </c>
    </row>
    <row r="44" ht="15.75" customHeight="1">
      <c r="A44" s="263" t="str">
        <f>INSTITUTO!A44</f>
        <v>ACT</v>
      </c>
      <c r="B44" s="308">
        <f>INSTITUTO!B44</f>
        <v>35</v>
      </c>
      <c r="C44" s="265" t="str">
        <f>INSTITUTO!C44</f>
        <v/>
      </c>
      <c r="D44" s="266" t="str">
        <f>IFERROR(__xludf.DUMMYFUNCTION("+'EVALUACIÓN'!Q44"),"#DIV/0!")</f>
        <v>#DIV/0!</v>
      </c>
      <c r="E44" s="8"/>
      <c r="F44" s="94"/>
      <c r="G44" s="266" t="str">
        <f>IFERROR(__xludf.DUMMYFUNCTION("+'EVALUACIÓN'!AC44"),"#DIV/0!")</f>
        <v>#DIV/0!</v>
      </c>
      <c r="H44" s="8"/>
      <c r="I44" s="94"/>
      <c r="J44" s="266" t="str">
        <f>IFERROR(__xludf.DUMMYFUNCTION("+'EVALUACIÓN'!AO44"),"#DIV/0!")</f>
        <v>#DIV/0!</v>
      </c>
      <c r="K44" s="8"/>
      <c r="L44" s="94"/>
      <c r="M44" s="281"/>
      <c r="N44" s="269" t="str">
        <f t="shared" si="1"/>
        <v>#DIV/0!</v>
      </c>
      <c r="O44" s="309"/>
      <c r="P44" s="310"/>
      <c r="Q44" s="309"/>
      <c r="R44" s="310"/>
      <c r="S44" s="309"/>
      <c r="T44" s="310"/>
      <c r="U44" s="311" t="str">
        <f t="shared" ref="U44:V44" si="14">IF(OR(O44="NE",Q44="NE",S44="NE"),"NE",)</f>
        <v/>
      </c>
      <c r="V44" s="311" t="str">
        <f t="shared" si="14"/>
        <v/>
      </c>
      <c r="W44" s="312" t="str">
        <f>'EVALUACIÓN'!AP44</f>
        <v/>
      </c>
      <c r="AH44" s="280" t="str">
        <f t="shared" si="3"/>
        <v>#DIV/0!</v>
      </c>
    </row>
    <row r="45" ht="15.75" hidden="1" customHeight="1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</row>
    <row r="46" ht="15.75" hidden="1" customHeight="1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</row>
    <row r="47" ht="15.75" hidden="1" customHeight="1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</row>
    <row r="48" ht="15.75" hidden="1" customHeight="1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</row>
    <row r="49" ht="15.75" hidden="1" customHeight="1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</row>
    <row r="50" ht="15.75" hidden="1" customHeight="1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</row>
    <row r="51" ht="15.75" hidden="1" customHeight="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</row>
    <row r="52" ht="15.75" hidden="1" customHeight="1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</row>
    <row r="53" ht="15.75" hidden="1" customHeigh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</row>
    <row r="54" ht="15.75" hidden="1" customHeight="1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</row>
    <row r="55" ht="15.75" hidden="1" customHeight="1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</row>
    <row r="56" ht="15.75" hidden="1" customHeight="1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</row>
    <row r="57" ht="15.75" hidden="1" customHeight="1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</row>
    <row r="58" ht="15.75" hidden="1" customHeight="1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</row>
    <row r="59" ht="15.75" hidden="1" customHeight="1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</row>
    <row r="60" ht="15.75" hidden="1" customHeight="1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</row>
    <row r="61" ht="15.75" hidden="1" customHeight="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</row>
    <row r="62" ht="15.75" hidden="1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</row>
    <row r="63" ht="15.75" hidden="1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</row>
    <row r="64" ht="15.75" hidden="1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</row>
    <row r="65" ht="15.75" hidden="1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</row>
    <row r="66" ht="15.75" hidden="1" customHeight="1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</row>
    <row r="67" ht="15.75" hidden="1" customHeight="1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</row>
    <row r="68" ht="15.75" hidden="1" customHeight="1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</row>
    <row r="69" ht="15.75" hidden="1" customHeight="1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</row>
    <row r="70" ht="15.75" hidden="1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</row>
    <row r="71" ht="15.75" hidden="1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</row>
    <row r="72" ht="15.75" hidden="1" customHeight="1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</row>
    <row r="73" ht="15.75" hidden="1" customHeight="1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</row>
    <row r="74" ht="15.75" hidden="1" customHeight="1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</row>
    <row r="75" ht="15.75" hidden="1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</row>
    <row r="76" ht="15.75" hidden="1" customHeigh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</row>
    <row r="77" ht="15.75" hidden="1" customHeight="1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</row>
    <row r="78" ht="15.75" hidden="1" customHeight="1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</row>
    <row r="79" ht="15.75" hidden="1" customHeight="1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</row>
    <row r="80" ht="15.75" hidden="1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</row>
    <row r="81" ht="15.75" hidden="1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</row>
    <row r="82" ht="15.75" hidden="1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</row>
    <row r="83" ht="15.75" hidden="1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</row>
    <row r="84" ht="15.75" hidden="1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</row>
    <row r="85" ht="15.75" hidden="1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</row>
    <row r="86" ht="15.75" hidden="1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</row>
    <row r="87" ht="15.75" hidden="1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</row>
    <row r="88" ht="15.75" hidden="1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</row>
    <row r="89" ht="15.75" hidden="1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</row>
    <row r="90" ht="15.75" hidden="1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</row>
    <row r="91" ht="15.75" hidden="1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</row>
    <row r="92" ht="15.75" hidden="1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</row>
    <row r="93" ht="15.75" hidden="1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</row>
    <row r="94" ht="15.75" hidden="1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</row>
    <row r="95" ht="15.75" hidden="1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</row>
    <row r="96" ht="15.75" hidden="1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</row>
    <row r="97" ht="15.75" hidden="1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</row>
    <row r="98" ht="15.75" hidden="1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</row>
    <row r="99" ht="15.75" hidden="1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</row>
    <row r="100" ht="15.75" hidden="1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</row>
    <row r="101" ht="15.75" hidden="1" customHeight="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</row>
    <row r="102" ht="15.75" hidden="1" customHeight="1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</row>
    <row r="103" ht="15.75" hidden="1" customHeight="1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</row>
    <row r="104" ht="15.75" hidden="1" customHeight="1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</row>
    <row r="105" ht="15.75" hidden="1" customHeight="1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</row>
    <row r="106" ht="15.75" hidden="1" customHeight="1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</row>
    <row r="107" ht="15.75" hidden="1" customHeight="1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</row>
    <row r="108" ht="15.75" hidden="1" customHeight="1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</row>
    <row r="109" ht="15.75" hidden="1" customHeight="1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</row>
    <row r="110" ht="15.75" hidden="1" customHeight="1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</row>
    <row r="111" ht="15.75" hidden="1" customHeight="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</row>
    <row r="112" ht="15.75" hidden="1" customHeight="1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</row>
    <row r="113" ht="15.75" hidden="1" customHeight="1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</row>
    <row r="114" ht="15.75" hidden="1" customHeight="1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</row>
    <row r="115" ht="15.75" hidden="1" customHeight="1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</row>
    <row r="116" ht="15.75" hidden="1" customHeight="1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</row>
    <row r="117" ht="15.75" hidden="1" customHeight="1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</row>
    <row r="118" ht="15.75" hidden="1" customHeight="1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</row>
    <row r="119" ht="15.75" hidden="1" customHeight="1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</row>
    <row r="120" ht="15.75" hidden="1" customHeight="1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</row>
    <row r="121" ht="15.75" hidden="1" customHeight="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</row>
    <row r="122" ht="15.75" hidden="1" customHeight="1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</row>
    <row r="123" ht="15.75" hidden="1" customHeight="1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</row>
    <row r="124" ht="15.75" hidden="1" customHeight="1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</row>
    <row r="125" ht="15.75" hidden="1" customHeight="1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</row>
    <row r="126" ht="15.75" hidden="1" customHeight="1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</row>
    <row r="127" ht="15.75" hidden="1" customHeight="1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</row>
    <row r="128" ht="15.75" hidden="1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</row>
    <row r="129" ht="15.75" hidden="1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</row>
    <row r="130" ht="15.75" hidden="1" customHeight="1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</row>
    <row r="131" ht="15.75" hidden="1" customHeight="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</row>
    <row r="132" ht="15.75" hidden="1" customHeight="1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</row>
    <row r="133" ht="15.75" hidden="1" customHeight="1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</row>
    <row r="134" ht="15.75" hidden="1" customHeight="1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</row>
    <row r="135" ht="15.75" hidden="1" customHeight="1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</row>
    <row r="136" ht="15.75" hidden="1" customHeight="1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</row>
    <row r="137" ht="15.75" hidden="1" customHeight="1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</row>
    <row r="138" ht="15.75" hidden="1" customHeight="1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</row>
    <row r="139" ht="15.75" hidden="1" customHeight="1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</row>
    <row r="140" ht="15.75" hidden="1" customHeight="1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</row>
    <row r="141" ht="15.75" hidden="1" customHeight="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</row>
    <row r="142" ht="15.75" hidden="1" customHeight="1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</row>
    <row r="143" ht="15.75" hidden="1" customHeight="1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</row>
    <row r="144" ht="15.75" hidden="1" customHeight="1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</row>
    <row r="145" ht="15.75" hidden="1" customHeight="1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</row>
    <row r="146" ht="15.75" hidden="1" customHeight="1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</row>
    <row r="147" ht="15.75" hidden="1" customHeight="1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</row>
    <row r="148" ht="15.75" hidden="1" customHeight="1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</row>
    <row r="149" ht="15.75" hidden="1" customHeight="1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</row>
    <row r="150" ht="15.75" hidden="1" customHeight="1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</row>
    <row r="151" ht="15.75" hidden="1" customHeight="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</row>
    <row r="152" ht="15.75" hidden="1" customHeight="1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</row>
    <row r="153" ht="15.75" hidden="1" customHeight="1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</row>
    <row r="154" ht="15.75" hidden="1" customHeight="1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</row>
    <row r="155" ht="15.75" hidden="1" customHeight="1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</row>
    <row r="156" ht="15.75" hidden="1" customHeight="1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</row>
    <row r="157" ht="15.75" hidden="1" customHeight="1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</row>
    <row r="158" ht="15.75" hidden="1" customHeight="1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</row>
    <row r="159" ht="15.75" hidden="1" customHeight="1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</row>
    <row r="160" ht="15.75" hidden="1" customHeight="1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</row>
    <row r="161" ht="15.75" hidden="1" customHeight="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</row>
    <row r="162" ht="15.75" hidden="1" customHeight="1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</row>
    <row r="163" ht="15.75" hidden="1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</row>
    <row r="164" ht="15.75" hidden="1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</row>
    <row r="165" ht="15.75" hidden="1" customHeight="1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</row>
    <row r="166" ht="15.75" hidden="1" customHeight="1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</row>
    <row r="167" ht="15.75" hidden="1" customHeight="1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</row>
    <row r="168" ht="15.75" hidden="1" customHeight="1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</row>
    <row r="169" ht="15.75" hidden="1" customHeight="1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</row>
    <row r="170" ht="15.75" hidden="1" customHeight="1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</row>
    <row r="171" ht="15.75" hidden="1" customHeight="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</row>
    <row r="172" ht="15.75" hidden="1" customHeight="1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</row>
    <row r="173" ht="15.75" hidden="1" customHeight="1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</row>
    <row r="174" ht="15.75" hidden="1" customHeight="1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</row>
    <row r="175" ht="15.75" hidden="1" customHeight="1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</row>
    <row r="176" ht="15.75" hidden="1" customHeight="1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</row>
    <row r="177" ht="15.75" hidden="1" customHeight="1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</row>
    <row r="178" ht="15.75" hidden="1" customHeight="1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</row>
    <row r="179" ht="15.75" hidden="1" customHeight="1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</row>
    <row r="180" ht="15.75" hidden="1" customHeight="1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</row>
    <row r="181" ht="15.75" hidden="1" customHeight="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</row>
    <row r="182" ht="15.75" hidden="1" customHeight="1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</row>
    <row r="183" ht="15.75" hidden="1" customHeight="1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</row>
    <row r="184" ht="15.75" hidden="1" customHeight="1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</row>
    <row r="185" ht="15.75" hidden="1" customHeight="1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</row>
    <row r="186" ht="15.75" hidden="1" customHeight="1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</row>
    <row r="187" ht="15.75" hidden="1" customHeight="1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</row>
    <row r="188" ht="15.75" hidden="1" customHeight="1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</row>
    <row r="189" ht="15.75" hidden="1" customHeight="1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</row>
    <row r="190" ht="15.75" hidden="1" customHeight="1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</row>
    <row r="191" ht="15.75" hidden="1" customHeight="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</row>
    <row r="192" ht="15.75" hidden="1" customHeight="1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</row>
    <row r="193" ht="15.75" hidden="1" customHeight="1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</row>
    <row r="194" ht="15.75" hidden="1" customHeight="1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</row>
    <row r="195" ht="15.75" hidden="1" customHeight="1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</row>
    <row r="196" ht="15.75" hidden="1" customHeight="1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</row>
    <row r="197" ht="15.75" hidden="1" customHeight="1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</row>
    <row r="198" ht="15.75" hidden="1" customHeight="1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</row>
    <row r="199" ht="15.75" hidden="1" customHeight="1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</row>
    <row r="200" ht="15.75" hidden="1" customHeight="1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</row>
    <row r="201" ht="15.75" hidden="1" customHeight="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</row>
    <row r="202" ht="15.75" hidden="1" customHeight="1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</row>
    <row r="203" ht="15.75" hidden="1" customHeight="1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</row>
    <row r="204" ht="15.75" hidden="1" customHeight="1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</row>
    <row r="205" ht="15.75" hidden="1" customHeight="1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</row>
    <row r="206" ht="15.75" hidden="1" customHeight="1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</row>
    <row r="207" ht="15.75" hidden="1" customHeight="1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</row>
    <row r="208" ht="15.75" hidden="1" customHeight="1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</row>
    <row r="209" ht="15.75" hidden="1" customHeight="1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</row>
    <row r="210" ht="15.75" hidden="1" customHeight="1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</row>
    <row r="211" ht="15.75" hidden="1" customHeight="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</row>
    <row r="212" ht="15.75" hidden="1" customHeight="1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</row>
    <row r="213" ht="15.75" hidden="1" customHeight="1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</row>
    <row r="214" ht="15.75" hidden="1" customHeight="1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</row>
    <row r="215" ht="15.75" hidden="1" customHeight="1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</row>
    <row r="216" ht="15.75" hidden="1" customHeight="1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</row>
    <row r="217" ht="15.75" hidden="1" customHeight="1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</row>
    <row r="218" ht="15.75" hidden="1" customHeight="1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</row>
    <row r="219" ht="15.75" hidden="1" customHeight="1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</row>
    <row r="220" ht="15.75" hidden="1" customHeight="1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</row>
    <row r="221" ht="15.75" hidden="1" customHeight="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</row>
    <row r="222" ht="15.75" hidden="1" customHeight="1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</row>
    <row r="223" ht="15.75" hidden="1" customHeight="1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</row>
    <row r="224" ht="15.75" hidden="1" customHeight="1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</row>
    <row r="225" ht="15.75" hidden="1" customHeight="1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</row>
    <row r="226" ht="15.75" hidden="1" customHeight="1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</row>
    <row r="227" ht="15.75" hidden="1" customHeight="1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</row>
    <row r="228" ht="15.75" hidden="1" customHeight="1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</row>
    <row r="229" ht="15.75" hidden="1" customHeight="1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</row>
    <row r="230" ht="15.75" hidden="1" customHeight="1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</row>
    <row r="231" ht="15.75" hidden="1" customHeight="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</row>
    <row r="232" ht="15.75" hidden="1" customHeight="1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</row>
    <row r="233" ht="15.75" hidden="1" customHeight="1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</row>
    <row r="234" ht="15.75" hidden="1" customHeight="1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</row>
    <row r="235" ht="15.75" hidden="1" customHeight="1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</row>
    <row r="236" ht="15.75" hidden="1" customHeight="1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</row>
    <row r="237" ht="15.75" hidden="1" customHeight="1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</row>
    <row r="238" ht="15.75" hidden="1" customHeight="1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</row>
    <row r="239" ht="15.75" hidden="1" customHeight="1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</row>
    <row r="240" ht="15.75" hidden="1" customHeight="1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</row>
    <row r="241" ht="15.75" hidden="1" customHeight="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</row>
    <row r="242" ht="15.75" hidden="1" customHeight="1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</row>
    <row r="243" ht="15.75" hidden="1" customHeight="1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</row>
    <row r="244" ht="15.75" hidden="1" customHeight="1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</row>
    <row r="245" ht="15.75" hidden="1" customHeight="1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</row>
    <row r="246" ht="15.75" hidden="1" customHeight="1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</row>
    <row r="247" ht="15.75" hidden="1" customHeight="1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</row>
    <row r="248" ht="15.75" hidden="1" customHeight="1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</row>
    <row r="249" ht="15.75" hidden="1" customHeight="1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</row>
    <row r="250" ht="15.75" hidden="1" customHeight="1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</row>
    <row r="251" ht="15.75" hidden="1" customHeight="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</row>
    <row r="252" ht="15.75" hidden="1" customHeight="1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</row>
    <row r="253" ht="15.75" hidden="1" customHeight="1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</row>
    <row r="254" ht="15.75" hidden="1" customHeight="1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</row>
    <row r="255" ht="15.75" hidden="1" customHeight="1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</row>
    <row r="256" ht="15.75" hidden="1" customHeight="1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</row>
    <row r="257" ht="15.75" hidden="1" customHeight="1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</row>
    <row r="258" ht="15.75" hidden="1" customHeight="1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</row>
    <row r="259" ht="15.75" hidden="1" customHeight="1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</row>
    <row r="260" ht="15.75" hidden="1" customHeight="1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</row>
    <row r="261" ht="15.75" hidden="1" customHeight="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</row>
    <row r="262" ht="15.75" hidden="1" customHeight="1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</row>
    <row r="263" ht="15.75" hidden="1" customHeight="1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</row>
    <row r="264" ht="15.75" hidden="1" customHeight="1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</row>
    <row r="265" ht="15.75" hidden="1" customHeight="1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</row>
    <row r="266" ht="15.75" hidden="1" customHeight="1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</row>
    <row r="267" ht="15.75" hidden="1" customHeight="1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</row>
    <row r="268" ht="15.75" hidden="1" customHeight="1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</row>
    <row r="269" ht="15.75" hidden="1" customHeight="1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</row>
    <row r="270" ht="15.75" hidden="1" customHeight="1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</row>
    <row r="271" ht="15.75" hidden="1" customHeight="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</row>
    <row r="272" ht="15.75" hidden="1" customHeight="1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</row>
    <row r="273" ht="15.75" hidden="1" customHeight="1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</row>
    <row r="274" ht="15.75" hidden="1" customHeight="1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</row>
    <row r="275" ht="15.75" hidden="1" customHeight="1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</row>
    <row r="276" ht="15.75" hidden="1" customHeight="1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</row>
    <row r="277" ht="15.75" hidden="1" customHeight="1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</row>
    <row r="278" ht="15.75" hidden="1" customHeight="1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</row>
    <row r="279" ht="15.75" hidden="1" customHeight="1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</row>
    <row r="280" ht="15.75" hidden="1" customHeight="1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</row>
    <row r="281" ht="15.75" hidden="1" customHeight="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</row>
    <row r="282" ht="15.75" hidden="1" customHeight="1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</row>
    <row r="283" ht="15.75" hidden="1" customHeight="1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</row>
    <row r="284" ht="15.75" hidden="1" customHeight="1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</row>
    <row r="285" ht="15.75" hidden="1" customHeight="1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</row>
    <row r="286" ht="15.75" hidden="1" customHeight="1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</row>
    <row r="287" ht="15.75" hidden="1" customHeight="1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</row>
    <row r="288" ht="15.75" hidden="1" customHeight="1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</row>
    <row r="289" ht="15.75" hidden="1" customHeight="1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</row>
    <row r="290" ht="15.75" hidden="1" customHeight="1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</row>
    <row r="291" ht="15.75" hidden="1" customHeight="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</row>
    <row r="292" ht="15.75" hidden="1" customHeight="1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</row>
    <row r="293" ht="15.75" hidden="1" customHeight="1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</row>
    <row r="294" ht="15.75" hidden="1" customHeight="1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</row>
    <row r="295" ht="15.75" hidden="1" customHeight="1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</row>
    <row r="296" ht="15.75" hidden="1" customHeight="1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</row>
    <row r="297" ht="15.75" hidden="1" customHeight="1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</row>
    <row r="298" ht="15.75" hidden="1" customHeight="1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</row>
    <row r="299" ht="15.75" hidden="1" customHeight="1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</row>
    <row r="300" ht="15.75" hidden="1" customHeight="1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</row>
    <row r="301" ht="15.75" hidden="1" customHeight="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</row>
    <row r="302" ht="15.75" hidden="1" customHeight="1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</row>
    <row r="303" ht="15.75" hidden="1" customHeight="1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</row>
    <row r="304" ht="15.75" hidden="1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</row>
    <row r="305" ht="15.75" hidden="1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</row>
    <row r="306" ht="15.75" hidden="1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</row>
    <row r="307" ht="15.75" hidden="1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</row>
    <row r="308" ht="15.75" hidden="1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184"/>
      <c r="AH308" s="184"/>
    </row>
    <row r="309" ht="15.75" hidden="1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184"/>
      <c r="AH309" s="184"/>
    </row>
    <row r="310" ht="15.75" hidden="1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184"/>
      <c r="AH310" s="184"/>
    </row>
    <row r="311" ht="15.75" hidden="1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184"/>
      <c r="AH311" s="184"/>
    </row>
    <row r="312" ht="15.75" hidden="1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</row>
    <row r="313" ht="15.75" hidden="1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</row>
    <row r="314" ht="15.75" hidden="1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</row>
    <row r="315" ht="15.75" hidden="1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</row>
    <row r="316" ht="15.75" hidden="1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</row>
    <row r="317" ht="15.75" hidden="1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</row>
    <row r="318" ht="15.75" hidden="1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</row>
    <row r="319" ht="15.75" hidden="1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</row>
    <row r="320" ht="15.75" hidden="1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</row>
    <row r="321" ht="15.75" hidden="1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184"/>
      <c r="AH321" s="184"/>
    </row>
    <row r="322" ht="15.75" hidden="1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184"/>
      <c r="AH322" s="184"/>
    </row>
    <row r="323" ht="15.75" hidden="1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184"/>
      <c r="AH323" s="184"/>
    </row>
    <row r="324" ht="15.75" hidden="1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184"/>
      <c r="AH324" s="184"/>
    </row>
    <row r="325" ht="15.75" hidden="1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184"/>
      <c r="AH325" s="184"/>
    </row>
    <row r="326" ht="15.75" hidden="1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184"/>
      <c r="AH326" s="184"/>
    </row>
    <row r="327" ht="15.75" hidden="1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184"/>
      <c r="AH327" s="184"/>
    </row>
    <row r="328" ht="15.75" hidden="1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184"/>
      <c r="AH328" s="184"/>
    </row>
    <row r="329" ht="15.75" hidden="1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184"/>
      <c r="AH329" s="184"/>
    </row>
    <row r="330" ht="15.75" hidden="1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</row>
    <row r="331" ht="15.75" hidden="1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</row>
    <row r="332" ht="15.75" hidden="1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</row>
    <row r="333" ht="15.75" hidden="1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</row>
    <row r="334" ht="15.75" hidden="1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</row>
    <row r="335" ht="15.75" hidden="1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</row>
    <row r="336" ht="15.75" hidden="1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</row>
    <row r="337" ht="15.75" hidden="1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</row>
    <row r="338" ht="15.75" hidden="1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</row>
    <row r="339" ht="15.75" hidden="1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</row>
    <row r="340" ht="15.75" hidden="1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</row>
    <row r="341" ht="15.75" hidden="1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184"/>
      <c r="AH341" s="184"/>
    </row>
    <row r="342" ht="15.75" hidden="1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184"/>
      <c r="AH342" s="184"/>
    </row>
    <row r="343" ht="15.75" hidden="1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</row>
    <row r="344" ht="15.75" hidden="1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184"/>
      <c r="AH344" s="184"/>
    </row>
    <row r="345" ht="15.75" hidden="1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184"/>
      <c r="AH345" s="184"/>
    </row>
    <row r="346" ht="15.75" hidden="1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184"/>
      <c r="AH346" s="184"/>
    </row>
    <row r="347" ht="15.75" hidden="1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184"/>
      <c r="AH347" s="184"/>
    </row>
    <row r="348" ht="15.75" hidden="1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184"/>
      <c r="AH348" s="184"/>
    </row>
    <row r="349" ht="15.75" hidden="1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184"/>
      <c r="AH349" s="184"/>
    </row>
    <row r="350" ht="15.75" hidden="1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184"/>
      <c r="AH350" s="184"/>
    </row>
    <row r="351" ht="15.75" hidden="1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4"/>
    </row>
    <row r="352" ht="15.75" hidden="1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184"/>
      <c r="AH352" s="184"/>
    </row>
    <row r="353" ht="15.75" hidden="1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184"/>
      <c r="AH353" s="184"/>
    </row>
    <row r="354" ht="15.75" hidden="1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184"/>
      <c r="AH354" s="184"/>
    </row>
    <row r="355" ht="15.75" hidden="1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184"/>
      <c r="AH355" s="184"/>
    </row>
    <row r="356" ht="15.75" hidden="1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</row>
    <row r="357" ht="15.75" hidden="1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184"/>
      <c r="AH357" s="184"/>
    </row>
    <row r="358" ht="15.75" hidden="1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184"/>
      <c r="AH358" s="184"/>
    </row>
    <row r="359" ht="15.75" hidden="1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184"/>
      <c r="AH359" s="184"/>
    </row>
    <row r="360" ht="15.75" hidden="1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184"/>
      <c r="AH360" s="184"/>
    </row>
    <row r="361" ht="15.75" hidden="1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184"/>
      <c r="AH361" s="184"/>
    </row>
    <row r="362" ht="15.75" hidden="1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184"/>
      <c r="AH362" s="184"/>
    </row>
    <row r="363" ht="15.75" hidden="1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184"/>
      <c r="AH363" s="184"/>
    </row>
    <row r="364" ht="15.75" hidden="1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184"/>
      <c r="AH364" s="184"/>
    </row>
    <row r="365" ht="15.75" hidden="1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184"/>
      <c r="AH365" s="184"/>
    </row>
    <row r="366" ht="15.75" hidden="1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</row>
    <row r="367" ht="15.75" hidden="1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</row>
    <row r="368" ht="15.75" hidden="1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</row>
    <row r="369" ht="15.75" hidden="1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</row>
    <row r="370" ht="15.75" hidden="1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</row>
    <row r="371" ht="15.75" hidden="1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</row>
    <row r="372" ht="15.75" hidden="1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</row>
    <row r="373" ht="15.75" hidden="1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</row>
    <row r="374" ht="15.75" hidden="1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</row>
    <row r="375" ht="15.75" hidden="1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</row>
    <row r="376" ht="15.75" hidden="1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</row>
    <row r="377" ht="15.75" hidden="1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</row>
    <row r="378" ht="15.75" hidden="1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</row>
    <row r="379" ht="15.75" hidden="1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</row>
    <row r="380" ht="15.75" hidden="1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</row>
    <row r="381" ht="15.75" hidden="1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</row>
    <row r="382" ht="15.75" hidden="1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184"/>
      <c r="AH382" s="184"/>
    </row>
    <row r="383" ht="15.75" hidden="1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184"/>
      <c r="AH383" s="184"/>
    </row>
    <row r="384" ht="15.75" hidden="1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</row>
    <row r="385" ht="15.75" hidden="1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</row>
    <row r="386" ht="15.75" hidden="1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</row>
    <row r="387" ht="15.75" hidden="1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</row>
    <row r="388" ht="15.75" hidden="1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</row>
    <row r="389" ht="15.75" hidden="1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</row>
    <row r="390" ht="15.75" hidden="1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</row>
    <row r="391" ht="15.75" hidden="1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</row>
    <row r="392" ht="15.75" hidden="1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</row>
    <row r="393" ht="15.75" hidden="1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</row>
    <row r="394" ht="15.75" hidden="1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</row>
    <row r="395" ht="15.75" hidden="1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</row>
    <row r="396" ht="15.75" hidden="1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</row>
    <row r="397" ht="15.75" hidden="1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</row>
    <row r="398" ht="15.75" hidden="1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</row>
    <row r="399" ht="15.75" hidden="1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</row>
    <row r="400" ht="15.75" hidden="1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184"/>
      <c r="AH400" s="184"/>
    </row>
    <row r="401" ht="15.75" hidden="1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184"/>
      <c r="AH401" s="184"/>
    </row>
    <row r="402" ht="15.75" hidden="1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</row>
    <row r="403" ht="15.75" hidden="1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</row>
    <row r="404" ht="15.75" hidden="1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</row>
    <row r="405" ht="15.75" hidden="1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</row>
    <row r="406" ht="15.75" hidden="1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</row>
    <row r="407" ht="15.75" hidden="1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</row>
    <row r="408" ht="15.75" hidden="1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</row>
    <row r="409" ht="15.75" hidden="1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</row>
    <row r="410" ht="15.75" hidden="1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</row>
    <row r="411" ht="15.75" hidden="1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</row>
    <row r="412" ht="15.75" hidden="1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</row>
    <row r="413" ht="15.75" hidden="1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</row>
    <row r="414" ht="15.75" hidden="1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</row>
    <row r="415" ht="15.75" hidden="1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</row>
    <row r="416" ht="15.75" hidden="1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</row>
    <row r="417" ht="15.75" hidden="1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</row>
    <row r="418" ht="15.75" hidden="1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</row>
    <row r="419" ht="15.75" hidden="1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184"/>
      <c r="AH419" s="184"/>
    </row>
    <row r="420" ht="15.75" hidden="1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</row>
    <row r="421" ht="15.75" hidden="1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</row>
    <row r="422" ht="15.75" hidden="1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</row>
    <row r="423" ht="15.75" hidden="1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</row>
    <row r="424" ht="15.75" hidden="1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</row>
    <row r="425" ht="15.75" hidden="1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</row>
    <row r="426" ht="15.75" hidden="1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</row>
    <row r="427" ht="15.75" hidden="1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</row>
    <row r="428" ht="15.75" hidden="1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</row>
    <row r="429" ht="15.75" hidden="1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</row>
    <row r="430" ht="15.75" hidden="1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</row>
    <row r="431" ht="15.75" hidden="1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</row>
    <row r="432" ht="15.75" hidden="1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</row>
    <row r="433" ht="15.75" hidden="1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</row>
    <row r="434" ht="15.75" hidden="1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</row>
    <row r="435" ht="15.75" hidden="1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</row>
    <row r="436" ht="15.75" hidden="1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</row>
    <row r="437" ht="15.75" hidden="1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</row>
    <row r="438" ht="15.75" hidden="1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</row>
    <row r="439" ht="15.75" hidden="1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</row>
    <row r="440" ht="15.75" hidden="1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</row>
    <row r="441" ht="15.75" hidden="1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</row>
    <row r="442" ht="15.75" hidden="1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</row>
    <row r="443" ht="15.75" hidden="1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</row>
    <row r="444" ht="15.75" hidden="1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</row>
    <row r="445" ht="15.75" hidden="1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</row>
    <row r="446" ht="15.75" hidden="1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</row>
    <row r="447" ht="15.75" hidden="1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</row>
    <row r="448" ht="15.75" hidden="1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</row>
    <row r="449" ht="15.75" hidden="1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</row>
    <row r="450" ht="15.75" hidden="1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</row>
    <row r="451" ht="15.75" hidden="1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</row>
    <row r="452" ht="15.75" hidden="1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</row>
    <row r="453" ht="15.75" hidden="1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</row>
    <row r="454" ht="15.75" hidden="1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</row>
    <row r="455" ht="15.75" hidden="1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</row>
    <row r="456" ht="15.75" hidden="1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</row>
    <row r="457" ht="15.75" hidden="1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</row>
    <row r="458" ht="15.75" hidden="1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</row>
    <row r="459" ht="15.75" hidden="1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</row>
    <row r="460" ht="15.75" hidden="1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</row>
    <row r="461" ht="15.75" hidden="1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</row>
    <row r="462" ht="15.75" hidden="1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</row>
    <row r="463" ht="15.75" hidden="1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</row>
    <row r="464" ht="15.75" hidden="1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</row>
    <row r="465" ht="15.75" hidden="1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</row>
    <row r="466" ht="15.75" hidden="1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184"/>
      <c r="AH466" s="184"/>
    </row>
    <row r="467" ht="15.75" hidden="1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184"/>
      <c r="AH467" s="184"/>
    </row>
    <row r="468" ht="15.75" hidden="1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184"/>
      <c r="AH468" s="184"/>
    </row>
    <row r="469" ht="15.75" hidden="1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184"/>
      <c r="AH469" s="184"/>
    </row>
    <row r="470" ht="15.75" hidden="1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184"/>
      <c r="AH470" s="184"/>
    </row>
    <row r="471" ht="15.75" hidden="1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</row>
    <row r="472" ht="15.75" hidden="1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184"/>
      <c r="AH472" s="184"/>
    </row>
    <row r="473" ht="15.75" hidden="1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184"/>
      <c r="AH473" s="184"/>
    </row>
    <row r="474" ht="15.75" hidden="1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</row>
    <row r="475" ht="15.75" hidden="1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</row>
    <row r="476" ht="15.75" hidden="1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</row>
    <row r="477" ht="15.75" hidden="1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</row>
    <row r="478" ht="15.75" hidden="1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</row>
    <row r="479" ht="15.75" hidden="1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</row>
    <row r="480" ht="15.75" hidden="1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</row>
    <row r="481" ht="15.75" hidden="1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</row>
    <row r="482" ht="15.75" hidden="1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</row>
    <row r="483" ht="15.75" hidden="1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</row>
    <row r="484" ht="15.75" hidden="1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</row>
    <row r="485" ht="15.75" hidden="1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</row>
    <row r="486" ht="15.75" hidden="1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</row>
    <row r="487" ht="15.75" hidden="1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</row>
    <row r="488" ht="15.75" hidden="1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</row>
    <row r="489" ht="15.75" hidden="1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184"/>
      <c r="AH489" s="184"/>
    </row>
    <row r="490" ht="15.75" hidden="1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</row>
    <row r="491" ht="15.75" hidden="1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184"/>
      <c r="AH491" s="184"/>
    </row>
    <row r="492" ht="15.75" hidden="1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</row>
    <row r="493" ht="15.75" hidden="1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</row>
    <row r="494" ht="15.75" hidden="1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</row>
    <row r="495" ht="15.75" hidden="1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</row>
    <row r="496" ht="15.75" hidden="1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</row>
    <row r="497" ht="15.75" hidden="1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</row>
    <row r="498" ht="15.75" hidden="1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</row>
    <row r="499" ht="15.75" hidden="1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</row>
    <row r="500" ht="15.75" hidden="1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</row>
    <row r="501" ht="15.75" hidden="1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</row>
    <row r="502" ht="15.75" hidden="1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</row>
    <row r="503" ht="15.75" hidden="1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</row>
    <row r="504" ht="15.75" hidden="1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</row>
    <row r="505" ht="15.75" hidden="1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</row>
    <row r="506" ht="15.75" hidden="1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</row>
    <row r="507" ht="15.75" hidden="1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</row>
    <row r="508" ht="15.75" hidden="1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</row>
    <row r="509" ht="15.75" hidden="1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</row>
    <row r="510" ht="15.75" hidden="1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</row>
    <row r="511" ht="15.75" hidden="1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</row>
    <row r="512" ht="15.75" hidden="1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</row>
    <row r="513" ht="15.75" hidden="1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</row>
    <row r="514" ht="15.75" hidden="1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</row>
    <row r="515" ht="15.75" hidden="1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</row>
    <row r="516" ht="15.75" hidden="1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</row>
    <row r="517" ht="15.75" hidden="1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</row>
    <row r="518" ht="15.75" hidden="1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</row>
    <row r="519" ht="15.75" hidden="1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</row>
    <row r="520" ht="15.75" hidden="1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</row>
    <row r="521" ht="15.75" hidden="1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</row>
    <row r="522" ht="15.75" hidden="1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</row>
    <row r="523" ht="15.75" hidden="1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</row>
    <row r="524" ht="15.75" hidden="1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</row>
    <row r="525" ht="15.75" hidden="1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</row>
    <row r="526" ht="15.75" hidden="1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</row>
    <row r="527" ht="15.75" hidden="1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</row>
    <row r="528" ht="15.75" hidden="1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</row>
    <row r="529" ht="15.75" hidden="1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</row>
    <row r="530" ht="15.75" hidden="1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</row>
    <row r="531" ht="15.75" hidden="1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</row>
    <row r="532" ht="15.75" hidden="1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</row>
    <row r="533" ht="15.75" hidden="1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</row>
    <row r="534" ht="15.75" hidden="1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</row>
    <row r="535" ht="15.75" hidden="1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</row>
    <row r="536" ht="15.75" hidden="1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</row>
    <row r="537" ht="15.75" hidden="1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</row>
    <row r="538" ht="15.75" hidden="1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</row>
    <row r="539" ht="15.75" hidden="1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</row>
    <row r="540" ht="15.75" hidden="1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</row>
    <row r="541" ht="15.75" hidden="1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</row>
    <row r="542" ht="15.75" hidden="1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</row>
    <row r="543" ht="15.75" hidden="1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</row>
    <row r="544" ht="15.75" hidden="1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</row>
    <row r="545" ht="15.75" hidden="1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</row>
    <row r="546" ht="15.75" hidden="1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</row>
    <row r="547" ht="15.75" hidden="1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</row>
    <row r="548" ht="15.75" hidden="1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</row>
    <row r="549" ht="15.75" hidden="1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</row>
    <row r="550" ht="15.75" hidden="1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</row>
    <row r="551" ht="15.75" hidden="1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</row>
    <row r="552" ht="15.75" hidden="1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</row>
    <row r="553" ht="15.75" hidden="1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</row>
    <row r="554" ht="15.75" hidden="1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</row>
    <row r="555" ht="15.75" hidden="1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</row>
    <row r="556" ht="15.75" hidden="1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</row>
    <row r="557" ht="15.75" hidden="1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</row>
    <row r="558" ht="15.75" hidden="1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</row>
    <row r="559" ht="15.75" hidden="1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</row>
    <row r="560" ht="15.75" hidden="1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</row>
    <row r="561" ht="15.75" hidden="1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</row>
    <row r="562" ht="15.75" hidden="1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</row>
    <row r="563" ht="15.75" hidden="1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</row>
    <row r="564" ht="15.75" hidden="1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</row>
    <row r="565" ht="15.75" hidden="1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</row>
    <row r="566" ht="15.75" hidden="1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</row>
    <row r="567" ht="15.75" hidden="1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</row>
    <row r="568" ht="15.75" hidden="1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</row>
    <row r="569" ht="15.75" hidden="1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</row>
    <row r="570" ht="15.75" hidden="1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</row>
    <row r="571" ht="15.75" hidden="1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</row>
    <row r="572" ht="15.75" hidden="1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</row>
    <row r="573" ht="15.75" hidden="1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</row>
    <row r="574" ht="15.75" hidden="1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</row>
    <row r="575" ht="15.75" hidden="1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</row>
    <row r="576" ht="15.75" hidden="1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</row>
    <row r="577" ht="15.75" hidden="1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</row>
    <row r="578" ht="15.75" hidden="1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</row>
    <row r="579" ht="15.75" hidden="1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</row>
    <row r="580" ht="15.75" hidden="1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</row>
    <row r="581" ht="15.75" hidden="1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</row>
    <row r="582" ht="15.75" hidden="1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</row>
    <row r="583" ht="15.75" hidden="1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</row>
    <row r="584" ht="15.75" hidden="1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</row>
    <row r="585" ht="15.75" hidden="1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</row>
    <row r="586" ht="15.75" hidden="1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</row>
    <row r="587" ht="15.75" hidden="1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</row>
    <row r="588" ht="15.75" hidden="1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</row>
    <row r="589" ht="15.75" hidden="1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</row>
    <row r="590" ht="15.75" hidden="1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</row>
    <row r="591" ht="15.75" hidden="1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</row>
    <row r="592" ht="15.75" hidden="1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</row>
    <row r="593" ht="15.75" hidden="1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</row>
    <row r="594" ht="15.75" hidden="1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</row>
    <row r="595" ht="15.75" hidden="1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</row>
    <row r="596" ht="15.75" hidden="1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</row>
    <row r="597" ht="15.75" hidden="1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</row>
    <row r="598" ht="15.75" hidden="1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</row>
    <row r="599" ht="15.75" hidden="1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</row>
    <row r="600" ht="15.75" hidden="1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</row>
    <row r="601" ht="15.75" hidden="1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</row>
    <row r="602" ht="15.75" hidden="1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</row>
    <row r="603" ht="15.75" hidden="1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</row>
    <row r="604" ht="15.75" hidden="1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</row>
    <row r="605" ht="15.75" hidden="1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</row>
    <row r="606" ht="15.75" hidden="1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</row>
    <row r="607" ht="15.75" hidden="1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</row>
    <row r="608" ht="15.75" hidden="1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</row>
    <row r="609" ht="15.75" hidden="1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</row>
    <row r="610" ht="15.75" hidden="1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</row>
    <row r="611" ht="15.75" hidden="1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</row>
    <row r="612" ht="15.75" hidden="1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</row>
    <row r="613" ht="15.75" hidden="1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</row>
    <row r="614" ht="15.75" hidden="1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</row>
    <row r="615" ht="15.75" hidden="1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</row>
    <row r="616" ht="15.75" hidden="1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</row>
    <row r="617" ht="15.75" hidden="1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</row>
    <row r="618" ht="15.75" hidden="1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</row>
    <row r="619" ht="15.75" hidden="1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</row>
    <row r="620" ht="15.75" hidden="1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</row>
    <row r="621" ht="15.75" hidden="1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</row>
    <row r="622" ht="15.75" hidden="1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</row>
    <row r="623" ht="15.75" hidden="1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</row>
    <row r="624" ht="15.75" hidden="1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</row>
    <row r="625" ht="15.75" hidden="1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</row>
    <row r="626" ht="15.75" hidden="1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</row>
    <row r="627" ht="15.75" hidden="1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</row>
    <row r="628" ht="15.75" hidden="1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</row>
    <row r="629" ht="15.75" hidden="1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</row>
    <row r="630" ht="15.75" hidden="1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</row>
    <row r="631" ht="15.75" hidden="1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</row>
    <row r="632" ht="15.75" hidden="1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</row>
    <row r="633" ht="15.75" hidden="1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</row>
    <row r="634" ht="15.75" hidden="1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</row>
    <row r="635" ht="15.75" hidden="1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</row>
    <row r="636" ht="15.75" hidden="1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</row>
    <row r="637" ht="15.75" hidden="1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</row>
    <row r="638" ht="15.75" hidden="1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</row>
    <row r="639" ht="15.75" hidden="1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</row>
    <row r="640" ht="15.75" hidden="1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</row>
    <row r="641" ht="15.75" hidden="1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</row>
    <row r="642" ht="15.75" hidden="1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</row>
    <row r="643" ht="15.75" hidden="1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</row>
    <row r="644" ht="15.75" hidden="1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</row>
    <row r="645" ht="15.75" hidden="1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</row>
    <row r="646" ht="15.75" hidden="1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</row>
    <row r="647" ht="15.75" hidden="1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</row>
    <row r="648" ht="15.75" hidden="1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</row>
    <row r="649" ht="15.75" hidden="1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</row>
    <row r="650" ht="15.75" hidden="1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</row>
    <row r="651" ht="15.75" hidden="1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</row>
    <row r="652" ht="15.75" hidden="1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</row>
    <row r="653" ht="15.75" hidden="1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</row>
    <row r="654" ht="15.75" hidden="1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</row>
    <row r="655" ht="15.75" hidden="1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</row>
    <row r="656" ht="15.75" hidden="1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</row>
    <row r="657" ht="15.75" hidden="1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</row>
    <row r="658" ht="15.75" hidden="1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</row>
    <row r="659" ht="15.75" hidden="1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</row>
    <row r="660" ht="15.75" hidden="1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</row>
    <row r="661" ht="15.75" hidden="1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</row>
    <row r="662" ht="15.75" hidden="1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</row>
    <row r="663" ht="15.75" hidden="1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</row>
    <row r="664" ht="15.75" hidden="1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</row>
    <row r="665" ht="15.75" hidden="1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</row>
    <row r="666" ht="15.75" hidden="1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</row>
    <row r="667" ht="15.75" hidden="1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</row>
    <row r="668" ht="15.75" hidden="1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</row>
    <row r="669" ht="15.75" hidden="1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</row>
    <row r="670" ht="15.75" hidden="1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</row>
    <row r="671" ht="15.75" hidden="1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</row>
    <row r="672" ht="15.75" hidden="1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</row>
    <row r="673" ht="15.75" hidden="1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</row>
    <row r="674" ht="15.75" hidden="1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</row>
    <row r="675" ht="15.75" hidden="1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</row>
    <row r="676" ht="15.75" hidden="1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</row>
    <row r="677" ht="15.75" hidden="1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</row>
    <row r="678" ht="15.75" hidden="1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</row>
    <row r="679" ht="15.75" hidden="1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</row>
    <row r="680" ht="15.75" hidden="1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</row>
    <row r="681" ht="15.75" hidden="1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</row>
    <row r="682" ht="15.75" hidden="1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</row>
    <row r="683" ht="15.75" hidden="1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</row>
    <row r="684" ht="15.75" hidden="1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</row>
    <row r="685" ht="15.75" hidden="1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</row>
    <row r="686" ht="15.75" hidden="1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</row>
    <row r="687" ht="15.75" hidden="1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</row>
    <row r="688" ht="15.75" hidden="1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</row>
    <row r="689" ht="15.75" hidden="1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</row>
    <row r="690" ht="15.75" hidden="1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</row>
    <row r="691" ht="15.75" hidden="1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</row>
    <row r="692" ht="15.75" hidden="1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</row>
    <row r="693" ht="15.75" hidden="1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</row>
    <row r="694" ht="15.75" hidden="1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</row>
    <row r="695" ht="15.75" hidden="1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</row>
    <row r="696" ht="15.75" hidden="1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</row>
    <row r="697" ht="15.75" hidden="1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</row>
    <row r="698" ht="15.75" hidden="1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</row>
    <row r="699" ht="15.75" hidden="1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</row>
    <row r="700" ht="15.75" hidden="1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</row>
    <row r="701" ht="15.75" hidden="1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</row>
    <row r="702" ht="15.75" hidden="1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</row>
    <row r="703" ht="15.75" hidden="1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</row>
    <row r="704" ht="15.75" hidden="1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</row>
    <row r="705" ht="15.75" hidden="1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</row>
    <row r="706" ht="15.75" hidden="1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</row>
    <row r="707" ht="15.75" hidden="1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</row>
    <row r="708" ht="15.75" hidden="1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</row>
    <row r="709" ht="15.75" hidden="1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</row>
    <row r="710" ht="15.75" hidden="1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</row>
    <row r="711" ht="15.75" hidden="1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</row>
    <row r="712" ht="15.75" hidden="1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</row>
    <row r="713" ht="15.75" hidden="1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</row>
    <row r="714" ht="15.75" hidden="1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</row>
    <row r="715" ht="15.75" hidden="1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</row>
    <row r="716" ht="15.75" hidden="1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</row>
    <row r="717" ht="15.75" hidden="1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</row>
    <row r="718" ht="15.75" hidden="1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</row>
    <row r="719" ht="15.75" hidden="1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</row>
    <row r="720" ht="15.75" hidden="1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</row>
    <row r="721" ht="15.75" hidden="1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</row>
    <row r="722" ht="15.75" hidden="1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</row>
    <row r="723" ht="15.75" hidden="1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</row>
    <row r="724" ht="15.75" hidden="1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</row>
    <row r="725" ht="15.75" hidden="1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</row>
    <row r="726" ht="15.75" hidden="1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</row>
    <row r="727" ht="15.75" hidden="1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</row>
    <row r="728" ht="15.75" hidden="1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</row>
    <row r="729" ht="15.75" hidden="1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</row>
    <row r="730" ht="15.75" hidden="1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</row>
    <row r="731" ht="15.75" hidden="1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</row>
    <row r="732" ht="15.75" hidden="1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</row>
    <row r="733" ht="15.75" hidden="1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</row>
    <row r="734" ht="15.75" hidden="1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</row>
    <row r="735" ht="15.75" hidden="1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</row>
    <row r="736" ht="15.75" hidden="1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</row>
    <row r="737" ht="15.75" hidden="1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</row>
    <row r="738" ht="15.75" hidden="1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</row>
    <row r="739" ht="15.75" hidden="1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</row>
    <row r="740" ht="15.75" hidden="1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</row>
    <row r="741" ht="15.75" hidden="1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</row>
    <row r="742" ht="15.75" hidden="1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</row>
    <row r="743" ht="15.75" hidden="1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</row>
    <row r="744" ht="15.75" hidden="1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</row>
    <row r="745" ht="15.75" hidden="1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</row>
    <row r="746" ht="15.75" hidden="1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</row>
    <row r="747" ht="15.75" hidden="1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</row>
    <row r="748" ht="15.75" hidden="1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</row>
    <row r="749" ht="15.75" hidden="1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</row>
    <row r="750" ht="15.75" hidden="1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</row>
    <row r="751" ht="15.75" hidden="1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</row>
    <row r="752" ht="15.75" hidden="1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</row>
    <row r="753" ht="15.75" hidden="1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</row>
    <row r="754" ht="15.75" hidden="1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</row>
    <row r="755" ht="15.75" hidden="1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</row>
    <row r="756" ht="15.75" hidden="1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</row>
    <row r="757" ht="15.75" hidden="1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</row>
    <row r="758" ht="15.75" hidden="1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</row>
    <row r="759" ht="15.75" hidden="1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</row>
    <row r="760" ht="15.75" hidden="1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</row>
    <row r="761" ht="15.75" hidden="1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</row>
    <row r="762" ht="15.75" hidden="1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</row>
    <row r="763" ht="15.75" hidden="1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</row>
    <row r="764" ht="15.75" hidden="1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</row>
    <row r="765" ht="15.75" hidden="1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</row>
    <row r="766" ht="15.75" hidden="1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</row>
    <row r="767" ht="15.75" hidden="1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</row>
    <row r="768" ht="15.75" hidden="1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</row>
    <row r="769" ht="15.75" hidden="1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</row>
    <row r="770" ht="15.75" hidden="1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</row>
    <row r="771" ht="15.75" hidden="1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</row>
    <row r="772" ht="15.75" hidden="1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</row>
    <row r="773" ht="15.75" hidden="1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</row>
    <row r="774" ht="15.75" hidden="1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</row>
    <row r="775" ht="15.75" hidden="1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</row>
    <row r="776" ht="15.75" hidden="1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</row>
    <row r="777" ht="15.75" hidden="1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</row>
    <row r="778" ht="15.75" hidden="1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</row>
    <row r="779" ht="15.75" hidden="1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</row>
    <row r="780" ht="15.75" hidden="1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</row>
    <row r="781" ht="15.75" hidden="1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</row>
    <row r="782" ht="15.75" hidden="1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</row>
    <row r="783" ht="15.75" hidden="1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</row>
    <row r="784" ht="15.75" hidden="1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</row>
    <row r="785" ht="15.75" hidden="1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</row>
    <row r="786" ht="15.75" hidden="1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</row>
    <row r="787" ht="15.75" hidden="1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</row>
    <row r="788" ht="15.75" hidden="1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</row>
    <row r="789" ht="15.75" hidden="1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</row>
    <row r="790" ht="15.75" hidden="1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</row>
    <row r="791" ht="15.75" hidden="1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</row>
    <row r="792" ht="15.75" hidden="1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</row>
    <row r="793" ht="15.75" hidden="1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</row>
    <row r="794" ht="15.75" hidden="1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</row>
    <row r="795" ht="15.75" hidden="1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</row>
    <row r="796" ht="15.75" hidden="1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</row>
    <row r="797" ht="15.75" hidden="1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</row>
    <row r="798" ht="15.75" hidden="1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</row>
    <row r="799" ht="15.75" hidden="1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</row>
    <row r="800" ht="15.75" hidden="1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</row>
    <row r="801" ht="15.75" hidden="1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</row>
    <row r="802" ht="15.75" hidden="1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</row>
    <row r="803" ht="15.75" hidden="1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</row>
    <row r="804" ht="15.75" hidden="1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</row>
    <row r="805" ht="15.75" hidden="1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</row>
    <row r="806" ht="15.75" hidden="1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</row>
    <row r="807" ht="15.75" hidden="1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</row>
    <row r="808" ht="15.75" hidden="1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</row>
    <row r="809" ht="15.75" hidden="1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</row>
    <row r="810" ht="15.75" hidden="1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</row>
    <row r="811" ht="15.75" hidden="1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</row>
    <row r="812" ht="15.75" hidden="1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</row>
    <row r="813" ht="15.75" hidden="1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</row>
    <row r="814" ht="15.75" hidden="1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</row>
    <row r="815" ht="15.75" hidden="1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</row>
    <row r="816" ht="15.75" hidden="1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</row>
    <row r="817" ht="15.75" hidden="1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</row>
    <row r="818" ht="15.75" hidden="1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</row>
    <row r="819" ht="15.75" hidden="1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</row>
    <row r="820" ht="15.75" hidden="1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</row>
    <row r="821" ht="15.75" hidden="1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</row>
    <row r="822" ht="15.75" hidden="1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</row>
    <row r="823" ht="15.75" hidden="1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</row>
    <row r="824" ht="15.75" hidden="1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</row>
    <row r="825" ht="15.75" hidden="1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</row>
    <row r="826" ht="15.75" hidden="1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</row>
    <row r="827" ht="15.75" hidden="1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</row>
    <row r="828" ht="15.75" hidden="1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</row>
    <row r="829" ht="15.75" hidden="1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</row>
    <row r="830" ht="15.75" hidden="1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</row>
    <row r="831" ht="15.75" hidden="1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</row>
    <row r="832" ht="15.75" hidden="1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</row>
    <row r="833" ht="15.75" hidden="1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</row>
    <row r="834" ht="15.75" hidden="1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</row>
    <row r="835" ht="15.75" hidden="1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</row>
    <row r="836" ht="15.75" hidden="1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</row>
    <row r="837" ht="15.75" hidden="1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</row>
    <row r="838" ht="15.75" hidden="1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</row>
    <row r="839" ht="15.75" hidden="1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</row>
    <row r="840" ht="15.75" hidden="1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</row>
    <row r="841" ht="15.75" hidden="1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</row>
    <row r="842" ht="15.75" hidden="1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</row>
    <row r="843" ht="15.75" hidden="1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</row>
    <row r="844" ht="15.75" hidden="1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</row>
    <row r="845" ht="15.75" hidden="1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</row>
    <row r="846" ht="15.75" hidden="1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</row>
    <row r="847" ht="15.75" hidden="1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</row>
    <row r="848" ht="15.75" hidden="1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</row>
    <row r="849" ht="15.75" hidden="1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</row>
    <row r="850" ht="15.75" hidden="1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</row>
    <row r="851" ht="15.75" hidden="1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</row>
    <row r="852" ht="15.75" hidden="1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</row>
    <row r="853" ht="15.75" hidden="1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</row>
    <row r="854" ht="15.75" hidden="1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</row>
    <row r="855" ht="15.75" hidden="1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</row>
    <row r="856" ht="15.75" hidden="1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</row>
    <row r="857" ht="15.75" hidden="1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</row>
    <row r="858" ht="15.75" hidden="1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</row>
    <row r="859" ht="15.75" hidden="1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</row>
    <row r="860" ht="15.75" hidden="1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</row>
    <row r="861" ht="15.75" hidden="1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</row>
    <row r="862" ht="15.75" hidden="1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</row>
    <row r="863" ht="15.75" hidden="1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</row>
    <row r="864" ht="15.75" hidden="1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</row>
    <row r="865" ht="15.75" hidden="1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</row>
    <row r="866" ht="15.75" hidden="1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</row>
    <row r="867" ht="15.75" hidden="1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</row>
    <row r="868" ht="15.75" hidden="1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</row>
    <row r="869" ht="15.75" hidden="1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</row>
    <row r="870" ht="15.75" hidden="1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</row>
    <row r="871" ht="15.75" hidden="1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</row>
    <row r="872" ht="15.75" hidden="1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</row>
    <row r="873" ht="15.75" hidden="1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</row>
    <row r="874" ht="15.75" hidden="1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</row>
    <row r="875" ht="15.75" hidden="1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</row>
    <row r="876" ht="15.75" hidden="1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</row>
    <row r="877" ht="15.75" hidden="1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</row>
    <row r="878" ht="15.75" hidden="1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</row>
    <row r="879" ht="15.75" hidden="1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</row>
    <row r="880" ht="15.75" hidden="1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</row>
    <row r="881" ht="15.75" hidden="1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</row>
    <row r="882" ht="15.75" hidden="1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</row>
    <row r="883" ht="15.75" hidden="1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</row>
    <row r="884" ht="15.75" hidden="1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</row>
    <row r="885" ht="15.75" hidden="1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</row>
    <row r="886" ht="15.75" hidden="1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</row>
    <row r="887" ht="15.75" hidden="1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4"/>
    </row>
    <row r="888" ht="15.75" hidden="1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4"/>
    </row>
    <row r="889" ht="15.75" hidden="1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4"/>
    </row>
    <row r="890" ht="15.75" hidden="1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4"/>
    </row>
    <row r="891" ht="15.75" hidden="1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</row>
    <row r="892" ht="15.75" hidden="1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4"/>
    </row>
    <row r="893" ht="15.75" hidden="1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4"/>
    </row>
    <row r="894" ht="15.75" hidden="1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4"/>
    </row>
    <row r="895" ht="15.75" hidden="1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4"/>
    </row>
    <row r="896" ht="15.75" hidden="1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</row>
    <row r="897" ht="15.75" hidden="1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4"/>
    </row>
    <row r="898" ht="15.75" hidden="1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4"/>
    </row>
    <row r="899" ht="15.75" hidden="1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4"/>
    </row>
    <row r="900" ht="15.75" hidden="1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4"/>
    </row>
    <row r="901" ht="15.75" hidden="1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4"/>
    </row>
    <row r="902" ht="15.75" hidden="1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4"/>
    </row>
    <row r="903" ht="15.75" hidden="1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4"/>
    </row>
    <row r="904" ht="15.75" hidden="1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4"/>
    </row>
    <row r="905" ht="15.75" hidden="1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4"/>
    </row>
    <row r="906" ht="15.75" hidden="1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</row>
    <row r="907" ht="15.75" hidden="1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</row>
    <row r="908" ht="15.75" hidden="1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</row>
    <row r="909" ht="15.75" hidden="1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</row>
    <row r="910" ht="15.75" hidden="1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</row>
    <row r="911" ht="15.75" hidden="1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</row>
    <row r="912" ht="15.75" hidden="1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</row>
    <row r="913" ht="15.75" hidden="1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</row>
    <row r="914" ht="15.75" hidden="1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</row>
    <row r="915" ht="15.75" hidden="1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</row>
    <row r="916" ht="15.75" hidden="1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</row>
    <row r="917" ht="15.75" hidden="1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</row>
    <row r="918" ht="15.75" hidden="1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</row>
    <row r="919" ht="15.75" hidden="1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</row>
    <row r="920" ht="15.75" hidden="1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</row>
    <row r="921" ht="15.75" hidden="1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</row>
    <row r="922" ht="15.75" hidden="1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</row>
    <row r="923" ht="15.75" hidden="1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</row>
    <row r="924" ht="15.75" hidden="1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</row>
    <row r="925" ht="15.75" hidden="1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</row>
    <row r="926" ht="15.75" hidden="1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</row>
    <row r="927" ht="15.75" hidden="1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</row>
    <row r="928" ht="15.75" hidden="1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</row>
    <row r="929" ht="15.75" hidden="1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</row>
    <row r="930" ht="15.75" hidden="1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</row>
    <row r="931" ht="15.75" hidden="1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</row>
    <row r="932" ht="15.75" hidden="1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</row>
    <row r="933" ht="15.75" hidden="1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</row>
    <row r="934" ht="15.75" hidden="1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</row>
    <row r="935" ht="15.75" hidden="1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</row>
    <row r="936" ht="15.75" hidden="1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</row>
    <row r="937" ht="15.75" hidden="1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</row>
    <row r="938" ht="15.75" hidden="1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</row>
    <row r="939" ht="15.75" hidden="1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</row>
    <row r="940" ht="15.75" hidden="1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</row>
    <row r="941" ht="15.75" hidden="1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</row>
    <row r="942" ht="15.75" hidden="1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</row>
    <row r="943" ht="15.75" hidden="1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</row>
    <row r="944" ht="15.75" hidden="1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</row>
    <row r="945" ht="15.75" hidden="1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</row>
    <row r="946" ht="15.75" hidden="1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</row>
    <row r="947" ht="15.75" hidden="1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</row>
    <row r="948" ht="15.75" hidden="1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</row>
    <row r="949" ht="15.75" hidden="1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</row>
    <row r="950" ht="15.75" hidden="1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</row>
    <row r="951" ht="15.75" hidden="1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</row>
    <row r="952" ht="15.75" hidden="1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</row>
    <row r="953" ht="15.75" hidden="1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</row>
    <row r="954" ht="15.75" hidden="1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</row>
    <row r="955" ht="15.75" hidden="1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</row>
    <row r="956" ht="15.75" hidden="1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</row>
    <row r="957" ht="15.75" hidden="1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</row>
    <row r="958" ht="15.75" hidden="1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</row>
    <row r="959" ht="15.75" hidden="1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</row>
    <row r="960" ht="15.75" hidden="1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</row>
    <row r="961" ht="15.75" hidden="1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</row>
    <row r="962" ht="15.75" hidden="1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</row>
    <row r="963" ht="15.75" hidden="1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</row>
    <row r="964" ht="15.75" hidden="1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</row>
    <row r="965" ht="15.75" hidden="1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</row>
    <row r="966" ht="15.75" hidden="1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</row>
    <row r="967" ht="15.75" hidden="1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</row>
    <row r="968" ht="15.75" hidden="1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</row>
    <row r="969" ht="15.75" hidden="1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</row>
    <row r="970" ht="15.75" hidden="1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</row>
    <row r="971" ht="15.75" hidden="1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</row>
    <row r="972" ht="15.75" hidden="1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4"/>
    </row>
    <row r="973" ht="15.75" hidden="1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4"/>
    </row>
    <row r="974" ht="15.75" hidden="1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</row>
    <row r="975" ht="15.75" hidden="1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</row>
    <row r="976" ht="15.75" hidden="1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</row>
    <row r="977" ht="15.75" hidden="1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</row>
    <row r="978" ht="15.75" hidden="1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</row>
    <row r="979" ht="15.75" hidden="1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</row>
    <row r="980" ht="15.75" hidden="1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</row>
    <row r="981" ht="15.75" hidden="1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</row>
    <row r="982" ht="15.75" hidden="1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</row>
    <row r="983" ht="15.75" hidden="1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</row>
    <row r="984" ht="15.75" hidden="1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</row>
    <row r="985" ht="15.75" hidden="1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</row>
    <row r="986" ht="15.75" hidden="1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</row>
    <row r="987" ht="15.75" hidden="1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4"/>
    </row>
    <row r="988" ht="15.75" hidden="1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184"/>
      <c r="AH988" s="184"/>
    </row>
    <row r="989" ht="15.75" hidden="1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  <c r="AD989" s="184"/>
      <c r="AE989" s="184"/>
      <c r="AF989" s="184"/>
      <c r="AG989" s="184"/>
      <c r="AH989" s="184"/>
    </row>
    <row r="990" ht="15.75" hidden="1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  <c r="AD990" s="184"/>
      <c r="AE990" s="184"/>
      <c r="AF990" s="184"/>
      <c r="AG990" s="184"/>
      <c r="AH990" s="184"/>
    </row>
    <row r="991" ht="15.75" hidden="1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  <c r="AD991" s="184"/>
      <c r="AE991" s="184"/>
      <c r="AF991" s="184"/>
      <c r="AG991" s="184"/>
      <c r="AH991" s="184"/>
    </row>
    <row r="992" ht="15.75" hidden="1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  <c r="AD992" s="184"/>
      <c r="AE992" s="184"/>
      <c r="AF992" s="184"/>
      <c r="AG992" s="184"/>
      <c r="AH992" s="184"/>
    </row>
    <row r="993" ht="15.75" hidden="1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  <c r="AD993" s="184"/>
      <c r="AE993" s="184"/>
      <c r="AF993" s="184"/>
      <c r="AG993" s="184"/>
      <c r="AH993" s="184"/>
    </row>
    <row r="994" ht="15.75" hidden="1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  <c r="AD994" s="184"/>
      <c r="AE994" s="184"/>
      <c r="AF994" s="184"/>
      <c r="AG994" s="184"/>
      <c r="AH994" s="184"/>
    </row>
    <row r="995" ht="15.75" hidden="1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  <c r="AD995" s="184"/>
      <c r="AE995" s="184"/>
      <c r="AF995" s="184"/>
      <c r="AG995" s="184"/>
      <c r="AH995" s="184"/>
    </row>
    <row r="996" ht="15.75" hidden="1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  <c r="AD996" s="184"/>
      <c r="AE996" s="184"/>
      <c r="AF996" s="184"/>
      <c r="AG996" s="184"/>
      <c r="AH996" s="184"/>
    </row>
    <row r="997" ht="15.75" hidden="1" customHeight="1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  <c r="AC997" s="184"/>
      <c r="AD997" s="184"/>
      <c r="AE997" s="184"/>
      <c r="AF997" s="184"/>
      <c r="AG997" s="184"/>
      <c r="AH997" s="184"/>
    </row>
    <row r="998" ht="15.75" hidden="1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  <c r="AC998" s="184"/>
      <c r="AD998" s="184"/>
      <c r="AE998" s="184"/>
      <c r="AF998" s="184"/>
      <c r="AG998" s="184"/>
      <c r="AH998" s="184"/>
    </row>
    <row r="999" ht="15.75" hidden="1" customHeight="1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  <c r="AC999" s="184"/>
      <c r="AD999" s="184"/>
      <c r="AE999" s="184"/>
      <c r="AF999" s="184"/>
      <c r="AG999" s="184"/>
      <c r="AH999" s="184"/>
    </row>
    <row r="1000" ht="15.75" hidden="1" customHeight="1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  <c r="AA1000" s="184"/>
      <c r="AB1000" s="184"/>
      <c r="AC1000" s="184"/>
      <c r="AD1000" s="184"/>
      <c r="AE1000" s="184"/>
      <c r="AF1000" s="184"/>
      <c r="AG1000" s="184"/>
      <c r="AH1000" s="184"/>
    </row>
    <row r="1001" ht="15.75" hidden="1" customHeight="1">
      <c r="A1001" s="184"/>
      <c r="B1001" s="184"/>
      <c r="C1001" s="184"/>
      <c r="D1001" s="184"/>
      <c r="E1001" s="184"/>
      <c r="F1001" s="184"/>
      <c r="G1001" s="184"/>
      <c r="H1001" s="184"/>
      <c r="I1001" s="184"/>
      <c r="J1001" s="184"/>
      <c r="K1001" s="184"/>
      <c r="L1001" s="184"/>
      <c r="M1001" s="184"/>
      <c r="N1001" s="184"/>
      <c r="O1001" s="184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  <c r="AA1001" s="184"/>
      <c r="AB1001" s="184"/>
      <c r="AC1001" s="184"/>
      <c r="AD1001" s="184"/>
      <c r="AE1001" s="184"/>
      <c r="AF1001" s="184"/>
      <c r="AG1001" s="184"/>
      <c r="AH1001" s="184"/>
    </row>
    <row r="1002" ht="15.75" hidden="1" customHeight="1">
      <c r="A1002" s="184"/>
      <c r="B1002" s="184"/>
      <c r="C1002" s="184"/>
      <c r="D1002" s="184"/>
      <c r="E1002" s="184"/>
      <c r="F1002" s="184"/>
      <c r="G1002" s="184"/>
      <c r="H1002" s="184"/>
      <c r="I1002" s="184"/>
      <c r="J1002" s="184"/>
      <c r="K1002" s="184"/>
      <c r="L1002" s="184"/>
      <c r="M1002" s="184"/>
      <c r="N1002" s="184"/>
      <c r="O1002" s="184"/>
      <c r="P1002" s="184"/>
      <c r="Q1002" s="184"/>
      <c r="R1002" s="184"/>
      <c r="S1002" s="184"/>
      <c r="T1002" s="184"/>
      <c r="U1002" s="184"/>
      <c r="V1002" s="184"/>
      <c r="W1002" s="184"/>
      <c r="X1002" s="184"/>
      <c r="Y1002" s="184"/>
      <c r="Z1002" s="184"/>
      <c r="AA1002" s="184"/>
      <c r="AB1002" s="184"/>
      <c r="AC1002" s="184"/>
      <c r="AD1002" s="184"/>
      <c r="AE1002" s="184"/>
      <c r="AF1002" s="184"/>
      <c r="AG1002" s="184"/>
      <c r="AH1002" s="184"/>
    </row>
    <row r="1003" ht="15.75" hidden="1" customHeight="1">
      <c r="A1003" s="184"/>
      <c r="B1003" s="184"/>
      <c r="C1003" s="184"/>
      <c r="D1003" s="184"/>
      <c r="E1003" s="184"/>
      <c r="F1003" s="184"/>
      <c r="G1003" s="184"/>
      <c r="H1003" s="184"/>
      <c r="I1003" s="184"/>
      <c r="J1003" s="184"/>
      <c r="K1003" s="184"/>
      <c r="L1003" s="184"/>
      <c r="M1003" s="184"/>
      <c r="N1003" s="184"/>
      <c r="O1003" s="184"/>
      <c r="P1003" s="184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  <c r="AA1003" s="184"/>
      <c r="AB1003" s="184"/>
      <c r="AC1003" s="184"/>
      <c r="AD1003" s="184"/>
      <c r="AE1003" s="184"/>
      <c r="AF1003" s="184"/>
      <c r="AG1003" s="184"/>
      <c r="AH1003" s="184"/>
    </row>
    <row r="1004" ht="15.75" hidden="1" customHeight="1">
      <c r="A1004" s="184"/>
      <c r="B1004" s="184"/>
      <c r="C1004" s="184"/>
      <c r="D1004" s="184"/>
      <c r="E1004" s="184"/>
      <c r="F1004" s="184"/>
      <c r="G1004" s="184"/>
      <c r="H1004" s="184"/>
      <c r="I1004" s="184"/>
      <c r="J1004" s="184"/>
      <c r="K1004" s="184"/>
      <c r="L1004" s="184"/>
      <c r="M1004" s="184"/>
      <c r="N1004" s="184"/>
      <c r="O1004" s="184"/>
      <c r="P1004" s="184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</row>
    <row r="1005" ht="15.75" hidden="1" customHeight="1">
      <c r="A1005" s="184"/>
      <c r="B1005" s="184"/>
      <c r="C1005" s="184"/>
      <c r="D1005" s="184"/>
      <c r="E1005" s="184"/>
      <c r="F1005" s="184"/>
      <c r="G1005" s="184"/>
      <c r="H1005" s="184"/>
      <c r="I1005" s="184"/>
      <c r="J1005" s="184"/>
      <c r="K1005" s="184"/>
      <c r="L1005" s="184"/>
      <c r="M1005" s="184"/>
      <c r="N1005" s="184"/>
      <c r="O1005" s="184"/>
      <c r="P1005" s="184"/>
      <c r="Q1005" s="184"/>
      <c r="R1005" s="184"/>
      <c r="S1005" s="184"/>
      <c r="T1005" s="184"/>
      <c r="U1005" s="184"/>
      <c r="V1005" s="184"/>
      <c r="W1005" s="184"/>
      <c r="X1005" s="184"/>
      <c r="Y1005" s="184"/>
      <c r="Z1005" s="184"/>
      <c r="AA1005" s="184"/>
      <c r="AB1005" s="184"/>
      <c r="AC1005" s="184"/>
      <c r="AD1005" s="184"/>
      <c r="AE1005" s="184"/>
      <c r="AF1005" s="184"/>
      <c r="AG1005" s="184"/>
      <c r="AH1005" s="184"/>
    </row>
    <row r="1006" ht="15.75" hidden="1" customHeight="1">
      <c r="A1006" s="184"/>
      <c r="B1006" s="184"/>
      <c r="C1006" s="184"/>
      <c r="D1006" s="184"/>
      <c r="E1006" s="184"/>
      <c r="F1006" s="184"/>
      <c r="G1006" s="184"/>
      <c r="H1006" s="184"/>
      <c r="I1006" s="184"/>
      <c r="J1006" s="184"/>
      <c r="K1006" s="184"/>
      <c r="L1006" s="184"/>
      <c r="M1006" s="184"/>
      <c r="N1006" s="184"/>
      <c r="O1006" s="184"/>
      <c r="P1006" s="184"/>
      <c r="Q1006" s="184"/>
      <c r="R1006" s="184"/>
      <c r="S1006" s="184"/>
      <c r="T1006" s="184"/>
      <c r="U1006" s="184"/>
      <c r="V1006" s="184"/>
      <c r="W1006" s="184"/>
      <c r="X1006" s="184"/>
      <c r="Y1006" s="184"/>
      <c r="Z1006" s="184"/>
      <c r="AA1006" s="184"/>
      <c r="AB1006" s="184"/>
      <c r="AC1006" s="184"/>
      <c r="AD1006" s="184"/>
      <c r="AE1006" s="184"/>
      <c r="AF1006" s="184"/>
      <c r="AG1006" s="184"/>
      <c r="AH1006" s="184"/>
    </row>
  </sheetData>
  <mergeCells count="58">
    <mergeCell ref="A1:C7"/>
    <mergeCell ref="D1:AH2"/>
    <mergeCell ref="J3:N3"/>
    <mergeCell ref="O3:W6"/>
    <mergeCell ref="X3:AH6"/>
    <mergeCell ref="D4:D6"/>
    <mergeCell ref="J4:N4"/>
    <mergeCell ref="X7:AG7"/>
    <mergeCell ref="N7:N9"/>
    <mergeCell ref="M8:M9"/>
    <mergeCell ref="E9:F44"/>
    <mergeCell ref="H9:I44"/>
    <mergeCell ref="K9:L44"/>
    <mergeCell ref="J5:N5"/>
    <mergeCell ref="J6:N6"/>
    <mergeCell ref="U7:U9"/>
    <mergeCell ref="V7:V9"/>
    <mergeCell ref="W7:W9"/>
    <mergeCell ref="AH7:AH9"/>
    <mergeCell ref="J8:L8"/>
    <mergeCell ref="X8:Z8"/>
    <mergeCell ref="D7:L7"/>
    <mergeCell ref="O7:T7"/>
    <mergeCell ref="A8:A9"/>
    <mergeCell ref="B8:C9"/>
    <mergeCell ref="D8:F8"/>
    <mergeCell ref="G8:I8"/>
    <mergeCell ref="O8:O9"/>
    <mergeCell ref="Q8:Q9"/>
    <mergeCell ref="S8:S9"/>
    <mergeCell ref="X10:Z10"/>
    <mergeCell ref="X11:Z11"/>
    <mergeCell ref="X12:Z12"/>
    <mergeCell ref="X13:Z13"/>
    <mergeCell ref="X16:AG16"/>
    <mergeCell ref="X14:Z14"/>
    <mergeCell ref="X17:Z17"/>
    <mergeCell ref="X18:Z18"/>
    <mergeCell ref="X19:Z19"/>
    <mergeCell ref="X20:Z20"/>
    <mergeCell ref="X21:Z21"/>
    <mergeCell ref="X24:AG24"/>
    <mergeCell ref="X32:AG32"/>
    <mergeCell ref="X31:Z31"/>
    <mergeCell ref="X33:Z33"/>
    <mergeCell ref="X34:Z34"/>
    <mergeCell ref="X35:Z35"/>
    <mergeCell ref="X36:Z36"/>
    <mergeCell ref="X37:Z37"/>
    <mergeCell ref="X38:Z38"/>
    <mergeCell ref="X39:Z39"/>
    <mergeCell ref="X22:Z22"/>
    <mergeCell ref="X25:Z25"/>
    <mergeCell ref="X26:Z26"/>
    <mergeCell ref="X27:Z27"/>
    <mergeCell ref="X28:Z28"/>
    <mergeCell ref="X29:Z29"/>
    <mergeCell ref="X30:Z30"/>
  </mergeCells>
  <conditionalFormatting sqref="V10:W44">
    <cfRule type="expression" dxfId="13" priority="1">
      <formula>$U10="NE"</formula>
    </cfRule>
  </conditionalFormatting>
  <conditionalFormatting sqref="V10:W44">
    <cfRule type="expression" dxfId="14" priority="2">
      <formula>$U10="RPO"</formula>
    </cfRule>
  </conditionalFormatting>
  <conditionalFormatting sqref="V10:W44">
    <cfRule type="expression" dxfId="6" priority="3">
      <formula>$U10&gt;=5</formula>
    </cfRule>
  </conditionalFormatting>
  <conditionalFormatting sqref="U10:W44">
    <cfRule type="expression" dxfId="13" priority="4">
      <formula>$A10="REP"</formula>
    </cfRule>
  </conditionalFormatting>
  <conditionalFormatting sqref="D10:D44 G10:G44 J10:J44 M10:T44 AH10:AH44">
    <cfRule type="expression" dxfId="10" priority="5">
      <formula>$A10="REP"</formula>
    </cfRule>
  </conditionalFormatting>
  <conditionalFormatting sqref="D10:D44 G10:G44 J10:J44 M10:W44 AH10:AH44">
    <cfRule type="expression" dxfId="2" priority="6">
      <formula>$A10="BAJA"</formula>
    </cfRule>
  </conditionalFormatting>
  <conditionalFormatting sqref="U10:W44">
    <cfRule type="cellIs" dxfId="7" priority="7" operator="equal">
      <formula>"NE"</formula>
    </cfRule>
  </conditionalFormatting>
  <conditionalFormatting sqref="V10:W44">
    <cfRule type="expression" dxfId="6" priority="8">
      <formula>U10&gt;5</formula>
    </cfRule>
  </conditionalFormatting>
  <conditionalFormatting sqref="N10:N44">
    <cfRule type="cellIs" dxfId="4" priority="9" operator="equal">
      <formula>"CO"</formula>
    </cfRule>
  </conditionalFormatting>
  <conditionalFormatting sqref="D10:D44 G10:G44 J10:J44 M10:W44 AH10:AH44">
    <cfRule type="expression" dxfId="12" priority="10">
      <formula>$A10="CO"</formula>
    </cfRule>
  </conditionalFormatting>
  <conditionalFormatting sqref="D10:D44 G10:G44 J10:J44 M10:W44 AH10:AH44">
    <cfRule type="expression" dxfId="15" priority="11">
      <formula>$A10="AA"</formula>
    </cfRule>
  </conditionalFormatting>
  <conditionalFormatting sqref="D10:D44 G10:G44 J10:J44 M10:W44 AH10:AH44">
    <cfRule type="expression" dxfId="15" priority="12">
      <formula>$A10="RC"</formula>
    </cfRule>
  </conditionalFormatting>
  <conditionalFormatting sqref="D10:D44 G10:G44 J10:J44 M10:U44 AH10:AH44">
    <cfRule type="expression" dxfId="15" priority="13">
      <formula>$A10="RPO"</formula>
    </cfRule>
  </conditionalFormatting>
  <conditionalFormatting sqref="D10:D44 G10:G44 J10:J44 M10:T44 AH10:AH44">
    <cfRule type="expression" dxfId="12" priority="14">
      <formula>$A10="RPE"</formula>
    </cfRule>
  </conditionalFormatting>
  <conditionalFormatting sqref="R10:R44">
    <cfRule type="expression" dxfId="16" priority="15">
      <formula>$Q10&gt;=5</formula>
    </cfRule>
  </conditionalFormatting>
  <conditionalFormatting sqref="R10:R44">
    <cfRule type="containsBlanks" dxfId="14" priority="16">
      <formula>LEN(TRIM(R10))=0</formula>
    </cfRule>
  </conditionalFormatting>
  <conditionalFormatting sqref="P10:P44">
    <cfRule type="expression" dxfId="17" priority="17">
      <formula>$O10&gt;=5</formula>
    </cfRule>
  </conditionalFormatting>
  <conditionalFormatting sqref="P10:P44">
    <cfRule type="containsBlanks" dxfId="13" priority="18">
      <formula>LEN(TRIM(P10))=0</formula>
    </cfRule>
  </conditionalFormatting>
  <conditionalFormatting sqref="O10:O44">
    <cfRule type="containsBlanks" dxfId="18" priority="19">
      <formula>LEN(TRIM(O10))=0</formula>
    </cfRule>
  </conditionalFormatting>
  <conditionalFormatting sqref="V10:W44">
    <cfRule type="expression" dxfId="4" priority="20">
      <formula>$A10="RPE"</formula>
    </cfRule>
  </conditionalFormatting>
  <conditionalFormatting sqref="O10:O44">
    <cfRule type="cellIs" dxfId="19" priority="21" operator="equal">
      <formula>"NE"</formula>
    </cfRule>
  </conditionalFormatting>
  <conditionalFormatting sqref="D10:D44 G10:G44 J10:J44 M10:N44">
    <cfRule type="expression" dxfId="9" priority="22">
      <formula>$O10="CO"</formula>
    </cfRule>
  </conditionalFormatting>
  <conditionalFormatting sqref="D10:D44 G10:G44 J10:J44 M10:N44">
    <cfRule type="expression" dxfId="9" priority="23">
      <formula>$S10="CO"</formula>
    </cfRule>
  </conditionalFormatting>
  <conditionalFormatting sqref="D10:D44 G10:G44 J10:J44 M10:N44">
    <cfRule type="expression" dxfId="9" priority="24">
      <formula>$O10="AA"</formula>
    </cfRule>
  </conditionalFormatting>
  <conditionalFormatting sqref="D10:D44 G10:G44 J10:J44 M10:N44">
    <cfRule type="expression" dxfId="9" priority="25">
      <formula>$S10="AA"</formula>
    </cfRule>
  </conditionalFormatting>
  <conditionalFormatting sqref="D10:D44 G10:G44 J10:J44 M10:N44">
    <cfRule type="expression" dxfId="9" priority="26">
      <formula>$Q10="CO"</formula>
    </cfRule>
  </conditionalFormatting>
  <conditionalFormatting sqref="D10:D44 G10:G44 J10:J44 M10:N44">
    <cfRule type="expression" dxfId="9" priority="27">
      <formula>$Q10="AA"</formula>
    </cfRule>
  </conditionalFormatting>
  <conditionalFormatting sqref="N10:N44">
    <cfRule type="cellIs" dxfId="0" priority="28" operator="lessThan">
      <formula>4.49</formula>
    </cfRule>
  </conditionalFormatting>
  <conditionalFormatting sqref="U10:W44">
    <cfRule type="cellIs" dxfId="0" priority="29" operator="lessThan">
      <formula>5</formula>
    </cfRule>
  </conditionalFormatting>
  <conditionalFormatting sqref="D10:D44 G10:G44">
    <cfRule type="cellIs" dxfId="0" priority="30" operator="lessThan">
      <formula>5</formula>
    </cfRule>
  </conditionalFormatting>
  <conditionalFormatting sqref="J10:J44 M10:M44">
    <cfRule type="cellIs" dxfId="0" priority="31" operator="lessThan">
      <formula>5</formula>
    </cfRule>
  </conditionalFormatting>
  <conditionalFormatting sqref="O10:O44">
    <cfRule type="expression" dxfId="20" priority="32">
      <formula>E10="NO APTO"</formula>
    </cfRule>
  </conditionalFormatting>
  <conditionalFormatting sqref="O10:O44">
    <cfRule type="expression" dxfId="20" priority="33">
      <formula>F10="NO APTO"</formula>
    </cfRule>
  </conditionalFormatting>
  <conditionalFormatting sqref="Q10:Q44">
    <cfRule type="expression" dxfId="6" priority="34">
      <formula>$O10="AA"</formula>
    </cfRule>
  </conditionalFormatting>
  <conditionalFormatting sqref="Q10:Q44">
    <cfRule type="expression" dxfId="9" priority="35">
      <formula>$O10="CO"</formula>
    </cfRule>
  </conditionalFormatting>
  <conditionalFormatting sqref="Q10:Q44">
    <cfRule type="containsBlanks" dxfId="18" priority="36">
      <formula>LEN(TRIM(Q10))=0</formula>
    </cfRule>
  </conditionalFormatting>
  <conditionalFormatting sqref="Q10:Q44">
    <cfRule type="cellIs" dxfId="19" priority="37" operator="equal">
      <formula>"NE"</formula>
    </cfRule>
  </conditionalFormatting>
  <conditionalFormatting sqref="Q10:Q44">
    <cfRule type="expression" dxfId="20" priority="38">
      <formula>H10="NO APTO"</formula>
    </cfRule>
  </conditionalFormatting>
  <conditionalFormatting sqref="Q10:Q44">
    <cfRule type="expression" dxfId="20" priority="39">
      <formula>I10="NO APTO"</formula>
    </cfRule>
  </conditionalFormatting>
  <conditionalFormatting sqref="S10:S44">
    <cfRule type="containsBlanks" dxfId="18" priority="40">
      <formula>LEN(TRIM(S10))=0</formula>
    </cfRule>
  </conditionalFormatting>
  <conditionalFormatting sqref="S10:S44">
    <cfRule type="cellIs" dxfId="21" priority="41" operator="equal">
      <formula>"NE"</formula>
    </cfRule>
  </conditionalFormatting>
  <conditionalFormatting sqref="S10:S44">
    <cfRule type="expression" dxfId="20" priority="42">
      <formula>K10="NO APTO"</formula>
    </cfRule>
  </conditionalFormatting>
  <conditionalFormatting sqref="S10:S44">
    <cfRule type="expression" dxfId="20" priority="43">
      <formula>L10="NO APTO"</formula>
    </cfRule>
  </conditionalFormatting>
  <conditionalFormatting sqref="O10:O44">
    <cfRule type="cellIs" dxfId="22" priority="44" operator="greaterThanOrEqual">
      <formula>5</formula>
    </cfRule>
  </conditionalFormatting>
  <conditionalFormatting sqref="T10:T44">
    <cfRule type="expression" dxfId="16" priority="45">
      <formula>$S10&gt;=5</formula>
    </cfRule>
  </conditionalFormatting>
  <conditionalFormatting sqref="T10:T44">
    <cfRule type="containsBlanks" dxfId="14" priority="46">
      <formula>LEN(TRIM(T10))=0</formula>
    </cfRule>
  </conditionalFormatting>
  <conditionalFormatting sqref="O10:W44">
    <cfRule type="cellIs" dxfId="0" priority="47" operator="lessThan">
      <formula>5</formula>
    </cfRule>
  </conditionalFormatting>
  <conditionalFormatting sqref="O10:W44">
    <cfRule type="cellIs" dxfId="0" priority="48" operator="lessThan">
      <formula>5</formula>
    </cfRule>
  </conditionalFormatting>
  <conditionalFormatting sqref="AB10:AB14">
    <cfRule type="cellIs" dxfId="5" priority="49" operator="notBetween">
      <formula>42</formula>
      <formula>46</formula>
    </cfRule>
  </conditionalFormatting>
  <conditionalFormatting sqref="AB18:AB22">
    <cfRule type="cellIs" dxfId="5" priority="50" operator="notBetween">
      <formula>42</formula>
      <formula>46</formula>
    </cfRule>
  </conditionalFormatting>
  <conditionalFormatting sqref="AB26:AB30">
    <cfRule type="cellIs" dxfId="5" priority="51" operator="notBetween">
      <formula>42</formula>
      <formula>46</formula>
    </cfRule>
  </conditionalFormatting>
  <conditionalFormatting sqref="AB34:AB38">
    <cfRule type="cellIs" dxfId="5" priority="52" operator="notBetween">
      <formula>42</formula>
      <formula>46</formula>
    </cfRule>
  </conditionalFormatting>
  <conditionalFormatting sqref="P10:P44">
    <cfRule type="expression" dxfId="9" priority="53">
      <formula>$O10&gt;=5</formula>
    </cfRule>
  </conditionalFormatting>
  <conditionalFormatting sqref="R10:R44">
    <cfRule type="expression" dxfId="9" priority="54">
      <formula>$Q10&gt;=5</formula>
    </cfRule>
  </conditionalFormatting>
  <conditionalFormatting sqref="A10:C44">
    <cfRule type="expression" dxfId="10" priority="55">
      <formula>$A10="REP"</formula>
    </cfRule>
  </conditionalFormatting>
  <conditionalFormatting sqref="U10:W44">
    <cfRule type="expression" dxfId="6" priority="56">
      <formula>$O10="CO"</formula>
    </cfRule>
  </conditionalFormatting>
  <conditionalFormatting sqref="U10:W44">
    <cfRule type="expression" dxfId="9" priority="57">
      <formula>$O10="AA"</formula>
    </cfRule>
  </conditionalFormatting>
  <conditionalFormatting sqref="U10:W44">
    <cfRule type="expression" dxfId="9" priority="58">
      <formula>$O10="RC"</formula>
    </cfRule>
  </conditionalFormatting>
  <conditionalFormatting sqref="U10:W44">
    <cfRule type="expression" dxfId="9" priority="59">
      <formula>$Q10="RC"</formula>
    </cfRule>
  </conditionalFormatting>
  <conditionalFormatting sqref="U10:W44">
    <cfRule type="expression" dxfId="9" priority="60">
      <formula>$Q10="CO"</formula>
    </cfRule>
  </conditionalFormatting>
  <conditionalFormatting sqref="U10:W44">
    <cfRule type="expression" dxfId="9" priority="61">
      <formula>$Q10="AA"</formula>
    </cfRule>
  </conditionalFormatting>
  <conditionalFormatting sqref="U10:W44">
    <cfRule type="expression" dxfId="9" priority="62">
      <formula>$S10="AA"</formula>
    </cfRule>
  </conditionalFormatting>
  <conditionalFormatting sqref="U10:W44">
    <cfRule type="expression" dxfId="9" priority="63">
      <formula>$S10="CO"</formula>
    </cfRule>
  </conditionalFormatting>
  <conditionalFormatting sqref="U10:W44">
    <cfRule type="expression" dxfId="9" priority="64">
      <formula>$S10="RC"</formula>
    </cfRule>
  </conditionalFormatting>
  <conditionalFormatting sqref="A10:C44">
    <cfRule type="expression" dxfId="11" priority="65">
      <formula>$A10="BAJA"</formula>
    </cfRule>
  </conditionalFormatting>
  <conditionalFormatting sqref="A10:C44">
    <cfRule type="expression" dxfId="3" priority="66">
      <formula>$A10="ACT"</formula>
    </cfRule>
  </conditionalFormatting>
  <conditionalFormatting sqref="A10:C44">
    <cfRule type="expression" dxfId="12" priority="67">
      <formula>$A10="CO"</formula>
    </cfRule>
  </conditionalFormatting>
  <conditionalFormatting sqref="A10:C44">
    <cfRule type="expression" dxfId="12" priority="68">
      <formula>$A10="AA"</formula>
    </cfRule>
  </conditionalFormatting>
  <conditionalFormatting sqref="A10:C44">
    <cfRule type="expression" dxfId="12" priority="69">
      <formula>$A10="RC"</formula>
    </cfRule>
  </conditionalFormatting>
  <conditionalFormatting sqref="A10:C44">
    <cfRule type="expression" dxfId="12" priority="70">
      <formula>$A10="RPO"</formula>
    </cfRule>
  </conditionalFormatting>
  <conditionalFormatting sqref="A10:C44">
    <cfRule type="expression" dxfId="12" priority="71">
      <formula>$A10="RPE"</formula>
    </cfRule>
  </conditionalFormatting>
  <conditionalFormatting sqref="T10:T44">
    <cfRule type="expression" dxfId="9" priority="72">
      <formula>$S10&gt;=5</formula>
    </cfRule>
  </conditionalFormatting>
  <conditionalFormatting sqref="Q10:Q44">
    <cfRule type="cellIs" dxfId="22" priority="73" operator="greaterThanOrEqual">
      <formula>5</formula>
    </cfRule>
  </conditionalFormatting>
  <conditionalFormatting sqref="S10:S44">
    <cfRule type="cellIs" dxfId="22" priority="74" operator="greaterThanOrEqual">
      <formula>5</formula>
    </cfRule>
  </conditionalFormatting>
  <conditionalFormatting sqref="U10:W44">
    <cfRule type="cellIs" dxfId="22" priority="75" operator="greaterThanOrEqual">
      <formula>5</formula>
    </cfRule>
  </conditionalFormatting>
  <conditionalFormatting sqref="D10:D44">
    <cfRule type="expression" dxfId="20" priority="76">
      <formula>E10="NO APTO"</formula>
    </cfRule>
  </conditionalFormatting>
  <conditionalFormatting sqref="D10:D44">
    <cfRule type="expression" dxfId="20" priority="77">
      <formula>F10="NO APTO"</formula>
    </cfRule>
  </conditionalFormatting>
  <conditionalFormatting sqref="G10:G44">
    <cfRule type="expression" dxfId="20" priority="78">
      <formula>H10="NO APTO"</formula>
    </cfRule>
  </conditionalFormatting>
  <conditionalFormatting sqref="G10:G44">
    <cfRule type="expression" dxfId="20" priority="79">
      <formula>I10="NO APTO"</formula>
    </cfRule>
  </conditionalFormatting>
  <conditionalFormatting sqref="J10:J44">
    <cfRule type="expression" dxfId="20" priority="80">
      <formula>K10="NO APTO"</formula>
    </cfRule>
  </conditionalFormatting>
  <conditionalFormatting sqref="J10:J44">
    <cfRule type="expression" dxfId="20" priority="81">
      <formula>L10="NO APTO"</formula>
    </cfRule>
  </conditionalFormatting>
  <conditionalFormatting sqref="W10:W44">
    <cfRule type="cellIs" dxfId="23" priority="82" operator="equal">
      <formula>"NO SUPERADO"</formula>
    </cfRule>
  </conditionalFormatting>
  <conditionalFormatting sqref="W10:W44">
    <cfRule type="containsText" dxfId="22" priority="83" operator="containsText" text="SUPERADO">
      <formula>NOT(ISERROR(SEARCH(("SUPERADO"),(W10))))</formula>
    </cfRule>
  </conditionalFormatting>
  <dataValidations>
    <dataValidation type="list" allowBlank="1" sqref="O10:V44">
      <formula1>"NE,1,2,3,4,5,6,7,8,9,10,REP,CO,AA,RC,RPO,RPE,BAJA"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1859B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0.1" defaultRowHeight="15.0"/>
  <cols>
    <col customWidth="1" min="1" max="1" width="7.3"/>
    <col customWidth="1" min="2" max="2" width="6.0"/>
    <col customWidth="1" min="3" max="3" width="57.5"/>
    <col customWidth="1" min="4" max="4" width="16.3"/>
    <col customWidth="1" min="5" max="5" width="11.7"/>
    <col customWidth="1" min="6" max="6" width="8.7"/>
    <col customWidth="1" hidden="1" min="7" max="7" width="4.1"/>
    <col customWidth="1" min="8" max="13" width="7.6"/>
    <col customWidth="1" min="14" max="14" width="11.1"/>
    <col customWidth="1" hidden="1" min="15" max="15" width="3.5"/>
    <col customWidth="1" min="16" max="16" width="14.1"/>
    <col customWidth="1" min="17" max="17" width="9.8"/>
    <col customWidth="1" min="18" max="18" width="16.7"/>
    <col customWidth="1" min="19" max="20" width="9.3"/>
    <col customWidth="1" hidden="1" min="21" max="21" width="5.3"/>
    <col customWidth="1" min="22" max="25" width="7.6"/>
    <col customWidth="1" min="26" max="26" width="14.3"/>
    <col customWidth="1" hidden="1" min="27" max="27" width="3.9"/>
    <col customWidth="1" min="28" max="28" width="12.7"/>
    <col customWidth="1" min="29" max="29" width="9.7"/>
    <col customWidth="1" min="30" max="30" width="17.5"/>
    <col customWidth="1" min="31" max="32" width="8.8"/>
    <col customWidth="1" hidden="1" min="33" max="33" width="11.8"/>
    <col customWidth="1" min="34" max="37" width="7.6"/>
    <col customWidth="1" min="38" max="38" width="11.7"/>
    <col customWidth="1" hidden="1" min="39" max="39" width="2.5"/>
    <col customWidth="1" min="40" max="40" width="12.4"/>
    <col customWidth="1" min="41" max="41" width="12.8"/>
    <col customWidth="1" min="42" max="42" width="35.9"/>
    <col customWidth="1" min="43" max="43" width="10.8"/>
  </cols>
  <sheetData>
    <row r="1" ht="27.0" customHeight="1">
      <c r="A1" s="44"/>
      <c r="B1" s="45"/>
      <c r="C1" s="45"/>
      <c r="D1" s="313" t="s">
        <v>85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39"/>
    </row>
    <row r="2" ht="15.75" customHeight="1">
      <c r="D2" s="47" t="s">
        <v>19</v>
      </c>
      <c r="E2" s="314" t="s">
        <v>86</v>
      </c>
      <c r="F2" s="315" t="s">
        <v>20</v>
      </c>
      <c r="H2" s="316" t="s">
        <v>87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317"/>
      <c r="AP2" s="317"/>
      <c r="AQ2" s="318"/>
    </row>
    <row r="3" ht="15.75" customHeight="1">
      <c r="D3" s="319"/>
      <c r="E3" s="320" t="s">
        <v>22</v>
      </c>
      <c r="F3" s="58"/>
      <c r="G3" s="321"/>
      <c r="H3" s="322" t="s">
        <v>88</v>
      </c>
      <c r="Y3" s="323"/>
      <c r="Z3" s="324"/>
      <c r="AA3" s="324"/>
      <c r="AB3" s="324"/>
      <c r="AC3" s="324"/>
      <c r="AD3" s="324"/>
      <c r="AE3" s="324"/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5"/>
    </row>
    <row r="4" ht="15.75" customHeight="1">
      <c r="E4" s="326" t="s">
        <v>23</v>
      </c>
      <c r="F4" s="51"/>
      <c r="G4" s="327"/>
      <c r="H4" s="328" t="s">
        <v>89</v>
      </c>
      <c r="I4" s="329"/>
      <c r="J4" s="329"/>
      <c r="K4" s="329"/>
      <c r="L4" s="329"/>
      <c r="M4" s="329"/>
      <c r="N4" s="329"/>
      <c r="O4" s="329"/>
      <c r="P4" s="329"/>
      <c r="Q4" s="329"/>
      <c r="R4" s="330"/>
      <c r="S4" s="331"/>
      <c r="T4" s="332"/>
      <c r="U4" s="332"/>
      <c r="V4" s="332"/>
      <c r="W4" s="332"/>
      <c r="X4" s="332"/>
      <c r="Y4" s="333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5"/>
    </row>
    <row r="5" ht="15.75" customHeight="1">
      <c r="E5" s="334" t="s">
        <v>24</v>
      </c>
      <c r="F5" s="68"/>
      <c r="G5" s="335"/>
      <c r="H5" s="336" t="s">
        <v>90</v>
      </c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8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40"/>
    </row>
    <row r="6" ht="21.0" customHeight="1">
      <c r="D6" s="341" t="s">
        <v>25</v>
      </c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3"/>
      <c r="R6" s="344" t="s">
        <v>26</v>
      </c>
      <c r="S6" s="90"/>
      <c r="T6" s="90"/>
      <c r="U6" s="90"/>
      <c r="V6" s="90"/>
      <c r="W6" s="90"/>
      <c r="X6" s="90"/>
      <c r="Y6" s="90"/>
      <c r="Z6" s="90"/>
      <c r="AA6" s="90"/>
      <c r="AB6" s="90"/>
      <c r="AC6" s="91"/>
      <c r="AD6" s="345" t="s">
        <v>27</v>
      </c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1"/>
      <c r="AP6" s="346" t="s">
        <v>91</v>
      </c>
      <c r="AQ6" s="347" t="s">
        <v>5</v>
      </c>
    </row>
    <row r="7" ht="42.0" customHeight="1">
      <c r="D7" s="348" t="s">
        <v>92</v>
      </c>
      <c r="G7" s="139"/>
      <c r="H7" s="349" t="s">
        <v>93</v>
      </c>
      <c r="M7" s="7"/>
      <c r="N7" s="350" t="s">
        <v>94</v>
      </c>
      <c r="O7" s="13"/>
      <c r="P7" s="351" t="s">
        <v>95</v>
      </c>
      <c r="Q7" s="352">
        <v>1.0</v>
      </c>
      <c r="R7" s="353" t="s">
        <v>92</v>
      </c>
      <c r="U7" s="7"/>
      <c r="V7" s="354" t="s">
        <v>93</v>
      </c>
      <c r="Y7" s="7"/>
      <c r="Z7" s="355" t="s">
        <v>94</v>
      </c>
      <c r="AA7" s="10"/>
      <c r="AB7" s="356" t="s">
        <v>95</v>
      </c>
      <c r="AC7" s="357">
        <v>1.0</v>
      </c>
      <c r="AD7" s="358" t="s">
        <v>92</v>
      </c>
      <c r="AG7" s="7"/>
      <c r="AH7" s="359" t="s">
        <v>93</v>
      </c>
      <c r="AK7" s="7"/>
      <c r="AL7" s="360" t="s">
        <v>94</v>
      </c>
      <c r="AM7" s="10"/>
      <c r="AN7" s="361" t="s">
        <v>95</v>
      </c>
      <c r="AO7" s="362">
        <v>1.0</v>
      </c>
      <c r="AP7" s="363"/>
      <c r="AQ7" s="267"/>
    </row>
    <row r="8" ht="22.5" customHeight="1">
      <c r="A8" s="364" t="s">
        <v>29</v>
      </c>
      <c r="B8" s="175" t="s">
        <v>30</v>
      </c>
      <c r="C8" s="227"/>
      <c r="D8" s="365"/>
      <c r="G8" s="139"/>
      <c r="H8" s="366"/>
      <c r="I8" s="9"/>
      <c r="J8" s="9"/>
      <c r="K8" s="9"/>
      <c r="L8" s="9"/>
      <c r="M8" s="10"/>
      <c r="N8" s="367">
        <v>0.6</v>
      </c>
      <c r="O8" s="368"/>
      <c r="P8" s="367">
        <v>0.1</v>
      </c>
      <c r="Q8" s="6"/>
      <c r="R8" s="93"/>
      <c r="S8" s="9"/>
      <c r="T8" s="9"/>
      <c r="U8" s="10"/>
      <c r="V8" s="8"/>
      <c r="W8" s="9"/>
      <c r="X8" s="9"/>
      <c r="Y8" s="10"/>
      <c r="Z8" s="369">
        <v>0.6</v>
      </c>
      <c r="AA8" s="370"/>
      <c r="AB8" s="369">
        <v>0.1</v>
      </c>
      <c r="AC8" s="371"/>
      <c r="AD8" s="93"/>
      <c r="AE8" s="9"/>
      <c r="AF8" s="9"/>
      <c r="AG8" s="10"/>
      <c r="AH8" s="8"/>
      <c r="AI8" s="9"/>
      <c r="AJ8" s="9"/>
      <c r="AK8" s="10"/>
      <c r="AL8" s="372">
        <v>0.6</v>
      </c>
      <c r="AM8" s="370"/>
      <c r="AN8" s="372">
        <v>0.1</v>
      </c>
      <c r="AO8" s="6"/>
      <c r="AP8" s="373" t="s">
        <v>96</v>
      </c>
      <c r="AQ8" s="94"/>
    </row>
    <row r="9" ht="21.75" customHeight="1">
      <c r="A9" s="155"/>
      <c r="B9" s="117"/>
      <c r="C9" s="374"/>
      <c r="D9" s="375" t="s">
        <v>97</v>
      </c>
      <c r="E9" s="376" t="s">
        <v>98</v>
      </c>
      <c r="F9" s="377" t="s">
        <v>99</v>
      </c>
      <c r="G9" s="378"/>
      <c r="H9" s="379" t="s">
        <v>100</v>
      </c>
      <c r="I9" s="379" t="s">
        <v>101</v>
      </c>
      <c r="J9" s="379" t="s">
        <v>102</v>
      </c>
      <c r="K9" s="379" t="s">
        <v>103</v>
      </c>
      <c r="L9" s="379" t="s">
        <v>104</v>
      </c>
      <c r="M9" s="379" t="s">
        <v>105</v>
      </c>
      <c r="N9" s="35"/>
      <c r="O9" s="380"/>
      <c r="P9" s="35"/>
      <c r="Q9" s="8"/>
      <c r="R9" s="381" t="s">
        <v>106</v>
      </c>
      <c r="S9" s="382" t="s">
        <v>98</v>
      </c>
      <c r="T9" s="383" t="s">
        <v>99</v>
      </c>
      <c r="U9" s="384"/>
      <c r="V9" s="385" t="s">
        <v>100</v>
      </c>
      <c r="W9" s="385" t="s">
        <v>101</v>
      </c>
      <c r="X9" s="385" t="s">
        <v>102</v>
      </c>
      <c r="Y9" s="385" t="s">
        <v>103</v>
      </c>
      <c r="Z9" s="35"/>
      <c r="AA9" s="7"/>
      <c r="AB9" s="35"/>
      <c r="AC9" s="122"/>
      <c r="AD9" s="386" t="s">
        <v>107</v>
      </c>
      <c r="AE9" s="387" t="s">
        <v>98</v>
      </c>
      <c r="AF9" s="388" t="s">
        <v>99</v>
      </c>
      <c r="AG9" s="388" t="s">
        <v>108</v>
      </c>
      <c r="AH9" s="385" t="s">
        <v>100</v>
      </c>
      <c r="AI9" s="385" t="s">
        <v>101</v>
      </c>
      <c r="AJ9" s="385" t="s">
        <v>102</v>
      </c>
      <c r="AK9" s="385" t="s">
        <v>103</v>
      </c>
      <c r="AL9" s="35"/>
      <c r="AM9" s="7"/>
      <c r="AN9" s="35"/>
      <c r="AO9" s="8"/>
      <c r="AP9" s="389" t="s">
        <v>109</v>
      </c>
      <c r="AQ9" s="390"/>
    </row>
    <row r="10" ht="15.75" customHeight="1">
      <c r="A10" s="263" t="str">
        <f>INSTITUTO!A10</f>
        <v>ACT</v>
      </c>
      <c r="B10" s="264">
        <f>INSTITUTO!B10</f>
        <v>1</v>
      </c>
      <c r="C10" s="391" t="str">
        <f>INSTITUTO!C10</f>
        <v>Aragón Garcia, Gonzalo</v>
      </c>
      <c r="D10" s="392">
        <v>6.0</v>
      </c>
      <c r="E10" s="393"/>
      <c r="F10" s="127">
        <f t="shared" ref="F10:F44" si="1">IF(AND(0.3*D10+0.6*N10+0.1*P10&lt;8,D10&gt;=4,VALUE(E10)),E10,MAX(D10,E10))</f>
        <v>6</v>
      </c>
      <c r="G10" s="30"/>
      <c r="H10" s="394">
        <v>10.0</v>
      </c>
      <c r="I10" s="394">
        <v>10.0</v>
      </c>
      <c r="J10" s="394">
        <v>8.0</v>
      </c>
      <c r="K10" s="394">
        <v>6.0</v>
      </c>
      <c r="L10" s="394">
        <v>6.0</v>
      </c>
      <c r="M10" s="394">
        <v>6.0</v>
      </c>
      <c r="N10" s="395">
        <f>IFERROR(__xludf.DUMMYFUNCTION("+SUM(H10:M10)/(COUNT(H10:M10))"),7.666666666666667)</f>
        <v>7.666666667</v>
      </c>
      <c r="O10" s="30"/>
      <c r="P10" s="396">
        <v>5.0</v>
      </c>
      <c r="Q10" s="397">
        <f t="shared" ref="Q10:Q44" si="2">F10*0.3+N10*N$8+P10*P$8</f>
        <v>6.9</v>
      </c>
      <c r="R10" s="392">
        <v>9.5</v>
      </c>
      <c r="S10" s="398"/>
      <c r="T10" s="127">
        <f t="shared" ref="T10:T44" si="3">IF(AND(0.3*R10+0.6*Z10+0.1*AB10&lt;8,R10&gt;=4,VALUE(S10)),S10,MAX(R10,S10))</f>
        <v>9.5</v>
      </c>
      <c r="U10" s="30"/>
      <c r="V10" s="394">
        <v>8.5</v>
      </c>
      <c r="W10" s="394">
        <v>8.1</v>
      </c>
      <c r="X10" s="394">
        <v>0.0</v>
      </c>
      <c r="Y10" s="394">
        <v>10.0</v>
      </c>
      <c r="Z10" s="395">
        <f>IFERROR(__xludf.DUMMYFUNCTION("+SUM(V10:Y10)/(COUNT(V10:Y10))"),6.65)</f>
        <v>6.65</v>
      </c>
      <c r="AA10" s="7"/>
      <c r="AB10" s="396">
        <v>5.0</v>
      </c>
      <c r="AC10" s="399">
        <f t="shared" ref="AC10:AC44" si="4">T10*0.3+Z10*Z$8+AB10*AB$8</f>
        <v>7.34</v>
      </c>
      <c r="AD10" s="392">
        <v>5.5</v>
      </c>
      <c r="AE10" s="398"/>
      <c r="AF10" s="400">
        <f t="shared" ref="AF10:AF44" si="5">IF(AND(0.3*AD10+0.6*AL10+0.1*AN10&lt;8,AD10&gt;=4,VALUE(AE10)),AE10,MAX(AD10,AE10))</f>
        <v>5.5</v>
      </c>
      <c r="AG10" s="401" t="str">
        <f t="shared" ref="AG10:AG44" si="6">IF(OR(AF10&gt;=4,AF10&gt;=4),"APTO","NO APTO")</f>
        <v>APTO</v>
      </c>
      <c r="AH10" s="394">
        <v>10.0</v>
      </c>
      <c r="AI10" s="394">
        <v>6.9</v>
      </c>
      <c r="AJ10" s="394">
        <v>8.0</v>
      </c>
      <c r="AK10" s="394">
        <v>5.6</v>
      </c>
      <c r="AL10" s="395">
        <f>IFERROR(__xludf.DUMMYFUNCTION("+SUM(AH10:AK10)/(COUNT(AH10:AK10))"),7.625)</f>
        <v>7.625</v>
      </c>
      <c r="AM10" s="7"/>
      <c r="AN10" s="396">
        <v>10.0</v>
      </c>
      <c r="AO10" s="402">
        <f t="shared" ref="AO10:AO44" si="7">AF10*0.3+AL10*AL$8+AN10*AN$8</f>
        <v>7.225</v>
      </c>
      <c r="AP10" s="403" t="s">
        <v>110</v>
      </c>
      <c r="AQ10" s="404">
        <f>FINAL!N10</f>
        <v>7.155</v>
      </c>
    </row>
    <row r="11" ht="15.75" customHeight="1">
      <c r="A11" s="263" t="str">
        <f>INSTITUTO!A11</f>
        <v>ACT</v>
      </c>
      <c r="B11" s="264">
        <f>INSTITUTO!B11</f>
        <v>2</v>
      </c>
      <c r="C11" s="391" t="str">
        <f>INSTITUTO!C11</f>
        <v>Ariza Criado, Guillermo</v>
      </c>
      <c r="D11" s="392">
        <v>7.5</v>
      </c>
      <c r="E11" s="127"/>
      <c r="F11" s="127">
        <f t="shared" si="1"/>
        <v>7.5</v>
      </c>
      <c r="G11" s="30"/>
      <c r="H11" s="394">
        <v>10.0</v>
      </c>
      <c r="I11" s="394">
        <v>10.0</v>
      </c>
      <c r="J11" s="394">
        <v>9.5</v>
      </c>
      <c r="K11" s="394">
        <v>6.0</v>
      </c>
      <c r="L11" s="394">
        <v>7.5</v>
      </c>
      <c r="M11" s="394">
        <v>9.2</v>
      </c>
      <c r="N11" s="395">
        <f>IFERROR(__xludf.DUMMYFUNCTION("+SUM(H11:M11)/(COUNT(H11:M11))"),8.700000000000001)</f>
        <v>8.7</v>
      </c>
      <c r="O11" s="30"/>
      <c r="P11" s="396">
        <v>10.0</v>
      </c>
      <c r="Q11" s="397">
        <f t="shared" si="2"/>
        <v>8.47</v>
      </c>
      <c r="R11" s="392">
        <v>10.0</v>
      </c>
      <c r="S11" s="398"/>
      <c r="T11" s="127">
        <f t="shared" si="3"/>
        <v>10</v>
      </c>
      <c r="U11" s="30"/>
      <c r="V11" s="394">
        <v>8.2</v>
      </c>
      <c r="W11" s="394">
        <v>9.0</v>
      </c>
      <c r="X11" s="394">
        <v>0.0</v>
      </c>
      <c r="Y11" s="394">
        <v>10.0</v>
      </c>
      <c r="Z11" s="395">
        <f>IFERROR(__xludf.DUMMYFUNCTION("+SUM(V11:Y11)/(COUNT(V11:Y11))"),6.8)</f>
        <v>6.8</v>
      </c>
      <c r="AA11" s="7"/>
      <c r="AB11" s="396">
        <v>5.0</v>
      </c>
      <c r="AC11" s="399">
        <f t="shared" si="4"/>
        <v>7.58</v>
      </c>
      <c r="AD11" s="392">
        <v>9.5</v>
      </c>
      <c r="AE11" s="398"/>
      <c r="AF11" s="400">
        <f t="shared" si="5"/>
        <v>9.5</v>
      </c>
      <c r="AG11" s="401" t="str">
        <f t="shared" si="6"/>
        <v>APTO</v>
      </c>
      <c r="AH11" s="394">
        <v>10.0</v>
      </c>
      <c r="AI11" s="394">
        <v>9.5</v>
      </c>
      <c r="AJ11" s="394">
        <v>9.0</v>
      </c>
      <c r="AK11" s="394">
        <v>10.0</v>
      </c>
      <c r="AL11" s="395">
        <f>IFERROR(__xludf.DUMMYFUNCTION("+SUM(AH11:AK11)/(COUNT(AH11:AK11))"),9.625)</f>
        <v>9.625</v>
      </c>
      <c r="AM11" s="7"/>
      <c r="AN11" s="396">
        <v>10.0</v>
      </c>
      <c r="AO11" s="402">
        <f t="shared" si="7"/>
        <v>9.625</v>
      </c>
      <c r="AP11" s="403" t="s">
        <v>110</v>
      </c>
      <c r="AQ11" s="404">
        <f>FINAL!N11</f>
        <v>8.558333333</v>
      </c>
    </row>
    <row r="12" ht="15.75" customHeight="1">
      <c r="A12" s="263" t="str">
        <f>INSTITUTO!A12</f>
        <v>ACT</v>
      </c>
      <c r="B12" s="264">
        <f>INSTITUTO!B12</f>
        <v>3</v>
      </c>
      <c r="C12" s="391" t="str">
        <f>INSTITUTO!C12</f>
        <v>Barrera Cifuentes, Javier</v>
      </c>
      <c r="D12" s="392">
        <v>4.0</v>
      </c>
      <c r="E12" s="127"/>
      <c r="F12" s="127">
        <f t="shared" si="1"/>
        <v>4</v>
      </c>
      <c r="G12" s="30"/>
      <c r="H12" s="394">
        <v>10.0</v>
      </c>
      <c r="I12" s="394">
        <v>10.0</v>
      </c>
      <c r="J12" s="394">
        <v>8.7</v>
      </c>
      <c r="K12" s="394">
        <v>7.6</v>
      </c>
      <c r="L12" s="394">
        <v>4.0</v>
      </c>
      <c r="M12" s="394">
        <v>6.0</v>
      </c>
      <c r="N12" s="395">
        <f>IFERROR(__xludf.DUMMYFUNCTION("+SUM(H12:M12)/(COUNT(H12:M12))"),7.716666666666666)</f>
        <v>7.716666667</v>
      </c>
      <c r="O12" s="30"/>
      <c r="P12" s="396">
        <v>5.0</v>
      </c>
      <c r="Q12" s="397">
        <f t="shared" si="2"/>
        <v>6.33</v>
      </c>
      <c r="R12" s="392">
        <v>6.0</v>
      </c>
      <c r="S12" s="398"/>
      <c r="T12" s="127">
        <f t="shared" si="3"/>
        <v>6</v>
      </c>
      <c r="U12" s="30"/>
      <c r="V12" s="394">
        <v>7.5</v>
      </c>
      <c r="W12" s="394">
        <v>6.4</v>
      </c>
      <c r="X12" s="394">
        <v>0.0</v>
      </c>
      <c r="Y12" s="394">
        <v>10.0</v>
      </c>
      <c r="Z12" s="395">
        <f>IFERROR(__xludf.DUMMYFUNCTION("+SUM(V12:Y12)/(COUNT(V12:Y12))"),5.975)</f>
        <v>5.975</v>
      </c>
      <c r="AA12" s="7"/>
      <c r="AB12" s="396">
        <v>5.0</v>
      </c>
      <c r="AC12" s="399">
        <f t="shared" si="4"/>
        <v>5.885</v>
      </c>
      <c r="AD12" s="392">
        <v>6.0</v>
      </c>
      <c r="AE12" s="398"/>
      <c r="AF12" s="400">
        <f t="shared" si="5"/>
        <v>6</v>
      </c>
      <c r="AG12" s="401" t="str">
        <f t="shared" si="6"/>
        <v>APTO</v>
      </c>
      <c r="AH12" s="394">
        <v>10.0</v>
      </c>
      <c r="AI12" s="394">
        <v>5.0</v>
      </c>
      <c r="AJ12" s="394">
        <v>5.0</v>
      </c>
      <c r="AK12" s="394">
        <v>6.0</v>
      </c>
      <c r="AL12" s="395">
        <f>IFERROR(__xludf.DUMMYFUNCTION("+SUM(AH12:AK12)/(COUNT(AH12:AK12))"),6.5)</f>
        <v>6.5</v>
      </c>
      <c r="AM12" s="7"/>
      <c r="AN12" s="396">
        <v>10.0</v>
      </c>
      <c r="AO12" s="402">
        <f t="shared" si="7"/>
        <v>6.7</v>
      </c>
      <c r="AP12" s="403" t="s">
        <v>110</v>
      </c>
      <c r="AQ12" s="404">
        <f>FINAL!N12</f>
        <v>6.305</v>
      </c>
    </row>
    <row r="13" ht="15.75" customHeight="1">
      <c r="A13" s="263" t="str">
        <f>INSTITUTO!A13</f>
        <v>ACT</v>
      </c>
      <c r="B13" s="264">
        <f>INSTITUTO!B13</f>
        <v>4</v>
      </c>
      <c r="C13" s="391" t="str">
        <f>INSTITUTO!C13</f>
        <v>Bautista Gahona, Santiago María</v>
      </c>
      <c r="D13" s="392">
        <v>6.1</v>
      </c>
      <c r="E13" s="127"/>
      <c r="F13" s="127">
        <f t="shared" si="1"/>
        <v>6.1</v>
      </c>
      <c r="G13" s="30"/>
      <c r="H13" s="394">
        <v>10.0</v>
      </c>
      <c r="I13" s="394">
        <v>10.0</v>
      </c>
      <c r="J13" s="394">
        <v>8.2</v>
      </c>
      <c r="K13" s="394">
        <v>3.6</v>
      </c>
      <c r="L13" s="394">
        <v>6.1</v>
      </c>
      <c r="M13" s="394">
        <v>9.0</v>
      </c>
      <c r="N13" s="395">
        <f>IFERROR(__xludf.DUMMYFUNCTION("+SUM(H13:M13)/(COUNT(H13:M13))"),7.816666666666666)</f>
        <v>7.816666667</v>
      </c>
      <c r="O13" s="30"/>
      <c r="P13" s="396">
        <v>5.0</v>
      </c>
      <c r="Q13" s="397">
        <f t="shared" si="2"/>
        <v>7.02</v>
      </c>
      <c r="R13" s="392">
        <v>0.0</v>
      </c>
      <c r="S13" s="398"/>
      <c r="T13" s="127">
        <f t="shared" si="3"/>
        <v>0</v>
      </c>
      <c r="U13" s="30"/>
      <c r="V13" s="394">
        <v>8.8</v>
      </c>
      <c r="W13" s="394">
        <v>5.3</v>
      </c>
      <c r="X13" s="394">
        <v>6.0</v>
      </c>
      <c r="Y13" s="394">
        <v>0.0</v>
      </c>
      <c r="Z13" s="395">
        <f>IFERROR(__xludf.DUMMYFUNCTION("+SUM(V13:Y13)/(COUNT(V13:Y13))"),5.025)</f>
        <v>5.025</v>
      </c>
      <c r="AA13" s="7"/>
      <c r="AB13" s="396">
        <v>0.0</v>
      </c>
      <c r="AC13" s="399">
        <f t="shared" si="4"/>
        <v>3.015</v>
      </c>
      <c r="AD13" s="392">
        <v>0.0</v>
      </c>
      <c r="AE13" s="398"/>
      <c r="AF13" s="400">
        <f t="shared" si="5"/>
        <v>0</v>
      </c>
      <c r="AG13" s="401" t="str">
        <f t="shared" si="6"/>
        <v>NO APTO</v>
      </c>
      <c r="AH13" s="394">
        <v>0.0</v>
      </c>
      <c r="AI13" s="394">
        <v>0.0</v>
      </c>
      <c r="AJ13" s="394">
        <v>0.0</v>
      </c>
      <c r="AK13" s="394">
        <v>0.0</v>
      </c>
      <c r="AL13" s="395">
        <f>IFERROR(__xludf.DUMMYFUNCTION("+SUM(AH13:AK13)/(COUNT(AH13:AK13))"),0.0)</f>
        <v>0</v>
      </c>
      <c r="AM13" s="7"/>
      <c r="AN13" s="396">
        <v>0.0</v>
      </c>
      <c r="AO13" s="402">
        <f t="shared" si="7"/>
        <v>0</v>
      </c>
      <c r="AP13" s="403" t="s">
        <v>110</v>
      </c>
      <c r="AQ13" s="404">
        <f>FINAL!N13</f>
        <v>3.345</v>
      </c>
    </row>
    <row r="14" ht="15.75" customHeight="1">
      <c r="A14" s="263" t="str">
        <f>INSTITUTO!A14</f>
        <v>ACT</v>
      </c>
      <c r="B14" s="264">
        <f>INSTITUTO!B14</f>
        <v>5</v>
      </c>
      <c r="C14" s="391" t="str">
        <f>INSTITUTO!C14</f>
        <v>Bautista Molina, Alejandro</v>
      </c>
      <c r="D14" s="392">
        <v>6.5</v>
      </c>
      <c r="E14" s="127"/>
      <c r="F14" s="127">
        <f t="shared" si="1"/>
        <v>6.5</v>
      </c>
      <c r="G14" s="30"/>
      <c r="H14" s="394">
        <v>10.0</v>
      </c>
      <c r="I14" s="394">
        <v>10.0</v>
      </c>
      <c r="J14" s="394">
        <v>9.5</v>
      </c>
      <c r="K14" s="394">
        <v>6.0</v>
      </c>
      <c r="L14" s="394">
        <v>6.5</v>
      </c>
      <c r="M14" s="394">
        <v>8.0</v>
      </c>
      <c r="N14" s="395">
        <f>IFERROR(__xludf.DUMMYFUNCTION("+SUM(H14:M14)/(COUNT(H14:M14))"),8.333333333333334)</f>
        <v>8.333333333</v>
      </c>
      <c r="O14" s="30"/>
      <c r="P14" s="396">
        <v>10.0</v>
      </c>
      <c r="Q14" s="397">
        <f t="shared" si="2"/>
        <v>7.95</v>
      </c>
      <c r="R14" s="392">
        <v>7.5</v>
      </c>
      <c r="S14" s="398"/>
      <c r="T14" s="127">
        <f t="shared" si="3"/>
        <v>7.5</v>
      </c>
      <c r="U14" s="30"/>
      <c r="V14" s="394">
        <v>8.0</v>
      </c>
      <c r="W14" s="394">
        <v>5.6</v>
      </c>
      <c r="X14" s="394">
        <v>0.0</v>
      </c>
      <c r="Y14" s="394">
        <v>10.0</v>
      </c>
      <c r="Z14" s="395">
        <f>IFERROR(__xludf.DUMMYFUNCTION("+SUM(V14:Y14)/(COUNT(V14:Y14))"),5.9)</f>
        <v>5.9</v>
      </c>
      <c r="AA14" s="7"/>
      <c r="AB14" s="396">
        <v>5.0</v>
      </c>
      <c r="AC14" s="399">
        <f t="shared" si="4"/>
        <v>6.29</v>
      </c>
      <c r="AD14" s="392">
        <v>7.0</v>
      </c>
      <c r="AE14" s="398"/>
      <c r="AF14" s="400">
        <f t="shared" si="5"/>
        <v>7</v>
      </c>
      <c r="AG14" s="401" t="str">
        <f t="shared" si="6"/>
        <v>APTO</v>
      </c>
      <c r="AH14" s="394">
        <v>10.0</v>
      </c>
      <c r="AI14" s="394">
        <v>7.5</v>
      </c>
      <c r="AJ14" s="394">
        <v>6.0</v>
      </c>
      <c r="AK14" s="394">
        <v>8.0</v>
      </c>
      <c r="AL14" s="395">
        <f>IFERROR(__xludf.DUMMYFUNCTION("+SUM(AH14:AK14)/(COUNT(AH14:AK14))"),7.875)</f>
        <v>7.875</v>
      </c>
      <c r="AM14" s="7"/>
      <c r="AN14" s="396">
        <v>10.0</v>
      </c>
      <c r="AO14" s="402">
        <f t="shared" si="7"/>
        <v>7.825</v>
      </c>
      <c r="AP14" s="403" t="s">
        <v>110</v>
      </c>
      <c r="AQ14" s="404">
        <f>FINAL!N14</f>
        <v>7.355</v>
      </c>
    </row>
    <row r="15" ht="15.75" customHeight="1">
      <c r="A15" s="263" t="str">
        <f>INSTITUTO!A15</f>
        <v>ACT</v>
      </c>
      <c r="B15" s="264">
        <f>INSTITUTO!B15</f>
        <v>6</v>
      </c>
      <c r="C15" s="391" t="str">
        <f>INSTITUTO!C15</f>
        <v>Bustamante Navarro, Carlos de</v>
      </c>
      <c r="D15" s="392">
        <v>6.6</v>
      </c>
      <c r="E15" s="127"/>
      <c r="F15" s="127">
        <f t="shared" si="1"/>
        <v>6.6</v>
      </c>
      <c r="G15" s="30"/>
      <c r="H15" s="394">
        <v>10.0</v>
      </c>
      <c r="I15" s="394">
        <v>10.0</v>
      </c>
      <c r="J15" s="394">
        <v>5.0</v>
      </c>
      <c r="K15" s="394">
        <v>3.6</v>
      </c>
      <c r="L15" s="394">
        <v>6.6</v>
      </c>
      <c r="M15" s="394">
        <v>5.0</v>
      </c>
      <c r="N15" s="395">
        <f>IFERROR(__xludf.DUMMYFUNCTION("+SUM(H15:M15)/(COUNT(H15:M15))"),6.7)</f>
        <v>6.7</v>
      </c>
      <c r="O15" s="30"/>
      <c r="P15" s="396">
        <v>5.0</v>
      </c>
      <c r="Q15" s="397">
        <f t="shared" si="2"/>
        <v>6.5</v>
      </c>
      <c r="R15" s="392">
        <v>8.5</v>
      </c>
      <c r="S15" s="398"/>
      <c r="T15" s="127">
        <f t="shared" si="3"/>
        <v>8.5</v>
      </c>
      <c r="U15" s="30"/>
      <c r="V15" s="394">
        <v>7.8</v>
      </c>
      <c r="W15" s="394">
        <v>5.6</v>
      </c>
      <c r="X15" s="394">
        <v>0.0</v>
      </c>
      <c r="Y15" s="394">
        <v>10.0</v>
      </c>
      <c r="Z15" s="395">
        <f>IFERROR(__xludf.DUMMYFUNCTION("+SUM(V15:Y15)/(COUNT(V15:Y15))"),5.85)</f>
        <v>5.85</v>
      </c>
      <c r="AA15" s="7"/>
      <c r="AB15" s="396">
        <v>5.0</v>
      </c>
      <c r="AC15" s="399">
        <f t="shared" si="4"/>
        <v>6.56</v>
      </c>
      <c r="AD15" s="392">
        <v>5.5</v>
      </c>
      <c r="AE15" s="398"/>
      <c r="AF15" s="400">
        <f t="shared" si="5"/>
        <v>5.5</v>
      </c>
      <c r="AG15" s="401" t="str">
        <f t="shared" si="6"/>
        <v>APTO</v>
      </c>
      <c r="AH15" s="394">
        <v>10.0</v>
      </c>
      <c r="AI15" s="394">
        <v>7.5</v>
      </c>
      <c r="AJ15" s="394">
        <v>7.0</v>
      </c>
      <c r="AK15" s="394">
        <v>9.0</v>
      </c>
      <c r="AL15" s="395">
        <f>IFERROR(__xludf.DUMMYFUNCTION("+SUM(AH15:AK15)/(COUNT(AH15:AK15))"),8.375)</f>
        <v>8.375</v>
      </c>
      <c r="AM15" s="7"/>
      <c r="AN15" s="396">
        <v>10.0</v>
      </c>
      <c r="AO15" s="402">
        <f t="shared" si="7"/>
        <v>7.675</v>
      </c>
      <c r="AP15" s="403" t="s">
        <v>110</v>
      </c>
      <c r="AQ15" s="404">
        <f>FINAL!N15</f>
        <v>6.911666667</v>
      </c>
    </row>
    <row r="16" ht="15.75" customHeight="1">
      <c r="A16" s="263" t="str">
        <f>INSTITUTO!A16</f>
        <v>ACT</v>
      </c>
      <c r="B16" s="264">
        <f>INSTITUTO!B16</f>
        <v>7</v>
      </c>
      <c r="C16" s="391" t="str">
        <f>INSTITUTO!C16</f>
        <v>Caldera Pinto, Miguel Ángel</v>
      </c>
      <c r="D16" s="392">
        <v>7.4</v>
      </c>
      <c r="E16" s="127"/>
      <c r="F16" s="127">
        <f t="shared" si="1"/>
        <v>7.4</v>
      </c>
      <c r="G16" s="30"/>
      <c r="H16" s="394">
        <v>10.0</v>
      </c>
      <c r="I16" s="394">
        <v>10.0</v>
      </c>
      <c r="J16" s="394">
        <v>8.0</v>
      </c>
      <c r="K16" s="394">
        <v>10.0</v>
      </c>
      <c r="L16" s="394">
        <v>7.4</v>
      </c>
      <c r="M16" s="394">
        <v>5.0</v>
      </c>
      <c r="N16" s="395">
        <f>IFERROR(__xludf.DUMMYFUNCTION("+SUM(H16:M16)/(COUNT(H16:M16))"),8.4)</f>
        <v>8.4</v>
      </c>
      <c r="O16" s="30"/>
      <c r="P16" s="396">
        <v>10.0</v>
      </c>
      <c r="Q16" s="397">
        <f t="shared" si="2"/>
        <v>8.26</v>
      </c>
      <c r="R16" s="392">
        <v>10.0</v>
      </c>
      <c r="S16" s="398"/>
      <c r="T16" s="127">
        <f t="shared" si="3"/>
        <v>10</v>
      </c>
      <c r="U16" s="30"/>
      <c r="V16" s="394">
        <v>8.5</v>
      </c>
      <c r="W16" s="394">
        <v>7.6</v>
      </c>
      <c r="X16" s="394">
        <v>5.0</v>
      </c>
      <c r="Y16" s="394">
        <v>10.0</v>
      </c>
      <c r="Z16" s="395">
        <f>IFERROR(__xludf.DUMMYFUNCTION("+SUM(V16:Y16)/(COUNT(V16:Y16))"),7.775)</f>
        <v>7.775</v>
      </c>
      <c r="AA16" s="7"/>
      <c r="AB16" s="396">
        <v>10.0</v>
      </c>
      <c r="AC16" s="399">
        <f t="shared" si="4"/>
        <v>8.665</v>
      </c>
      <c r="AD16" s="392">
        <v>9.0</v>
      </c>
      <c r="AE16" s="398"/>
      <c r="AF16" s="400">
        <f t="shared" si="5"/>
        <v>9</v>
      </c>
      <c r="AG16" s="401" t="str">
        <f t="shared" si="6"/>
        <v>APTO</v>
      </c>
      <c r="AH16" s="394">
        <v>10.0</v>
      </c>
      <c r="AI16" s="394">
        <v>8.0</v>
      </c>
      <c r="AJ16" s="394">
        <v>9.0</v>
      </c>
      <c r="AK16" s="394">
        <v>10.0</v>
      </c>
      <c r="AL16" s="395">
        <f>IFERROR(__xludf.DUMMYFUNCTION("+SUM(AH16:AK16)/(COUNT(AH16:AK16))"),9.25)</f>
        <v>9.25</v>
      </c>
      <c r="AM16" s="7"/>
      <c r="AN16" s="396">
        <v>10.0</v>
      </c>
      <c r="AO16" s="402">
        <f t="shared" si="7"/>
        <v>9.25</v>
      </c>
      <c r="AP16" s="403" t="s">
        <v>110</v>
      </c>
      <c r="AQ16" s="404">
        <f>FINAL!N16</f>
        <v>8.725</v>
      </c>
    </row>
    <row r="17" ht="15.75" customHeight="1">
      <c r="A17" s="263" t="str">
        <f>INSTITUTO!A17</f>
        <v>ACT</v>
      </c>
      <c r="B17" s="264">
        <f>INSTITUTO!B17</f>
        <v>8</v>
      </c>
      <c r="C17" s="391" t="str">
        <f>INSTITUTO!C17</f>
        <v>Camúñez Hidalgo, José Antonio</v>
      </c>
      <c r="D17" s="392">
        <v>7.5</v>
      </c>
      <c r="E17" s="127"/>
      <c r="F17" s="127">
        <f t="shared" si="1"/>
        <v>7.5</v>
      </c>
      <c r="G17" s="30"/>
      <c r="H17" s="394">
        <v>10.0</v>
      </c>
      <c r="I17" s="394">
        <v>10.0</v>
      </c>
      <c r="J17" s="394">
        <v>5.0</v>
      </c>
      <c r="K17" s="394">
        <v>2.4</v>
      </c>
      <c r="L17" s="394">
        <v>7.5</v>
      </c>
      <c r="M17" s="394">
        <v>8.0</v>
      </c>
      <c r="N17" s="395">
        <f>IFERROR(__xludf.DUMMYFUNCTION("+SUM(H17:M17)/(COUNT(H17:M17))"),7.1499999999999995)</f>
        <v>7.15</v>
      </c>
      <c r="O17" s="30"/>
      <c r="P17" s="396">
        <v>5.0</v>
      </c>
      <c r="Q17" s="397">
        <f t="shared" si="2"/>
        <v>7.04</v>
      </c>
      <c r="R17" s="392">
        <v>10.0</v>
      </c>
      <c r="S17" s="398"/>
      <c r="T17" s="127">
        <f t="shared" si="3"/>
        <v>10</v>
      </c>
      <c r="U17" s="30"/>
      <c r="V17" s="394">
        <v>9.0</v>
      </c>
      <c r="W17" s="394">
        <v>7.1</v>
      </c>
      <c r="X17" s="394">
        <v>0.0</v>
      </c>
      <c r="Y17" s="394">
        <v>10.0</v>
      </c>
      <c r="Z17" s="395">
        <f>IFERROR(__xludf.DUMMYFUNCTION("+SUM(V17:Y17)/(COUNT(V17:Y17))"),6.525)</f>
        <v>6.525</v>
      </c>
      <c r="AA17" s="7"/>
      <c r="AB17" s="396">
        <v>5.0</v>
      </c>
      <c r="AC17" s="399">
        <f t="shared" si="4"/>
        <v>7.415</v>
      </c>
      <c r="AD17" s="392">
        <v>5.0</v>
      </c>
      <c r="AE17" s="398"/>
      <c r="AF17" s="400">
        <f t="shared" si="5"/>
        <v>5</v>
      </c>
      <c r="AG17" s="401" t="str">
        <f t="shared" si="6"/>
        <v>APTO</v>
      </c>
      <c r="AH17" s="394">
        <v>10.0</v>
      </c>
      <c r="AI17" s="394">
        <v>8.0</v>
      </c>
      <c r="AJ17" s="394">
        <v>7.5</v>
      </c>
      <c r="AK17" s="394">
        <v>8.8</v>
      </c>
      <c r="AL17" s="395">
        <f>IFERROR(__xludf.DUMMYFUNCTION("+SUM(AH17:AK17)/(COUNT(AH17:AK17))"),8.575)</f>
        <v>8.575</v>
      </c>
      <c r="AM17" s="7"/>
      <c r="AN17" s="396">
        <v>10.0</v>
      </c>
      <c r="AO17" s="402">
        <f t="shared" si="7"/>
        <v>7.645</v>
      </c>
      <c r="AP17" s="403" t="s">
        <v>110</v>
      </c>
      <c r="AQ17" s="404">
        <f>FINAL!N17</f>
        <v>7.366666667</v>
      </c>
    </row>
    <row r="18" ht="15.75" customHeight="1">
      <c r="A18" s="263" t="str">
        <f>INSTITUTO!A18</f>
        <v>ACT</v>
      </c>
      <c r="B18" s="264">
        <f>INSTITUTO!B18</f>
        <v>9</v>
      </c>
      <c r="C18" s="391" t="str">
        <f>INSTITUTO!C18</f>
        <v>Cano Ortega, Javier</v>
      </c>
      <c r="D18" s="392">
        <v>5.3</v>
      </c>
      <c r="E18" s="127"/>
      <c r="F18" s="127">
        <f t="shared" si="1"/>
        <v>5.3</v>
      </c>
      <c r="G18" s="30"/>
      <c r="H18" s="394">
        <v>10.0</v>
      </c>
      <c r="I18" s="394">
        <v>10.0</v>
      </c>
      <c r="J18" s="394">
        <v>5.0</v>
      </c>
      <c r="K18" s="394">
        <v>5.4</v>
      </c>
      <c r="L18" s="394">
        <v>5.3</v>
      </c>
      <c r="M18" s="394">
        <v>7.7</v>
      </c>
      <c r="N18" s="395">
        <f>IFERROR(__xludf.DUMMYFUNCTION("+SUM(H18:M18)/(COUNT(H18:M18))"),7.233333333333333)</f>
        <v>7.233333333</v>
      </c>
      <c r="O18" s="30"/>
      <c r="P18" s="396">
        <v>10.0</v>
      </c>
      <c r="Q18" s="397">
        <f t="shared" si="2"/>
        <v>6.93</v>
      </c>
      <c r="R18" s="392">
        <v>9.0</v>
      </c>
      <c r="S18" s="398"/>
      <c r="T18" s="127">
        <f t="shared" si="3"/>
        <v>9</v>
      </c>
      <c r="U18" s="30"/>
      <c r="V18" s="394">
        <v>5.0</v>
      </c>
      <c r="W18" s="394">
        <v>6.0</v>
      </c>
      <c r="X18" s="394">
        <v>8.0</v>
      </c>
      <c r="Y18" s="394">
        <v>10.0</v>
      </c>
      <c r="Z18" s="395">
        <f>IFERROR(__xludf.DUMMYFUNCTION("+SUM(V18:Y18)/(COUNT(V18:Y18))"),7.25)</f>
        <v>7.25</v>
      </c>
      <c r="AA18" s="7"/>
      <c r="AB18" s="396">
        <v>5.0</v>
      </c>
      <c r="AC18" s="399">
        <f t="shared" si="4"/>
        <v>7.55</v>
      </c>
      <c r="AD18" s="392">
        <v>5.0</v>
      </c>
      <c r="AE18" s="398"/>
      <c r="AF18" s="400">
        <f t="shared" si="5"/>
        <v>5</v>
      </c>
      <c r="AG18" s="401" t="str">
        <f t="shared" si="6"/>
        <v>APTO</v>
      </c>
      <c r="AH18" s="394">
        <v>10.0</v>
      </c>
      <c r="AI18" s="394">
        <v>6.0</v>
      </c>
      <c r="AJ18" s="394">
        <v>7.5</v>
      </c>
      <c r="AK18" s="394">
        <v>10.0</v>
      </c>
      <c r="AL18" s="395">
        <f>IFERROR(__xludf.DUMMYFUNCTION("+SUM(AH18:AK18)/(COUNT(AH18:AK18))"),8.375)</f>
        <v>8.375</v>
      </c>
      <c r="AM18" s="7"/>
      <c r="AN18" s="396">
        <v>10.0</v>
      </c>
      <c r="AO18" s="402">
        <f t="shared" si="7"/>
        <v>7.525</v>
      </c>
      <c r="AP18" s="403" t="s">
        <v>110</v>
      </c>
      <c r="AQ18" s="404">
        <f>FINAL!N18</f>
        <v>7.335</v>
      </c>
    </row>
    <row r="19" ht="15.75" customHeight="1">
      <c r="A19" s="263" t="str">
        <f>INSTITUTO!A19</f>
        <v>ACT</v>
      </c>
      <c r="B19" s="264">
        <f>INSTITUTO!B19</f>
        <v>10</v>
      </c>
      <c r="C19" s="391" t="str">
        <f>INSTITUTO!C19</f>
        <v>Córdova Milani, Bruno</v>
      </c>
      <c r="D19" s="392">
        <v>7.4</v>
      </c>
      <c r="E19" s="127"/>
      <c r="F19" s="127">
        <f t="shared" si="1"/>
        <v>7.4</v>
      </c>
      <c r="G19" s="30"/>
      <c r="H19" s="394">
        <v>10.0</v>
      </c>
      <c r="I19" s="394">
        <v>10.0</v>
      </c>
      <c r="J19" s="394">
        <v>8.0</v>
      </c>
      <c r="K19" s="394">
        <v>0.0</v>
      </c>
      <c r="L19" s="394">
        <v>7.4</v>
      </c>
      <c r="M19" s="394">
        <v>7.5</v>
      </c>
      <c r="N19" s="395">
        <f>IFERROR(__xludf.DUMMYFUNCTION("+SUM(H19:M19)/(COUNT(H19:M19))"),7.1499999999999995)</f>
        <v>7.15</v>
      </c>
      <c r="O19" s="30"/>
      <c r="P19" s="396">
        <v>5.0</v>
      </c>
      <c r="Q19" s="397">
        <f t="shared" si="2"/>
        <v>7.01</v>
      </c>
      <c r="R19" s="392">
        <v>9.5</v>
      </c>
      <c r="S19" s="398"/>
      <c r="T19" s="127">
        <f t="shared" si="3"/>
        <v>9.5</v>
      </c>
      <c r="U19" s="30"/>
      <c r="V19" s="394">
        <v>0.0</v>
      </c>
      <c r="W19" s="394">
        <v>7.3</v>
      </c>
      <c r="X19" s="394">
        <v>0.0</v>
      </c>
      <c r="Y19" s="394">
        <v>10.0</v>
      </c>
      <c r="Z19" s="395">
        <f>IFERROR(__xludf.DUMMYFUNCTION("+SUM(V19:Y19)/(COUNT(V19:Y19))"),4.325)</f>
        <v>4.325</v>
      </c>
      <c r="AA19" s="7"/>
      <c r="AB19" s="396">
        <v>5.0</v>
      </c>
      <c r="AC19" s="399">
        <f t="shared" si="4"/>
        <v>5.945</v>
      </c>
      <c r="AD19" s="392">
        <v>6.0</v>
      </c>
      <c r="AE19" s="398"/>
      <c r="AF19" s="400">
        <f t="shared" si="5"/>
        <v>6</v>
      </c>
      <c r="AG19" s="401" t="str">
        <f t="shared" si="6"/>
        <v>APTO</v>
      </c>
      <c r="AH19" s="394">
        <v>10.0</v>
      </c>
      <c r="AI19" s="394">
        <v>0.0</v>
      </c>
      <c r="AJ19" s="394">
        <v>7.0</v>
      </c>
      <c r="AK19" s="394">
        <v>8.0</v>
      </c>
      <c r="AL19" s="395">
        <f>IFERROR(__xludf.DUMMYFUNCTION("+SUM(AH19:AK19)/(COUNT(AH19:AK19))"),6.25)</f>
        <v>6.25</v>
      </c>
      <c r="AM19" s="7"/>
      <c r="AN19" s="396">
        <v>5.0</v>
      </c>
      <c r="AO19" s="402">
        <f t="shared" si="7"/>
        <v>6.05</v>
      </c>
      <c r="AP19" s="403" t="s">
        <v>110</v>
      </c>
      <c r="AQ19" s="404">
        <f>FINAL!N19</f>
        <v>6.335</v>
      </c>
    </row>
    <row r="20" ht="15.75" customHeight="1">
      <c r="A20" s="263" t="str">
        <f>INSTITUTO!A20</f>
        <v>ACT</v>
      </c>
      <c r="B20" s="264">
        <f>INSTITUTO!B20</f>
        <v>11</v>
      </c>
      <c r="C20" s="391" t="str">
        <f>INSTITUTO!C20</f>
        <v>Cuenca Trasmonte, Daniel</v>
      </c>
      <c r="D20" s="392">
        <v>7.7</v>
      </c>
      <c r="E20" s="127"/>
      <c r="F20" s="127">
        <f t="shared" si="1"/>
        <v>7.7</v>
      </c>
      <c r="G20" s="30"/>
      <c r="H20" s="394">
        <v>10.0</v>
      </c>
      <c r="I20" s="394">
        <v>10.0</v>
      </c>
      <c r="J20" s="394">
        <v>9.5</v>
      </c>
      <c r="K20" s="394">
        <v>3.6</v>
      </c>
      <c r="L20" s="394">
        <v>7.7</v>
      </c>
      <c r="M20" s="394">
        <v>9.4</v>
      </c>
      <c r="N20" s="395">
        <f>IFERROR(__xludf.DUMMYFUNCTION("+SUM(H20:M20)/(COUNT(H20:M20))"),8.366666666666667)</f>
        <v>8.366666667</v>
      </c>
      <c r="O20" s="30"/>
      <c r="P20" s="396">
        <v>10.0</v>
      </c>
      <c r="Q20" s="397">
        <f t="shared" si="2"/>
        <v>8.33</v>
      </c>
      <c r="R20" s="392">
        <v>10.0</v>
      </c>
      <c r="S20" s="398"/>
      <c r="T20" s="127">
        <f t="shared" si="3"/>
        <v>10</v>
      </c>
      <c r="U20" s="30"/>
      <c r="V20" s="394">
        <v>9.0</v>
      </c>
      <c r="W20" s="394">
        <v>9.6</v>
      </c>
      <c r="X20" s="394">
        <v>10.0</v>
      </c>
      <c r="Y20" s="394">
        <v>10.0</v>
      </c>
      <c r="Z20" s="395">
        <f>IFERROR(__xludf.DUMMYFUNCTION("+SUM(V20:Y20)/(COUNT(V20:Y20))"),9.65)</f>
        <v>9.65</v>
      </c>
      <c r="AA20" s="7"/>
      <c r="AB20" s="396">
        <v>10.0</v>
      </c>
      <c r="AC20" s="399">
        <f t="shared" si="4"/>
        <v>9.79</v>
      </c>
      <c r="AD20" s="392">
        <v>8.5</v>
      </c>
      <c r="AE20" s="398"/>
      <c r="AF20" s="400">
        <f t="shared" si="5"/>
        <v>8.5</v>
      </c>
      <c r="AG20" s="401" t="str">
        <f t="shared" si="6"/>
        <v>APTO</v>
      </c>
      <c r="AH20" s="394">
        <v>10.0</v>
      </c>
      <c r="AI20" s="394">
        <v>7.0</v>
      </c>
      <c r="AJ20" s="394">
        <v>8.0</v>
      </c>
      <c r="AK20" s="394">
        <v>10.0</v>
      </c>
      <c r="AL20" s="395">
        <f>IFERROR(__xludf.DUMMYFUNCTION("+SUM(AH20:AK20)/(COUNT(AH20:AK20))"),8.75)</f>
        <v>8.75</v>
      </c>
      <c r="AM20" s="7"/>
      <c r="AN20" s="396">
        <v>10.0</v>
      </c>
      <c r="AO20" s="402">
        <f t="shared" si="7"/>
        <v>8.8</v>
      </c>
      <c r="AP20" s="403" t="s">
        <v>110</v>
      </c>
      <c r="AQ20" s="404">
        <f>FINAL!N20</f>
        <v>8.973333333</v>
      </c>
    </row>
    <row r="21" ht="15.75" customHeight="1">
      <c r="A21" s="263" t="str">
        <f>INSTITUTO!A21</f>
        <v>ACT</v>
      </c>
      <c r="B21" s="264">
        <f>INSTITUTO!B21</f>
        <v>12</v>
      </c>
      <c r="C21" s="391" t="str">
        <f>INSTITUTO!C21</f>
        <v>Esteve Martínez, Jaime</v>
      </c>
      <c r="D21" s="392">
        <v>4.6</v>
      </c>
      <c r="E21" s="127"/>
      <c r="F21" s="127">
        <f t="shared" si="1"/>
        <v>4.6</v>
      </c>
      <c r="G21" s="30"/>
      <c r="H21" s="394">
        <v>10.0</v>
      </c>
      <c r="I21" s="394">
        <v>10.0</v>
      </c>
      <c r="J21" s="394">
        <v>9.0</v>
      </c>
      <c r="K21" s="394">
        <v>2.4</v>
      </c>
      <c r="L21" s="394">
        <v>4.6</v>
      </c>
      <c r="M21" s="394">
        <v>7.7</v>
      </c>
      <c r="N21" s="395">
        <f>IFERROR(__xludf.DUMMYFUNCTION("+SUM(H21:M21)/(COUNT(H21:M21))"),7.283333333333334)</f>
        <v>7.283333333</v>
      </c>
      <c r="O21" s="30"/>
      <c r="P21" s="396">
        <v>5.0</v>
      </c>
      <c r="Q21" s="397">
        <f t="shared" si="2"/>
        <v>6.25</v>
      </c>
      <c r="R21" s="392">
        <v>8.5</v>
      </c>
      <c r="S21" s="398"/>
      <c r="T21" s="127">
        <f t="shared" si="3"/>
        <v>8.5</v>
      </c>
      <c r="U21" s="30"/>
      <c r="V21" s="394">
        <v>7.0</v>
      </c>
      <c r="W21" s="394">
        <v>7.4</v>
      </c>
      <c r="X21" s="394">
        <v>0.0</v>
      </c>
      <c r="Y21" s="394">
        <v>10.0</v>
      </c>
      <c r="Z21" s="395">
        <f>IFERROR(__xludf.DUMMYFUNCTION("+SUM(V21:Y21)/(COUNT(V21:Y21))"),6.1)</f>
        <v>6.1</v>
      </c>
      <c r="AA21" s="7"/>
      <c r="AB21" s="396">
        <v>5.0</v>
      </c>
      <c r="AC21" s="399">
        <f t="shared" si="4"/>
        <v>6.71</v>
      </c>
      <c r="AD21" s="392">
        <v>6.5</v>
      </c>
      <c r="AE21" s="398"/>
      <c r="AF21" s="400">
        <f t="shared" si="5"/>
        <v>6.5</v>
      </c>
      <c r="AG21" s="401" t="str">
        <f t="shared" si="6"/>
        <v>APTO</v>
      </c>
      <c r="AH21" s="394">
        <v>10.0</v>
      </c>
      <c r="AI21" s="394">
        <v>5.6</v>
      </c>
      <c r="AJ21" s="394">
        <v>5.0</v>
      </c>
      <c r="AK21" s="394">
        <v>8.0</v>
      </c>
      <c r="AL21" s="395">
        <f>IFERROR(__xludf.DUMMYFUNCTION("+SUM(AH21:AK21)/(COUNT(AH21:AK21))"),7.15)</f>
        <v>7.15</v>
      </c>
      <c r="AM21" s="7"/>
      <c r="AN21" s="396">
        <v>10.0</v>
      </c>
      <c r="AO21" s="402">
        <f t="shared" si="7"/>
        <v>7.24</v>
      </c>
      <c r="AP21" s="403" t="s">
        <v>110</v>
      </c>
      <c r="AQ21" s="404">
        <f>FINAL!N21</f>
        <v>6.733333333</v>
      </c>
    </row>
    <row r="22" ht="15.75" customHeight="1">
      <c r="A22" s="263" t="str">
        <f>INSTITUTO!A22</f>
        <v>ACT</v>
      </c>
      <c r="B22" s="264">
        <f>INSTITUTO!B22</f>
        <v>13</v>
      </c>
      <c r="C22" s="391" t="str">
        <f>INSTITUTO!C22</f>
        <v>Ferreira Casero, Gonzalo</v>
      </c>
      <c r="D22" s="392">
        <v>7.0</v>
      </c>
      <c r="E22" s="127"/>
      <c r="F22" s="127">
        <f t="shared" si="1"/>
        <v>7</v>
      </c>
      <c r="G22" s="30"/>
      <c r="H22" s="394">
        <v>10.0</v>
      </c>
      <c r="I22" s="394">
        <v>10.0</v>
      </c>
      <c r="J22" s="394">
        <v>9.5</v>
      </c>
      <c r="K22" s="394">
        <v>6.0</v>
      </c>
      <c r="L22" s="394">
        <v>7.0</v>
      </c>
      <c r="M22" s="394">
        <v>9.1</v>
      </c>
      <c r="N22" s="395">
        <f>IFERROR(__xludf.DUMMYFUNCTION("+SUM(H22:M22)/(COUNT(H22:M22))"),8.6)</f>
        <v>8.6</v>
      </c>
      <c r="O22" s="30"/>
      <c r="P22" s="396">
        <v>8.0</v>
      </c>
      <c r="Q22" s="397">
        <f t="shared" si="2"/>
        <v>8.06</v>
      </c>
      <c r="R22" s="392">
        <v>8.0</v>
      </c>
      <c r="S22" s="398"/>
      <c r="T22" s="127">
        <f t="shared" si="3"/>
        <v>8</v>
      </c>
      <c r="U22" s="30"/>
      <c r="V22" s="394">
        <v>9.0</v>
      </c>
      <c r="W22" s="394">
        <v>8.9</v>
      </c>
      <c r="X22" s="394">
        <v>9.0</v>
      </c>
      <c r="Y22" s="394">
        <v>10.0</v>
      </c>
      <c r="Z22" s="395">
        <f>IFERROR(__xludf.DUMMYFUNCTION("+SUM(V22:Y22)/(COUNT(V22:Y22))"),9.225)</f>
        <v>9.225</v>
      </c>
      <c r="AA22" s="7"/>
      <c r="AB22" s="396">
        <v>10.0</v>
      </c>
      <c r="AC22" s="399">
        <f t="shared" si="4"/>
        <v>8.935</v>
      </c>
      <c r="AD22" s="392">
        <v>9.0</v>
      </c>
      <c r="AE22" s="398"/>
      <c r="AF22" s="400">
        <f t="shared" si="5"/>
        <v>9</v>
      </c>
      <c r="AG22" s="401" t="str">
        <f t="shared" si="6"/>
        <v>APTO</v>
      </c>
      <c r="AH22" s="394">
        <v>10.0</v>
      </c>
      <c r="AI22" s="394">
        <v>6.6</v>
      </c>
      <c r="AJ22" s="394">
        <v>5.0</v>
      </c>
      <c r="AK22" s="394">
        <v>9.4</v>
      </c>
      <c r="AL22" s="395">
        <f>IFERROR(__xludf.DUMMYFUNCTION("+SUM(AH22:AK22)/(COUNT(AH22:AK22))"),7.75)</f>
        <v>7.75</v>
      </c>
      <c r="AM22" s="7"/>
      <c r="AN22" s="396">
        <v>10.0</v>
      </c>
      <c r="AO22" s="402">
        <f t="shared" si="7"/>
        <v>8.35</v>
      </c>
      <c r="AP22" s="403" t="s">
        <v>110</v>
      </c>
      <c r="AQ22" s="404">
        <f>FINAL!N22</f>
        <v>8.448333333</v>
      </c>
    </row>
    <row r="23" ht="15.75" customHeight="1">
      <c r="A23" s="263" t="str">
        <f>INSTITUTO!A23</f>
        <v>ACT</v>
      </c>
      <c r="B23" s="264">
        <f>INSTITUTO!B23</f>
        <v>14</v>
      </c>
      <c r="C23" s="391" t="str">
        <f>INSTITUTO!C23</f>
        <v>Florencio Pliego, Francisco</v>
      </c>
      <c r="D23" s="392">
        <v>5.6</v>
      </c>
      <c r="E23" s="127"/>
      <c r="F23" s="127">
        <f t="shared" si="1"/>
        <v>5.6</v>
      </c>
      <c r="G23" s="30"/>
      <c r="H23" s="394">
        <v>10.0</v>
      </c>
      <c r="I23" s="394">
        <v>10.0</v>
      </c>
      <c r="J23" s="394">
        <v>5.6</v>
      </c>
      <c r="K23" s="394">
        <v>6.0</v>
      </c>
      <c r="L23" s="394">
        <v>5.6</v>
      </c>
      <c r="M23" s="394">
        <v>8.0</v>
      </c>
      <c r="N23" s="395">
        <f>IFERROR(__xludf.DUMMYFUNCTION("+SUM(H23:M23)/(COUNT(H23:M23))"),7.533333333333334)</f>
        <v>7.533333333</v>
      </c>
      <c r="O23" s="30"/>
      <c r="P23" s="396">
        <v>5.0</v>
      </c>
      <c r="Q23" s="397">
        <f t="shared" si="2"/>
        <v>6.7</v>
      </c>
      <c r="R23" s="392">
        <v>9.5</v>
      </c>
      <c r="S23" s="398"/>
      <c r="T23" s="127">
        <f t="shared" si="3"/>
        <v>9.5</v>
      </c>
      <c r="U23" s="30"/>
      <c r="V23" s="394">
        <v>5.0</v>
      </c>
      <c r="W23" s="394">
        <v>7.2</v>
      </c>
      <c r="X23" s="394">
        <v>0.0</v>
      </c>
      <c r="Y23" s="394">
        <v>10.0</v>
      </c>
      <c r="Z23" s="395">
        <f>IFERROR(__xludf.DUMMYFUNCTION("+SUM(V23:Y23)/(COUNT(V23:Y23))"),5.55)</f>
        <v>5.55</v>
      </c>
      <c r="AA23" s="7"/>
      <c r="AB23" s="396">
        <v>0.0</v>
      </c>
      <c r="AC23" s="399">
        <f t="shared" si="4"/>
        <v>6.18</v>
      </c>
      <c r="AD23" s="392">
        <v>6.0</v>
      </c>
      <c r="AE23" s="398"/>
      <c r="AF23" s="400">
        <f t="shared" si="5"/>
        <v>6</v>
      </c>
      <c r="AG23" s="401" t="str">
        <f t="shared" si="6"/>
        <v>APTO</v>
      </c>
      <c r="AH23" s="394">
        <v>10.0</v>
      </c>
      <c r="AI23" s="394">
        <v>5.0</v>
      </c>
      <c r="AJ23" s="394">
        <v>6.5</v>
      </c>
      <c r="AK23" s="394">
        <v>5.5</v>
      </c>
      <c r="AL23" s="395">
        <f>IFERROR(__xludf.DUMMYFUNCTION("+SUM(AH23:AK23)/(COUNT(AH23:AK23))"),6.75)</f>
        <v>6.75</v>
      </c>
      <c r="AM23" s="7"/>
      <c r="AN23" s="396">
        <v>10.0</v>
      </c>
      <c r="AO23" s="402">
        <f t="shared" si="7"/>
        <v>6.85</v>
      </c>
      <c r="AP23" s="403" t="s">
        <v>110</v>
      </c>
      <c r="AQ23" s="404">
        <f>FINAL!N23</f>
        <v>6.576666667</v>
      </c>
    </row>
    <row r="24" ht="15.75" customHeight="1">
      <c r="A24" s="263" t="str">
        <f>INSTITUTO!A24</f>
        <v>ACT</v>
      </c>
      <c r="B24" s="264">
        <f>INSTITUTO!B24</f>
        <v>15</v>
      </c>
      <c r="C24" s="391" t="str">
        <f>INSTITUTO!C24</f>
        <v>Gómez García, Irene</v>
      </c>
      <c r="D24" s="392">
        <v>5.3</v>
      </c>
      <c r="E24" s="127"/>
      <c r="F24" s="127">
        <f t="shared" si="1"/>
        <v>5.3</v>
      </c>
      <c r="G24" s="30"/>
      <c r="H24" s="394">
        <v>10.0</v>
      </c>
      <c r="I24" s="394">
        <v>10.0</v>
      </c>
      <c r="J24" s="394">
        <v>5.4</v>
      </c>
      <c r="K24" s="394">
        <v>6.0</v>
      </c>
      <c r="L24" s="394">
        <v>5.3</v>
      </c>
      <c r="M24" s="394">
        <v>9.2</v>
      </c>
      <c r="N24" s="395">
        <f>IFERROR(__xludf.DUMMYFUNCTION("+SUM(H24:M24)/(COUNT(H24:M24))"),7.649999999999999)</f>
        <v>7.65</v>
      </c>
      <c r="O24" s="30"/>
      <c r="P24" s="396">
        <v>8.0</v>
      </c>
      <c r="Q24" s="397">
        <f t="shared" si="2"/>
        <v>6.98</v>
      </c>
      <c r="R24" s="392">
        <v>6.5</v>
      </c>
      <c r="S24" s="398"/>
      <c r="T24" s="127">
        <f t="shared" si="3"/>
        <v>6.5</v>
      </c>
      <c r="U24" s="30"/>
      <c r="V24" s="394">
        <v>8.0</v>
      </c>
      <c r="W24" s="394">
        <v>8.1</v>
      </c>
      <c r="X24" s="394">
        <v>7.0</v>
      </c>
      <c r="Y24" s="394">
        <v>10.0</v>
      </c>
      <c r="Z24" s="395">
        <f>IFERROR(__xludf.DUMMYFUNCTION("+SUM(V24:Y24)/(COUNT(V24:Y24))"),8.275)</f>
        <v>8.275</v>
      </c>
      <c r="AA24" s="7"/>
      <c r="AB24" s="396">
        <v>10.0</v>
      </c>
      <c r="AC24" s="399">
        <f t="shared" si="4"/>
        <v>7.915</v>
      </c>
      <c r="AD24" s="392">
        <v>7.5</v>
      </c>
      <c r="AE24" s="398"/>
      <c r="AF24" s="400">
        <f t="shared" si="5"/>
        <v>7.5</v>
      </c>
      <c r="AG24" s="401" t="str">
        <f t="shared" si="6"/>
        <v>APTO</v>
      </c>
      <c r="AH24" s="394">
        <v>10.0</v>
      </c>
      <c r="AI24" s="394">
        <v>8.5</v>
      </c>
      <c r="AJ24" s="394">
        <v>8.5</v>
      </c>
      <c r="AK24" s="394">
        <v>10.0</v>
      </c>
      <c r="AL24" s="395">
        <f>IFERROR(__xludf.DUMMYFUNCTION("+SUM(AH24:AK24)/(COUNT(AH24:AK24))"),9.25)</f>
        <v>9.25</v>
      </c>
      <c r="AM24" s="7"/>
      <c r="AN24" s="396">
        <v>10.0</v>
      </c>
      <c r="AO24" s="402">
        <f t="shared" si="7"/>
        <v>8.8</v>
      </c>
      <c r="AP24" s="403" t="s">
        <v>110</v>
      </c>
      <c r="AQ24" s="404">
        <f>FINAL!N24</f>
        <v>7.898333333</v>
      </c>
    </row>
    <row r="25" ht="15.75" customHeight="1">
      <c r="A25" s="263" t="str">
        <f>INSTITUTO!A25</f>
        <v>ACT</v>
      </c>
      <c r="B25" s="264">
        <f>INSTITUTO!B25</f>
        <v>16</v>
      </c>
      <c r="C25" s="391" t="str">
        <f>INSTITUTO!C25</f>
        <v>González Perdomo, Jonathan Vladimir</v>
      </c>
      <c r="D25" s="392">
        <v>5.7</v>
      </c>
      <c r="E25" s="127"/>
      <c r="F25" s="127">
        <f t="shared" si="1"/>
        <v>5.7</v>
      </c>
      <c r="G25" s="30"/>
      <c r="H25" s="394">
        <v>10.0</v>
      </c>
      <c r="I25" s="394">
        <v>10.0</v>
      </c>
      <c r="J25" s="394">
        <v>5.7</v>
      </c>
      <c r="K25" s="394">
        <v>8.4</v>
      </c>
      <c r="L25" s="394">
        <v>5.7</v>
      </c>
      <c r="M25" s="394">
        <v>5.7</v>
      </c>
      <c r="N25" s="395">
        <f>IFERROR(__xludf.DUMMYFUNCTION("+SUM(H25:M25)/(COUNT(H25:M25))"),7.583333333333335)</f>
        <v>7.583333333</v>
      </c>
      <c r="O25" s="30"/>
      <c r="P25" s="396">
        <v>8.0</v>
      </c>
      <c r="Q25" s="397">
        <f t="shared" si="2"/>
        <v>7.06</v>
      </c>
      <c r="R25" s="392">
        <v>8.5</v>
      </c>
      <c r="S25" s="398"/>
      <c r="T25" s="127">
        <f t="shared" si="3"/>
        <v>8.5</v>
      </c>
      <c r="U25" s="30"/>
      <c r="V25" s="394">
        <v>5.0</v>
      </c>
      <c r="W25" s="394">
        <v>7.0</v>
      </c>
      <c r="X25" s="394">
        <v>5.0</v>
      </c>
      <c r="Y25" s="394">
        <v>10.0</v>
      </c>
      <c r="Z25" s="395">
        <f>IFERROR(__xludf.DUMMYFUNCTION("+SUM(V25:Y25)/(COUNT(V25:Y25))"),6.75)</f>
        <v>6.75</v>
      </c>
      <c r="AA25" s="7"/>
      <c r="AB25" s="396">
        <v>10.0</v>
      </c>
      <c r="AC25" s="399">
        <f t="shared" si="4"/>
        <v>7.6</v>
      </c>
      <c r="AD25" s="392">
        <v>7.5</v>
      </c>
      <c r="AE25" s="398"/>
      <c r="AF25" s="400">
        <f t="shared" si="5"/>
        <v>7.5</v>
      </c>
      <c r="AG25" s="401" t="str">
        <f t="shared" si="6"/>
        <v>APTO</v>
      </c>
      <c r="AH25" s="394">
        <v>10.0</v>
      </c>
      <c r="AI25" s="394">
        <v>5.0</v>
      </c>
      <c r="AJ25" s="394">
        <v>8.0</v>
      </c>
      <c r="AK25" s="394">
        <v>7.0</v>
      </c>
      <c r="AL25" s="395">
        <f>IFERROR(__xludf.DUMMYFUNCTION("+SUM(AH25:AK25)/(COUNT(AH25:AK25))"),7.5)</f>
        <v>7.5</v>
      </c>
      <c r="AM25" s="7"/>
      <c r="AN25" s="396">
        <v>10.0</v>
      </c>
      <c r="AO25" s="402">
        <f t="shared" si="7"/>
        <v>7.75</v>
      </c>
      <c r="AP25" s="403" t="s">
        <v>110</v>
      </c>
      <c r="AQ25" s="404">
        <f>FINAL!N25</f>
        <v>7.47</v>
      </c>
    </row>
    <row r="26" ht="15.75" customHeight="1">
      <c r="A26" s="263" t="str">
        <f>INSTITUTO!A26</f>
        <v>ACT</v>
      </c>
      <c r="B26" s="264">
        <f>INSTITUTO!B26</f>
        <v>17</v>
      </c>
      <c r="C26" s="391" t="str">
        <f>INSTITUTO!C26</f>
        <v>Jiménez Hernández, Jesús</v>
      </c>
      <c r="D26" s="392">
        <v>6.9</v>
      </c>
      <c r="E26" s="127"/>
      <c r="F26" s="127">
        <f t="shared" si="1"/>
        <v>6.9</v>
      </c>
      <c r="G26" s="30"/>
      <c r="H26" s="394">
        <v>10.0</v>
      </c>
      <c r="I26" s="394">
        <v>10.0</v>
      </c>
      <c r="J26" s="394">
        <v>6.6</v>
      </c>
      <c r="K26" s="394">
        <v>4.6</v>
      </c>
      <c r="L26" s="394">
        <v>6.9</v>
      </c>
      <c r="M26" s="394">
        <v>6.9</v>
      </c>
      <c r="N26" s="395">
        <f>IFERROR(__xludf.DUMMYFUNCTION("+SUM(H26:M26)/(COUNT(H26:M26))"),7.5)</f>
        <v>7.5</v>
      </c>
      <c r="O26" s="30"/>
      <c r="P26" s="396">
        <v>5.0</v>
      </c>
      <c r="Q26" s="397">
        <f t="shared" si="2"/>
        <v>7.07</v>
      </c>
      <c r="R26" s="392">
        <v>10.0</v>
      </c>
      <c r="S26" s="398"/>
      <c r="T26" s="127">
        <f t="shared" si="3"/>
        <v>10</v>
      </c>
      <c r="U26" s="30"/>
      <c r="V26" s="394">
        <v>5.0</v>
      </c>
      <c r="W26" s="394">
        <v>7.1</v>
      </c>
      <c r="X26" s="394">
        <v>5.0</v>
      </c>
      <c r="Y26" s="394">
        <v>10.0</v>
      </c>
      <c r="Z26" s="395">
        <f>IFERROR(__xludf.DUMMYFUNCTION("+SUM(V26:Y26)/(COUNT(V26:Y26))"),6.775)</f>
        <v>6.775</v>
      </c>
      <c r="AA26" s="7"/>
      <c r="AB26" s="396">
        <v>10.0</v>
      </c>
      <c r="AC26" s="399">
        <f t="shared" si="4"/>
        <v>8.065</v>
      </c>
      <c r="AD26" s="392">
        <v>8.0</v>
      </c>
      <c r="AE26" s="398"/>
      <c r="AF26" s="400">
        <f t="shared" si="5"/>
        <v>8</v>
      </c>
      <c r="AG26" s="401" t="str">
        <f t="shared" si="6"/>
        <v>APTO</v>
      </c>
      <c r="AH26" s="394">
        <v>10.0</v>
      </c>
      <c r="AI26" s="394">
        <v>5.0</v>
      </c>
      <c r="AJ26" s="394">
        <v>0.0</v>
      </c>
      <c r="AK26" s="394">
        <v>7.4</v>
      </c>
      <c r="AL26" s="395">
        <f>IFERROR(__xludf.DUMMYFUNCTION("+SUM(AH26:AK26)/(COUNT(AH26:AK26))"),5.6)</f>
        <v>5.6</v>
      </c>
      <c r="AM26" s="7"/>
      <c r="AN26" s="396">
        <v>5.0</v>
      </c>
      <c r="AO26" s="402">
        <f t="shared" si="7"/>
        <v>6.26</v>
      </c>
      <c r="AP26" s="403" t="s">
        <v>110</v>
      </c>
      <c r="AQ26" s="404">
        <f>FINAL!N26</f>
        <v>7.131666667</v>
      </c>
    </row>
    <row r="27" ht="15.75" customHeight="1">
      <c r="A27" s="263" t="str">
        <f>INSTITUTO!A27</f>
        <v>ACT</v>
      </c>
      <c r="B27" s="264">
        <f>INSTITUTO!B27</f>
        <v>18</v>
      </c>
      <c r="C27" s="391" t="str">
        <f>INSTITUTO!C27</f>
        <v>Martel León, Antonio</v>
      </c>
      <c r="D27" s="392">
        <v>5.3</v>
      </c>
      <c r="E27" s="127"/>
      <c r="F27" s="127">
        <f t="shared" si="1"/>
        <v>5.3</v>
      </c>
      <c r="G27" s="30"/>
      <c r="H27" s="394">
        <v>10.0</v>
      </c>
      <c r="I27" s="394">
        <v>10.0</v>
      </c>
      <c r="J27" s="394">
        <v>0.0</v>
      </c>
      <c r="K27" s="394">
        <v>0.0</v>
      </c>
      <c r="L27" s="394">
        <v>5.3</v>
      </c>
      <c r="M27" s="394">
        <v>7.3</v>
      </c>
      <c r="N27" s="395">
        <f>IFERROR(__xludf.DUMMYFUNCTION("+SUM(H27:M27)/(COUNT(H27:M27))"),5.433333333333334)</f>
        <v>5.433333333</v>
      </c>
      <c r="O27" s="30"/>
      <c r="P27" s="396">
        <v>6.0</v>
      </c>
      <c r="Q27" s="397">
        <f t="shared" si="2"/>
        <v>5.45</v>
      </c>
      <c r="R27" s="392">
        <v>9.5</v>
      </c>
      <c r="S27" s="398"/>
      <c r="T27" s="127">
        <f t="shared" si="3"/>
        <v>9.5</v>
      </c>
      <c r="U27" s="30"/>
      <c r="V27" s="394">
        <v>5.0</v>
      </c>
      <c r="W27" s="394">
        <v>7.0</v>
      </c>
      <c r="X27" s="394">
        <v>1.0</v>
      </c>
      <c r="Y27" s="394">
        <v>10.0</v>
      </c>
      <c r="Z27" s="395">
        <f>IFERROR(__xludf.DUMMYFUNCTION("+SUM(V27:Y27)/(COUNT(V27:Y27))"),5.75)</f>
        <v>5.75</v>
      </c>
      <c r="AA27" s="7"/>
      <c r="AB27" s="396">
        <v>0.0</v>
      </c>
      <c r="AC27" s="399">
        <f t="shared" si="4"/>
        <v>6.3</v>
      </c>
      <c r="AD27" s="392">
        <v>8.5</v>
      </c>
      <c r="AE27" s="398"/>
      <c r="AF27" s="400">
        <f t="shared" si="5"/>
        <v>8.5</v>
      </c>
      <c r="AG27" s="401" t="str">
        <f t="shared" si="6"/>
        <v>APTO</v>
      </c>
      <c r="AH27" s="394">
        <v>10.0</v>
      </c>
      <c r="AI27" s="394">
        <v>5.0</v>
      </c>
      <c r="AJ27" s="394">
        <v>6.5</v>
      </c>
      <c r="AK27" s="394">
        <v>8.0</v>
      </c>
      <c r="AL27" s="395">
        <f>IFERROR(__xludf.DUMMYFUNCTION("+SUM(AH27:AK27)/(COUNT(AH27:AK27))"),7.375)</f>
        <v>7.375</v>
      </c>
      <c r="AM27" s="7"/>
      <c r="AN27" s="396">
        <v>10.0</v>
      </c>
      <c r="AO27" s="402">
        <f t="shared" si="7"/>
        <v>7.975</v>
      </c>
      <c r="AP27" s="403" t="s">
        <v>110</v>
      </c>
      <c r="AQ27" s="404">
        <f>FINAL!N27</f>
        <v>6.575</v>
      </c>
    </row>
    <row r="28" ht="15.75" customHeight="1">
      <c r="A28" s="263" t="str">
        <f>INSTITUTO!A28</f>
        <v>ACT</v>
      </c>
      <c r="B28" s="264">
        <f>INSTITUTO!B28</f>
        <v>19</v>
      </c>
      <c r="C28" s="391" t="str">
        <f>INSTITUTO!C28</f>
        <v>Montero Gutiérrez, Sergio</v>
      </c>
      <c r="D28" s="392">
        <v>7.4</v>
      </c>
      <c r="E28" s="127"/>
      <c r="F28" s="127">
        <f t="shared" si="1"/>
        <v>7.4</v>
      </c>
      <c r="G28" s="30"/>
      <c r="H28" s="394">
        <v>10.0</v>
      </c>
      <c r="I28" s="394">
        <v>10.0</v>
      </c>
      <c r="J28" s="394">
        <v>10.0</v>
      </c>
      <c r="K28" s="394">
        <v>7.6</v>
      </c>
      <c r="L28" s="394">
        <v>7.4</v>
      </c>
      <c r="M28" s="394">
        <v>9.1</v>
      </c>
      <c r="N28" s="395">
        <f>IFERROR(__xludf.DUMMYFUNCTION("+SUM(H28:M28)/(COUNT(H28:M28))"),9.016666666666667)</f>
        <v>9.016666667</v>
      </c>
      <c r="O28" s="30"/>
      <c r="P28" s="396">
        <v>10.0</v>
      </c>
      <c r="Q28" s="397">
        <f t="shared" si="2"/>
        <v>8.63</v>
      </c>
      <c r="R28" s="392">
        <v>7.5</v>
      </c>
      <c r="S28" s="398"/>
      <c r="T28" s="127">
        <f t="shared" si="3"/>
        <v>7.5</v>
      </c>
      <c r="U28" s="30"/>
      <c r="V28" s="394">
        <v>8.3</v>
      </c>
      <c r="W28" s="394">
        <v>8.1</v>
      </c>
      <c r="X28" s="394">
        <v>5.0</v>
      </c>
      <c r="Y28" s="394">
        <v>10.0</v>
      </c>
      <c r="Z28" s="395">
        <f>IFERROR(__xludf.DUMMYFUNCTION("+SUM(V28:Y28)/(COUNT(V28:Y28))"),7.85)</f>
        <v>7.85</v>
      </c>
      <c r="AA28" s="7"/>
      <c r="AB28" s="396">
        <v>5.0</v>
      </c>
      <c r="AC28" s="399">
        <f t="shared" si="4"/>
        <v>7.46</v>
      </c>
      <c r="AD28" s="392">
        <v>8.5</v>
      </c>
      <c r="AE28" s="398"/>
      <c r="AF28" s="400">
        <f t="shared" si="5"/>
        <v>8.5</v>
      </c>
      <c r="AG28" s="401" t="str">
        <f t="shared" si="6"/>
        <v>APTO</v>
      </c>
      <c r="AH28" s="394">
        <v>10.0</v>
      </c>
      <c r="AI28" s="394">
        <v>6.0</v>
      </c>
      <c r="AJ28" s="394">
        <v>8.0</v>
      </c>
      <c r="AK28" s="394">
        <v>9.0</v>
      </c>
      <c r="AL28" s="395">
        <f>IFERROR(__xludf.DUMMYFUNCTION("+SUM(AH28:AK28)/(COUNT(AH28:AK28))"),8.25)</f>
        <v>8.25</v>
      </c>
      <c r="AM28" s="7"/>
      <c r="AN28" s="396">
        <v>10.0</v>
      </c>
      <c r="AO28" s="402">
        <f t="shared" si="7"/>
        <v>8.5</v>
      </c>
      <c r="AP28" s="403" t="s">
        <v>110</v>
      </c>
      <c r="AQ28" s="404">
        <f>FINAL!N28</f>
        <v>8.196666667</v>
      </c>
    </row>
    <row r="29" ht="15.75" customHeight="1">
      <c r="A29" s="263" t="str">
        <f>INSTITUTO!A29</f>
        <v>ACT</v>
      </c>
      <c r="B29" s="264">
        <f>INSTITUTO!B29</f>
        <v>20</v>
      </c>
      <c r="C29" s="391" t="str">
        <f>INSTITUTO!C29</f>
        <v>Montero Ramos, Manuel</v>
      </c>
      <c r="D29" s="392">
        <v>6.5</v>
      </c>
      <c r="E29" s="127"/>
      <c r="F29" s="127">
        <f t="shared" si="1"/>
        <v>6.5</v>
      </c>
      <c r="G29" s="30"/>
      <c r="H29" s="394">
        <v>10.0</v>
      </c>
      <c r="I29" s="394">
        <v>10.0</v>
      </c>
      <c r="J29" s="394">
        <v>7.2</v>
      </c>
      <c r="K29" s="394">
        <v>7.6</v>
      </c>
      <c r="L29" s="394">
        <v>6.5</v>
      </c>
      <c r="M29" s="394">
        <v>8.6</v>
      </c>
      <c r="N29" s="395">
        <f>IFERROR(__xludf.DUMMYFUNCTION("+SUM(H29:M29)/(COUNT(H29:M29))"),8.316666666666666)</f>
        <v>8.316666667</v>
      </c>
      <c r="O29" s="30"/>
      <c r="P29" s="396">
        <v>10.0</v>
      </c>
      <c r="Q29" s="397">
        <f t="shared" si="2"/>
        <v>7.94</v>
      </c>
      <c r="R29" s="392">
        <v>9.0</v>
      </c>
      <c r="S29" s="398"/>
      <c r="T29" s="127">
        <f t="shared" si="3"/>
        <v>9</v>
      </c>
      <c r="U29" s="30"/>
      <c r="V29" s="394">
        <v>9.4</v>
      </c>
      <c r="W29" s="394">
        <v>8.6</v>
      </c>
      <c r="X29" s="394">
        <v>5.0</v>
      </c>
      <c r="Y29" s="394">
        <v>10.0</v>
      </c>
      <c r="Z29" s="395">
        <f>IFERROR(__xludf.DUMMYFUNCTION("+SUM(V29:Y29)/(COUNT(V29:Y29))"),8.25)</f>
        <v>8.25</v>
      </c>
      <c r="AA29" s="7"/>
      <c r="AB29" s="396">
        <v>10.0</v>
      </c>
      <c r="AC29" s="399">
        <f t="shared" si="4"/>
        <v>8.65</v>
      </c>
      <c r="AD29" s="392">
        <v>5.5</v>
      </c>
      <c r="AE29" s="398"/>
      <c r="AF29" s="400">
        <f t="shared" si="5"/>
        <v>5.5</v>
      </c>
      <c r="AG29" s="401" t="str">
        <f t="shared" si="6"/>
        <v>APTO</v>
      </c>
      <c r="AH29" s="394">
        <v>10.0</v>
      </c>
      <c r="AI29" s="394">
        <v>8.5</v>
      </c>
      <c r="AJ29" s="394">
        <v>7.5</v>
      </c>
      <c r="AK29" s="394">
        <v>8.2</v>
      </c>
      <c r="AL29" s="395">
        <f>IFERROR(__xludf.DUMMYFUNCTION("+SUM(AH29:AK29)/(COUNT(AH29:AK29))"),8.55)</f>
        <v>8.55</v>
      </c>
      <c r="AM29" s="7"/>
      <c r="AN29" s="396">
        <v>10.0</v>
      </c>
      <c r="AO29" s="402">
        <f t="shared" si="7"/>
        <v>7.78</v>
      </c>
      <c r="AP29" s="403" t="s">
        <v>110</v>
      </c>
      <c r="AQ29" s="404">
        <f>FINAL!N29</f>
        <v>8.123333333</v>
      </c>
    </row>
    <row r="30" ht="15.75" customHeight="1">
      <c r="A30" s="263" t="str">
        <f>INSTITUTO!A30</f>
        <v>ACT</v>
      </c>
      <c r="B30" s="264">
        <f>INSTITUTO!B30</f>
        <v>21</v>
      </c>
      <c r="C30" s="391" t="str">
        <f>INSTITUTO!C30</f>
        <v>Murillo Villar, Javier</v>
      </c>
      <c r="D30" s="392">
        <v>7.0</v>
      </c>
      <c r="E30" s="127"/>
      <c r="F30" s="127">
        <f t="shared" si="1"/>
        <v>7</v>
      </c>
      <c r="G30" s="30"/>
      <c r="H30" s="394">
        <v>10.0</v>
      </c>
      <c r="I30" s="394">
        <v>10.0</v>
      </c>
      <c r="J30" s="394">
        <v>7.0</v>
      </c>
      <c r="K30" s="394">
        <v>7.6</v>
      </c>
      <c r="L30" s="394">
        <v>7.0</v>
      </c>
      <c r="M30" s="394">
        <v>7.9</v>
      </c>
      <c r="N30" s="395">
        <f>IFERROR(__xludf.DUMMYFUNCTION("+SUM(H30:M30)/(COUNT(H30:M30))"),8.25)</f>
        <v>8.25</v>
      </c>
      <c r="O30" s="30"/>
      <c r="P30" s="396">
        <v>6.0</v>
      </c>
      <c r="Q30" s="397">
        <f t="shared" si="2"/>
        <v>7.65</v>
      </c>
      <c r="R30" s="392">
        <v>10.0</v>
      </c>
      <c r="S30" s="398"/>
      <c r="T30" s="127">
        <f t="shared" si="3"/>
        <v>10</v>
      </c>
      <c r="U30" s="30"/>
      <c r="V30" s="394">
        <v>9.2</v>
      </c>
      <c r="W30" s="394">
        <v>7.2</v>
      </c>
      <c r="X30" s="394">
        <v>5.0</v>
      </c>
      <c r="Y30" s="394">
        <v>10.0</v>
      </c>
      <c r="Z30" s="395">
        <f>IFERROR(__xludf.DUMMYFUNCTION("+SUM(V30:Y30)/(COUNT(V30:Y30))"),7.85)</f>
        <v>7.85</v>
      </c>
      <c r="AA30" s="7"/>
      <c r="AB30" s="396">
        <v>10.0</v>
      </c>
      <c r="AC30" s="399">
        <f t="shared" si="4"/>
        <v>8.71</v>
      </c>
      <c r="AD30" s="392">
        <v>9.5</v>
      </c>
      <c r="AE30" s="398"/>
      <c r="AF30" s="400">
        <f t="shared" si="5"/>
        <v>9.5</v>
      </c>
      <c r="AG30" s="401" t="str">
        <f t="shared" si="6"/>
        <v>APTO</v>
      </c>
      <c r="AH30" s="394">
        <v>10.0</v>
      </c>
      <c r="AI30" s="394">
        <v>8.8</v>
      </c>
      <c r="AJ30" s="394">
        <v>5.0</v>
      </c>
      <c r="AK30" s="394">
        <v>9.0</v>
      </c>
      <c r="AL30" s="395">
        <f>IFERROR(__xludf.DUMMYFUNCTION("+SUM(AH30:AK30)/(COUNT(AH30:AK30))"),8.2)</f>
        <v>8.2</v>
      </c>
      <c r="AM30" s="7"/>
      <c r="AN30" s="396">
        <v>10.0</v>
      </c>
      <c r="AO30" s="402">
        <f t="shared" si="7"/>
        <v>8.77</v>
      </c>
      <c r="AP30" s="403" t="s">
        <v>110</v>
      </c>
      <c r="AQ30" s="404">
        <f>FINAL!N30</f>
        <v>8.376666667</v>
      </c>
    </row>
    <row r="31" ht="15.75" customHeight="1">
      <c r="A31" s="263" t="str">
        <f>INSTITUTO!A31</f>
        <v>ACT</v>
      </c>
      <c r="B31" s="264">
        <f>INSTITUTO!B31</f>
        <v>22</v>
      </c>
      <c r="C31" s="391" t="str">
        <f>INSTITUTO!C31</f>
        <v>Pérez del Saz, Juan Ángel</v>
      </c>
      <c r="D31" s="392">
        <v>5.6</v>
      </c>
      <c r="E31" s="127"/>
      <c r="F31" s="127">
        <f t="shared" si="1"/>
        <v>5.6</v>
      </c>
      <c r="G31" s="30"/>
      <c r="H31" s="394">
        <v>10.0</v>
      </c>
      <c r="I31" s="394">
        <v>10.0</v>
      </c>
      <c r="J31" s="394">
        <v>0.0</v>
      </c>
      <c r="K31" s="394">
        <v>0.0</v>
      </c>
      <c r="L31" s="394">
        <v>5.6</v>
      </c>
      <c r="M31" s="394">
        <v>6.0</v>
      </c>
      <c r="N31" s="395">
        <f>IFERROR(__xludf.DUMMYFUNCTION("+SUM(H31:M31)/(COUNT(H31:M31))"),5.266666666666667)</f>
        <v>5.266666667</v>
      </c>
      <c r="O31" s="30"/>
      <c r="P31" s="396">
        <v>6.0</v>
      </c>
      <c r="Q31" s="397">
        <f t="shared" si="2"/>
        <v>5.44</v>
      </c>
      <c r="R31" s="392">
        <v>9.0</v>
      </c>
      <c r="S31" s="398"/>
      <c r="T31" s="127">
        <f t="shared" si="3"/>
        <v>9</v>
      </c>
      <c r="U31" s="30"/>
      <c r="V31" s="394">
        <v>5.0</v>
      </c>
      <c r="W31" s="394">
        <v>7.0</v>
      </c>
      <c r="X31" s="394">
        <v>5.0</v>
      </c>
      <c r="Y31" s="394">
        <v>10.0</v>
      </c>
      <c r="Z31" s="395">
        <f>IFERROR(__xludf.DUMMYFUNCTION("+SUM(V31:Y31)/(COUNT(V31:Y31))"),6.75)</f>
        <v>6.75</v>
      </c>
      <c r="AA31" s="7"/>
      <c r="AB31" s="396">
        <v>5.0</v>
      </c>
      <c r="AC31" s="399">
        <f t="shared" si="4"/>
        <v>7.25</v>
      </c>
      <c r="AD31" s="392">
        <v>8.0</v>
      </c>
      <c r="AE31" s="398"/>
      <c r="AF31" s="400">
        <f t="shared" si="5"/>
        <v>8</v>
      </c>
      <c r="AG31" s="401" t="str">
        <f t="shared" si="6"/>
        <v>APTO</v>
      </c>
      <c r="AH31" s="394">
        <v>10.0</v>
      </c>
      <c r="AI31" s="394">
        <v>5.0</v>
      </c>
      <c r="AJ31" s="394">
        <v>0.0</v>
      </c>
      <c r="AK31" s="394">
        <v>5.6</v>
      </c>
      <c r="AL31" s="395">
        <f>IFERROR(__xludf.DUMMYFUNCTION("+SUM(AH31:AK31)/(COUNT(AH31:AK31))"),5.15)</f>
        <v>5.15</v>
      </c>
      <c r="AM31" s="7"/>
      <c r="AN31" s="396">
        <v>5.0</v>
      </c>
      <c r="AO31" s="402">
        <f t="shared" si="7"/>
        <v>5.99</v>
      </c>
      <c r="AP31" s="403" t="s">
        <v>110</v>
      </c>
      <c r="AQ31" s="404">
        <f>FINAL!N31</f>
        <v>6.226666667</v>
      </c>
    </row>
    <row r="32" ht="15.75" customHeight="1">
      <c r="A32" s="263" t="str">
        <f>INSTITUTO!A32</f>
        <v>ACT</v>
      </c>
      <c r="B32" s="264">
        <f>INSTITUTO!B32</f>
        <v>23</v>
      </c>
      <c r="C32" s="391" t="str">
        <f>INSTITUTO!C32</f>
        <v>Ramírez Pérez, Daniel</v>
      </c>
      <c r="D32" s="392">
        <v>5.2</v>
      </c>
      <c r="E32" s="127"/>
      <c r="F32" s="127">
        <f t="shared" si="1"/>
        <v>5.2</v>
      </c>
      <c r="G32" s="30"/>
      <c r="H32" s="394">
        <v>10.0</v>
      </c>
      <c r="I32" s="394">
        <v>10.0</v>
      </c>
      <c r="J32" s="394">
        <v>8.2</v>
      </c>
      <c r="K32" s="394">
        <v>3.6</v>
      </c>
      <c r="L32" s="394">
        <v>5.2</v>
      </c>
      <c r="M32" s="394">
        <v>0.0</v>
      </c>
      <c r="N32" s="395">
        <f>IFERROR(__xludf.DUMMYFUNCTION("+SUM(H32:M32)/(COUNT(H32:M32))"),6.166666666666667)</f>
        <v>6.166666667</v>
      </c>
      <c r="O32" s="30"/>
      <c r="P32" s="396">
        <v>3.0</v>
      </c>
      <c r="Q32" s="397">
        <f t="shared" si="2"/>
        <v>5.56</v>
      </c>
      <c r="R32" s="392">
        <v>10.0</v>
      </c>
      <c r="S32" s="398"/>
      <c r="T32" s="127">
        <f t="shared" si="3"/>
        <v>10</v>
      </c>
      <c r="U32" s="30"/>
      <c r="V32" s="394">
        <v>0.0</v>
      </c>
      <c r="W32" s="394">
        <v>7.2</v>
      </c>
      <c r="X32" s="394">
        <v>0.0</v>
      </c>
      <c r="Y32" s="394">
        <v>10.0</v>
      </c>
      <c r="Z32" s="395">
        <f>IFERROR(__xludf.DUMMYFUNCTION("+SUM(V32:Y32)/(COUNT(V32:Y32))"),4.3)</f>
        <v>4.3</v>
      </c>
      <c r="AA32" s="7"/>
      <c r="AB32" s="396">
        <v>0.0</v>
      </c>
      <c r="AC32" s="399">
        <f t="shared" si="4"/>
        <v>5.58</v>
      </c>
      <c r="AD32" s="392">
        <v>8.0</v>
      </c>
      <c r="AE32" s="398"/>
      <c r="AF32" s="400">
        <f t="shared" si="5"/>
        <v>8</v>
      </c>
      <c r="AG32" s="401" t="str">
        <f t="shared" si="6"/>
        <v>APTO</v>
      </c>
      <c r="AH32" s="394">
        <v>10.0</v>
      </c>
      <c r="AI32" s="394">
        <v>8.0</v>
      </c>
      <c r="AJ32" s="394">
        <v>5.0</v>
      </c>
      <c r="AK32" s="394">
        <v>9.0</v>
      </c>
      <c r="AL32" s="395">
        <f>IFERROR(__xludf.DUMMYFUNCTION("+SUM(AH32:AK32)/(COUNT(AH32:AK32))"),8.0)</f>
        <v>8</v>
      </c>
      <c r="AM32" s="7"/>
      <c r="AN32" s="396">
        <v>10.0</v>
      </c>
      <c r="AO32" s="402">
        <f t="shared" si="7"/>
        <v>8.2</v>
      </c>
      <c r="AP32" s="403" t="s">
        <v>110</v>
      </c>
      <c r="AQ32" s="404">
        <f>FINAL!N32</f>
        <v>6.446666667</v>
      </c>
    </row>
    <row r="33" ht="15.75" customHeight="1">
      <c r="A33" s="263" t="str">
        <f>INSTITUTO!A33</f>
        <v>ACT</v>
      </c>
      <c r="B33" s="264">
        <f>INSTITUTO!B33</f>
        <v>24</v>
      </c>
      <c r="C33" s="391" t="str">
        <f>INSTITUTO!C33</f>
        <v>Ramos De la Rosa, Rafael</v>
      </c>
      <c r="D33" s="392">
        <v>6.0</v>
      </c>
      <c r="E33" s="127"/>
      <c r="F33" s="127">
        <f t="shared" si="1"/>
        <v>6</v>
      </c>
      <c r="G33" s="30"/>
      <c r="H33" s="394">
        <v>10.0</v>
      </c>
      <c r="I33" s="394">
        <v>10.0</v>
      </c>
      <c r="J33" s="394">
        <v>5.0</v>
      </c>
      <c r="K33" s="394">
        <v>3.6</v>
      </c>
      <c r="L33" s="394">
        <v>6.0</v>
      </c>
      <c r="M33" s="394">
        <v>8.3</v>
      </c>
      <c r="N33" s="395">
        <f>IFERROR(__xludf.DUMMYFUNCTION("+SUM(H33:M33)/(COUNT(H33:M33))"),7.150000000000001)</f>
        <v>7.15</v>
      </c>
      <c r="O33" s="30"/>
      <c r="P33" s="396">
        <v>3.0</v>
      </c>
      <c r="Q33" s="397">
        <f t="shared" si="2"/>
        <v>6.39</v>
      </c>
      <c r="R33" s="392">
        <v>8.5</v>
      </c>
      <c r="S33" s="398"/>
      <c r="T33" s="127">
        <f t="shared" si="3"/>
        <v>8.5</v>
      </c>
      <c r="U33" s="30"/>
      <c r="V33" s="394">
        <v>7.5</v>
      </c>
      <c r="W33" s="394">
        <v>7.7</v>
      </c>
      <c r="X33" s="394">
        <v>0.0</v>
      </c>
      <c r="Y33" s="394">
        <v>10.0</v>
      </c>
      <c r="Z33" s="395">
        <f>IFERROR(__xludf.DUMMYFUNCTION("+SUM(V33:Y33)/(COUNT(V33:Y33))"),6.3)</f>
        <v>6.3</v>
      </c>
      <c r="AA33" s="7"/>
      <c r="AB33" s="396">
        <v>0.0</v>
      </c>
      <c r="AC33" s="399">
        <f t="shared" si="4"/>
        <v>6.33</v>
      </c>
      <c r="AD33" s="392">
        <v>8.5</v>
      </c>
      <c r="AE33" s="398"/>
      <c r="AF33" s="400">
        <f t="shared" si="5"/>
        <v>8.5</v>
      </c>
      <c r="AG33" s="401" t="str">
        <f t="shared" si="6"/>
        <v>APTO</v>
      </c>
      <c r="AH33" s="394">
        <v>10.0</v>
      </c>
      <c r="AI33" s="394">
        <v>7.0</v>
      </c>
      <c r="AJ33" s="394">
        <v>7.5</v>
      </c>
      <c r="AK33" s="394">
        <v>8.5</v>
      </c>
      <c r="AL33" s="395">
        <f>IFERROR(__xludf.DUMMYFUNCTION("+SUM(AH33:AK33)/(COUNT(AH33:AK33))"),8.25)</f>
        <v>8.25</v>
      </c>
      <c r="AM33" s="7"/>
      <c r="AN33" s="396">
        <v>10.0</v>
      </c>
      <c r="AO33" s="402">
        <f t="shared" si="7"/>
        <v>8.5</v>
      </c>
      <c r="AP33" s="403" t="s">
        <v>110</v>
      </c>
      <c r="AQ33" s="404">
        <f>FINAL!N33</f>
        <v>7.073333333</v>
      </c>
    </row>
    <row r="34" ht="15.75" customHeight="1">
      <c r="A34" s="263" t="str">
        <f>INSTITUTO!A34</f>
        <v>ACT</v>
      </c>
      <c r="B34" s="264">
        <f>INSTITUTO!B34</f>
        <v>25</v>
      </c>
      <c r="C34" s="391" t="str">
        <f>INSTITUTO!C34</f>
        <v>Rodríguez Barrios, Manuel</v>
      </c>
      <c r="D34" s="392">
        <v>8.2</v>
      </c>
      <c r="E34" s="127"/>
      <c r="F34" s="127">
        <f t="shared" si="1"/>
        <v>8.2</v>
      </c>
      <c r="G34" s="30"/>
      <c r="H34" s="394">
        <v>10.0</v>
      </c>
      <c r="I34" s="394">
        <v>10.0</v>
      </c>
      <c r="J34" s="394">
        <v>6.6</v>
      </c>
      <c r="K34" s="394">
        <v>6.0</v>
      </c>
      <c r="L34" s="394">
        <v>8.2</v>
      </c>
      <c r="M34" s="394">
        <v>9.3</v>
      </c>
      <c r="N34" s="395">
        <f>IFERROR(__xludf.DUMMYFUNCTION("+SUM(H34:M34)/(COUNT(H34:M34))"),8.35)</f>
        <v>8.35</v>
      </c>
      <c r="O34" s="30"/>
      <c r="P34" s="396">
        <v>5.0</v>
      </c>
      <c r="Q34" s="397">
        <f t="shared" si="2"/>
        <v>7.97</v>
      </c>
      <c r="R34" s="392">
        <v>9.5</v>
      </c>
      <c r="S34" s="398"/>
      <c r="T34" s="127">
        <f t="shared" si="3"/>
        <v>9.5</v>
      </c>
      <c r="U34" s="30"/>
      <c r="V34" s="394">
        <v>10.0</v>
      </c>
      <c r="W34" s="394">
        <v>10.0</v>
      </c>
      <c r="X34" s="394">
        <v>10.0</v>
      </c>
      <c r="Y34" s="394">
        <v>10.0</v>
      </c>
      <c r="Z34" s="395">
        <f>IFERROR(__xludf.DUMMYFUNCTION("+SUM(V34:Y34)/(COUNT(V34:Y34))"),10.0)</f>
        <v>10</v>
      </c>
      <c r="AA34" s="7"/>
      <c r="AB34" s="396">
        <v>5.0</v>
      </c>
      <c r="AC34" s="399">
        <f t="shared" si="4"/>
        <v>9.35</v>
      </c>
      <c r="AD34" s="392">
        <v>8.5</v>
      </c>
      <c r="AE34" s="398"/>
      <c r="AF34" s="400">
        <f t="shared" si="5"/>
        <v>8.5</v>
      </c>
      <c r="AG34" s="401" t="str">
        <f t="shared" si="6"/>
        <v>APTO</v>
      </c>
      <c r="AH34" s="394">
        <v>10.0</v>
      </c>
      <c r="AI34" s="394">
        <v>10.0</v>
      </c>
      <c r="AJ34" s="394">
        <v>10.0</v>
      </c>
      <c r="AK34" s="394">
        <v>10.0</v>
      </c>
      <c r="AL34" s="395">
        <f>IFERROR(__xludf.DUMMYFUNCTION("+SUM(AH34:AK34)/(COUNT(AH34:AK34))"),10.0)</f>
        <v>10</v>
      </c>
      <c r="AM34" s="7"/>
      <c r="AN34" s="396">
        <v>10.0</v>
      </c>
      <c r="AO34" s="402">
        <f t="shared" si="7"/>
        <v>9.55</v>
      </c>
      <c r="AP34" s="403" t="s">
        <v>110</v>
      </c>
      <c r="AQ34" s="404">
        <f>FINAL!N34</f>
        <v>9.956666667</v>
      </c>
    </row>
    <row r="35" ht="15.75" customHeight="1">
      <c r="A35" s="263" t="str">
        <f>INSTITUTO!A35</f>
        <v>ACT</v>
      </c>
      <c r="B35" s="264">
        <f>INSTITUTO!B35</f>
        <v>26</v>
      </c>
      <c r="C35" s="391" t="str">
        <f>INSTITUTO!C35</f>
        <v>Ruiz Franco, Arturo</v>
      </c>
      <c r="D35" s="392">
        <v>7.5</v>
      </c>
      <c r="E35" s="127"/>
      <c r="F35" s="127">
        <f t="shared" si="1"/>
        <v>7.5</v>
      </c>
      <c r="G35" s="30"/>
      <c r="H35" s="394">
        <v>10.0</v>
      </c>
      <c r="I35" s="394">
        <v>10.0</v>
      </c>
      <c r="J35" s="394">
        <v>5.0</v>
      </c>
      <c r="K35" s="394">
        <v>4.6</v>
      </c>
      <c r="L35" s="394">
        <v>7.5</v>
      </c>
      <c r="M35" s="394">
        <v>9.2</v>
      </c>
      <c r="N35" s="395">
        <f>IFERROR(__xludf.DUMMYFUNCTION("+SUM(H35:M35)/(COUNT(H35:M35))"),7.716666666666666)</f>
        <v>7.716666667</v>
      </c>
      <c r="O35" s="30"/>
      <c r="P35" s="396">
        <v>6.0</v>
      </c>
      <c r="Q35" s="397">
        <f t="shared" si="2"/>
        <v>7.48</v>
      </c>
      <c r="R35" s="392">
        <v>10.0</v>
      </c>
      <c r="S35" s="398"/>
      <c r="T35" s="127">
        <f t="shared" si="3"/>
        <v>10</v>
      </c>
      <c r="U35" s="30"/>
      <c r="V35" s="394">
        <v>8.5</v>
      </c>
      <c r="W35" s="394">
        <v>7.6</v>
      </c>
      <c r="X35" s="394">
        <v>0.0</v>
      </c>
      <c r="Y35" s="394">
        <v>10.0</v>
      </c>
      <c r="Z35" s="395">
        <f>IFERROR(__xludf.DUMMYFUNCTION("+SUM(V35:Y35)/(COUNT(V35:Y35))"),6.525)</f>
        <v>6.525</v>
      </c>
      <c r="AA35" s="7"/>
      <c r="AB35" s="396">
        <v>5.0</v>
      </c>
      <c r="AC35" s="399">
        <f t="shared" si="4"/>
        <v>7.415</v>
      </c>
      <c r="AD35" s="392">
        <v>6.0</v>
      </c>
      <c r="AE35" s="398"/>
      <c r="AF35" s="400">
        <f t="shared" si="5"/>
        <v>6</v>
      </c>
      <c r="AG35" s="401" t="str">
        <f t="shared" si="6"/>
        <v>APTO</v>
      </c>
      <c r="AH35" s="394">
        <v>10.0</v>
      </c>
      <c r="AI35" s="394">
        <v>6.5</v>
      </c>
      <c r="AJ35" s="394">
        <v>8.5</v>
      </c>
      <c r="AK35" s="394">
        <v>9.0</v>
      </c>
      <c r="AL35" s="395">
        <f>IFERROR(__xludf.DUMMYFUNCTION("+SUM(AH35:AK35)/(COUNT(AH35:AK35))"),8.5)</f>
        <v>8.5</v>
      </c>
      <c r="AM35" s="7"/>
      <c r="AN35" s="396">
        <v>10.0</v>
      </c>
      <c r="AO35" s="402">
        <f t="shared" si="7"/>
        <v>7.9</v>
      </c>
      <c r="AP35" s="403" t="s">
        <v>110</v>
      </c>
      <c r="AQ35" s="404">
        <f>FINAL!N35</f>
        <v>7.598333333</v>
      </c>
    </row>
    <row r="36" ht="15.75" customHeight="1">
      <c r="A36" s="263" t="str">
        <f>INSTITUTO!A36</f>
        <v>ACT</v>
      </c>
      <c r="B36" s="264">
        <f>INSTITUTO!B36</f>
        <v>27</v>
      </c>
      <c r="C36" s="391" t="str">
        <f>INSTITUTO!C36</f>
        <v>Ruiz Ridao, Cristina</v>
      </c>
      <c r="D36" s="392">
        <v>6.7</v>
      </c>
      <c r="E36" s="127"/>
      <c r="F36" s="127">
        <f t="shared" si="1"/>
        <v>6.7</v>
      </c>
      <c r="G36" s="30"/>
      <c r="H36" s="394">
        <v>10.0</v>
      </c>
      <c r="I36" s="394">
        <v>10.0</v>
      </c>
      <c r="J36" s="394">
        <v>7.4</v>
      </c>
      <c r="K36" s="394">
        <v>6.0</v>
      </c>
      <c r="L36" s="394">
        <v>6.7</v>
      </c>
      <c r="M36" s="394">
        <v>8.2</v>
      </c>
      <c r="N36" s="395">
        <f>IFERROR(__xludf.DUMMYFUNCTION("+SUM(H36:M36)/(COUNT(H36:M36))"),8.049999999999999)</f>
        <v>8.05</v>
      </c>
      <c r="O36" s="30"/>
      <c r="P36" s="396">
        <v>10.0</v>
      </c>
      <c r="Q36" s="397">
        <f t="shared" si="2"/>
        <v>7.84</v>
      </c>
      <c r="R36" s="392">
        <v>10.0</v>
      </c>
      <c r="S36" s="398"/>
      <c r="T36" s="127">
        <f t="shared" si="3"/>
        <v>10</v>
      </c>
      <c r="U36" s="30"/>
      <c r="V36" s="394">
        <v>9.3</v>
      </c>
      <c r="W36" s="394">
        <v>7.7</v>
      </c>
      <c r="X36" s="394">
        <v>5.0</v>
      </c>
      <c r="Y36" s="394">
        <v>10.0</v>
      </c>
      <c r="Z36" s="395">
        <f>IFERROR(__xludf.DUMMYFUNCTION("+SUM(V36:Y36)/(COUNT(V36:Y36))"),8.0)</f>
        <v>8</v>
      </c>
      <c r="AA36" s="7"/>
      <c r="AB36" s="396">
        <v>10.0</v>
      </c>
      <c r="AC36" s="399">
        <f t="shared" si="4"/>
        <v>8.8</v>
      </c>
      <c r="AD36" s="392">
        <v>5.0</v>
      </c>
      <c r="AE36" s="398"/>
      <c r="AF36" s="400">
        <f t="shared" si="5"/>
        <v>5</v>
      </c>
      <c r="AG36" s="401" t="str">
        <f t="shared" si="6"/>
        <v>APTO</v>
      </c>
      <c r="AH36" s="394">
        <v>10.0</v>
      </c>
      <c r="AI36" s="394">
        <v>8.0</v>
      </c>
      <c r="AJ36" s="394">
        <v>8.5</v>
      </c>
      <c r="AK36" s="394">
        <v>9.0</v>
      </c>
      <c r="AL36" s="395">
        <f>IFERROR(__xludf.DUMMYFUNCTION("+SUM(AH36:AK36)/(COUNT(AH36:AK36))"),8.875)</f>
        <v>8.875</v>
      </c>
      <c r="AM36" s="7"/>
      <c r="AN36" s="396">
        <v>10.0</v>
      </c>
      <c r="AO36" s="402">
        <f t="shared" si="7"/>
        <v>7.825</v>
      </c>
      <c r="AP36" s="403" t="s">
        <v>110</v>
      </c>
      <c r="AQ36" s="404">
        <f>FINAL!N36</f>
        <v>8.155</v>
      </c>
    </row>
    <row r="37" ht="15.75" customHeight="1">
      <c r="A37" s="263" t="str">
        <f>INSTITUTO!A37</f>
        <v>ACT</v>
      </c>
      <c r="B37" s="264">
        <f>INSTITUTO!B37</f>
        <v>28</v>
      </c>
      <c r="C37" s="391" t="str">
        <f>INSTITUTO!C37</f>
        <v>Salcedo Peñalosa, Pablo</v>
      </c>
      <c r="D37" s="392">
        <v>7.0</v>
      </c>
      <c r="E37" s="127"/>
      <c r="F37" s="127">
        <f t="shared" si="1"/>
        <v>7</v>
      </c>
      <c r="G37" s="30"/>
      <c r="H37" s="394">
        <v>10.0</v>
      </c>
      <c r="I37" s="394">
        <v>10.0</v>
      </c>
      <c r="J37" s="394">
        <v>5.0</v>
      </c>
      <c r="K37" s="394">
        <v>7.4</v>
      </c>
      <c r="L37" s="394">
        <v>7.0</v>
      </c>
      <c r="M37" s="394">
        <v>8.3</v>
      </c>
      <c r="N37" s="395">
        <f>IFERROR(__xludf.DUMMYFUNCTION("+SUM(H37:M37)/(COUNT(H37:M37))"),7.95)</f>
        <v>7.95</v>
      </c>
      <c r="O37" s="30"/>
      <c r="P37" s="396">
        <v>6.0</v>
      </c>
      <c r="Q37" s="397">
        <f t="shared" si="2"/>
        <v>7.47</v>
      </c>
      <c r="R37" s="392">
        <v>7.5</v>
      </c>
      <c r="S37" s="398"/>
      <c r="T37" s="127">
        <f t="shared" si="3"/>
        <v>7.5</v>
      </c>
      <c r="U37" s="30"/>
      <c r="V37" s="394">
        <v>6.0</v>
      </c>
      <c r="W37" s="394">
        <v>7.1</v>
      </c>
      <c r="X37" s="394">
        <v>0.0</v>
      </c>
      <c r="Y37" s="394">
        <v>10.0</v>
      </c>
      <c r="Z37" s="395">
        <f>IFERROR(__xludf.DUMMYFUNCTION("+SUM(V37:Y37)/(COUNT(V37:Y37))"),5.775)</f>
        <v>5.775</v>
      </c>
      <c r="AA37" s="7"/>
      <c r="AB37" s="396">
        <v>0.0</v>
      </c>
      <c r="AC37" s="399">
        <f t="shared" si="4"/>
        <v>5.715</v>
      </c>
      <c r="AD37" s="392">
        <v>5.0</v>
      </c>
      <c r="AE37" s="398"/>
      <c r="AF37" s="400">
        <f t="shared" si="5"/>
        <v>5</v>
      </c>
      <c r="AG37" s="401" t="str">
        <f t="shared" si="6"/>
        <v>APTO</v>
      </c>
      <c r="AH37" s="394">
        <v>10.0</v>
      </c>
      <c r="AI37" s="394">
        <v>7.0</v>
      </c>
      <c r="AJ37" s="394">
        <v>5.0</v>
      </c>
      <c r="AK37" s="394">
        <v>8.5</v>
      </c>
      <c r="AL37" s="395">
        <f>IFERROR(__xludf.DUMMYFUNCTION("+SUM(AH37:AK37)/(COUNT(AH37:AK37))"),7.625)</f>
        <v>7.625</v>
      </c>
      <c r="AM37" s="7"/>
      <c r="AN37" s="396">
        <v>10.0</v>
      </c>
      <c r="AO37" s="402">
        <f t="shared" si="7"/>
        <v>7.075</v>
      </c>
      <c r="AP37" s="403" t="s">
        <v>110</v>
      </c>
      <c r="AQ37" s="404">
        <f>FINAL!N37</f>
        <v>6.753333333</v>
      </c>
    </row>
    <row r="38" ht="15.75" customHeight="1">
      <c r="A38" s="263" t="str">
        <f>INSTITUTO!A38</f>
        <v>ACT</v>
      </c>
      <c r="B38" s="264">
        <f>INSTITUTO!B38</f>
        <v>29</v>
      </c>
      <c r="C38" s="391" t="str">
        <f>INSTITUTO!C38</f>
        <v>Segura Díaz, Esteban</v>
      </c>
      <c r="D38" s="392">
        <v>6.9</v>
      </c>
      <c r="E38" s="127"/>
      <c r="F38" s="127">
        <f t="shared" si="1"/>
        <v>6.9</v>
      </c>
      <c r="G38" s="30"/>
      <c r="H38" s="394">
        <v>10.0</v>
      </c>
      <c r="I38" s="394">
        <v>10.0</v>
      </c>
      <c r="J38" s="394">
        <v>8.4</v>
      </c>
      <c r="K38" s="394">
        <v>6.0</v>
      </c>
      <c r="L38" s="394">
        <v>6.9</v>
      </c>
      <c r="M38" s="394">
        <v>8.4</v>
      </c>
      <c r="N38" s="395">
        <f>IFERROR(__xludf.DUMMYFUNCTION("+SUM(H38:M38)/(COUNT(H38:M38))"),8.283333333333333)</f>
        <v>8.283333333</v>
      </c>
      <c r="O38" s="30"/>
      <c r="P38" s="396">
        <v>10.0</v>
      </c>
      <c r="Q38" s="397">
        <f t="shared" si="2"/>
        <v>8.04</v>
      </c>
      <c r="R38" s="392">
        <v>8.5</v>
      </c>
      <c r="S38" s="398"/>
      <c r="T38" s="127">
        <f t="shared" si="3"/>
        <v>8.5</v>
      </c>
      <c r="U38" s="30"/>
      <c r="V38" s="394">
        <v>0.0</v>
      </c>
      <c r="W38" s="394">
        <v>7.2</v>
      </c>
      <c r="X38" s="394">
        <v>10.0</v>
      </c>
      <c r="Y38" s="394">
        <v>10.0</v>
      </c>
      <c r="Z38" s="395">
        <f>IFERROR(__xludf.DUMMYFUNCTION("+SUM(V38:Y38)/(COUNT(V38:Y38))"),6.8)</f>
        <v>6.8</v>
      </c>
      <c r="AA38" s="7"/>
      <c r="AB38" s="396">
        <v>0.0</v>
      </c>
      <c r="AC38" s="399">
        <f t="shared" si="4"/>
        <v>6.63</v>
      </c>
      <c r="AD38" s="392">
        <v>7.5</v>
      </c>
      <c r="AE38" s="398"/>
      <c r="AF38" s="400">
        <f t="shared" si="5"/>
        <v>7.5</v>
      </c>
      <c r="AG38" s="401" t="str">
        <f t="shared" si="6"/>
        <v>APTO</v>
      </c>
      <c r="AH38" s="394">
        <v>10.0</v>
      </c>
      <c r="AI38" s="394">
        <v>9.5</v>
      </c>
      <c r="AJ38" s="394">
        <v>0.0</v>
      </c>
      <c r="AK38" s="394">
        <v>9.0</v>
      </c>
      <c r="AL38" s="395">
        <f>IFERROR(__xludf.DUMMYFUNCTION("+SUM(AH38:AK38)/(COUNT(AH38:AK38))"),7.125)</f>
        <v>7.125</v>
      </c>
      <c r="AM38" s="7"/>
      <c r="AN38" s="396">
        <v>5.0</v>
      </c>
      <c r="AO38" s="402">
        <f t="shared" si="7"/>
        <v>7.025</v>
      </c>
      <c r="AP38" s="403" t="s">
        <v>110</v>
      </c>
      <c r="AQ38" s="404">
        <f>FINAL!N38</f>
        <v>7.231666667</v>
      </c>
    </row>
    <row r="39" ht="15.75" customHeight="1">
      <c r="A39" s="263" t="str">
        <f>INSTITUTO!A39</f>
        <v>ACT</v>
      </c>
      <c r="B39" s="264">
        <f>INSTITUTO!B39</f>
        <v>30</v>
      </c>
      <c r="C39" s="391" t="str">
        <f>INSTITUTO!C39</f>
        <v/>
      </c>
      <c r="D39" s="392"/>
      <c r="E39" s="127"/>
      <c r="F39" s="127" t="str">
        <f t="shared" si="1"/>
        <v>#DIV/0!</v>
      </c>
      <c r="G39" s="30"/>
      <c r="H39" s="394"/>
      <c r="I39" s="394"/>
      <c r="J39" s="394"/>
      <c r="K39" s="394"/>
      <c r="L39" s="394"/>
      <c r="M39" s="394"/>
      <c r="N39" s="395" t="str">
        <f>IFERROR(__xludf.DUMMYFUNCTION("+SUM(H39:M39)/(COUNT(H39:M39))"),"#DIV/0!")</f>
        <v>#DIV/0!</v>
      </c>
      <c r="O39" s="30"/>
      <c r="P39" s="396"/>
      <c r="Q39" s="397" t="str">
        <f t="shared" si="2"/>
        <v>#DIV/0!</v>
      </c>
      <c r="R39" s="392"/>
      <c r="S39" s="398"/>
      <c r="T39" s="127">
        <f t="shared" si="3"/>
        <v>0</v>
      </c>
      <c r="U39" s="30"/>
      <c r="V39" s="394"/>
      <c r="W39" s="394"/>
      <c r="X39" s="394"/>
      <c r="Y39" s="394">
        <v>10.0</v>
      </c>
      <c r="Z39" s="395">
        <f>IFERROR(__xludf.DUMMYFUNCTION("+SUM(V39:Y39)/(COUNT(V39:Y39))"),10.0)</f>
        <v>10</v>
      </c>
      <c r="AA39" s="7"/>
      <c r="AB39" s="396"/>
      <c r="AC39" s="399">
        <f t="shared" si="4"/>
        <v>6</v>
      </c>
      <c r="AD39" s="392"/>
      <c r="AE39" s="398"/>
      <c r="AF39" s="400" t="str">
        <f t="shared" si="5"/>
        <v>#DIV/0!</v>
      </c>
      <c r="AG39" s="401" t="str">
        <f t="shared" si="6"/>
        <v>#DIV/0!</v>
      </c>
      <c r="AH39" s="394"/>
      <c r="AI39" s="394"/>
      <c r="AJ39" s="394"/>
      <c r="AK39" s="394"/>
      <c r="AL39" s="395" t="str">
        <f>IFERROR(__xludf.DUMMYFUNCTION("+SUM(AH39:AK39)/(COUNT(AH39:AK39))"),"#DIV/0!")</f>
        <v>#DIV/0!</v>
      </c>
      <c r="AM39" s="7"/>
      <c r="AN39" s="396"/>
      <c r="AO39" s="402" t="str">
        <f t="shared" si="7"/>
        <v>#DIV/0!</v>
      </c>
      <c r="AP39" s="405"/>
      <c r="AQ39" s="404" t="str">
        <f>FINAL!N39</f>
        <v>#DIV/0!</v>
      </c>
    </row>
    <row r="40" ht="15.75" customHeight="1">
      <c r="A40" s="263" t="str">
        <f>INSTITUTO!A40</f>
        <v>ACT</v>
      </c>
      <c r="B40" s="264">
        <f>INSTITUTO!B40</f>
        <v>31</v>
      </c>
      <c r="C40" s="391" t="str">
        <f>INSTITUTO!C40</f>
        <v/>
      </c>
      <c r="D40" s="392"/>
      <c r="E40" s="127"/>
      <c r="F40" s="127" t="str">
        <f t="shared" si="1"/>
        <v>#DIV/0!</v>
      </c>
      <c r="G40" s="30"/>
      <c r="H40" s="394"/>
      <c r="I40" s="394"/>
      <c r="J40" s="394"/>
      <c r="K40" s="394"/>
      <c r="L40" s="394"/>
      <c r="M40" s="394"/>
      <c r="N40" s="395" t="str">
        <f>IFERROR(__xludf.DUMMYFUNCTION("+SUM(H40:M40)/(COUNT(H40:M40))"),"#DIV/0!")</f>
        <v>#DIV/0!</v>
      </c>
      <c r="O40" s="30"/>
      <c r="P40" s="396"/>
      <c r="Q40" s="397" t="str">
        <f t="shared" si="2"/>
        <v>#DIV/0!</v>
      </c>
      <c r="R40" s="392"/>
      <c r="S40" s="398"/>
      <c r="T40" s="127" t="str">
        <f t="shared" si="3"/>
        <v>#DIV/0!</v>
      </c>
      <c r="U40" s="30"/>
      <c r="V40" s="394"/>
      <c r="W40" s="394"/>
      <c r="X40" s="394"/>
      <c r="Y40" s="394"/>
      <c r="Z40" s="395" t="str">
        <f>IFERROR(__xludf.DUMMYFUNCTION("+SUM(V40:Y40)/(COUNT(V40:Y40))"),"#DIV/0!")</f>
        <v>#DIV/0!</v>
      </c>
      <c r="AA40" s="7"/>
      <c r="AB40" s="396"/>
      <c r="AC40" s="399" t="str">
        <f t="shared" si="4"/>
        <v>#DIV/0!</v>
      </c>
      <c r="AD40" s="392"/>
      <c r="AE40" s="398"/>
      <c r="AF40" s="400" t="str">
        <f t="shared" si="5"/>
        <v>#DIV/0!</v>
      </c>
      <c r="AG40" s="401" t="str">
        <f t="shared" si="6"/>
        <v>#DIV/0!</v>
      </c>
      <c r="AH40" s="394"/>
      <c r="AI40" s="394"/>
      <c r="AJ40" s="394"/>
      <c r="AK40" s="394"/>
      <c r="AL40" s="395" t="str">
        <f>IFERROR(__xludf.DUMMYFUNCTION("+SUM(AH40:AK40)/(COUNT(AH40:AK40))"),"#DIV/0!")</f>
        <v>#DIV/0!</v>
      </c>
      <c r="AM40" s="7"/>
      <c r="AN40" s="396"/>
      <c r="AO40" s="402" t="str">
        <f t="shared" si="7"/>
        <v>#DIV/0!</v>
      </c>
      <c r="AP40" s="405"/>
      <c r="AQ40" s="404" t="str">
        <f>FINAL!N40</f>
        <v>#DIV/0!</v>
      </c>
    </row>
    <row r="41" ht="15.75" customHeight="1">
      <c r="A41" s="263" t="str">
        <f>INSTITUTO!A41</f>
        <v>ACT</v>
      </c>
      <c r="B41" s="264">
        <f>INSTITUTO!B41</f>
        <v>32</v>
      </c>
      <c r="C41" s="391" t="str">
        <f>INSTITUTO!C41</f>
        <v/>
      </c>
      <c r="D41" s="392"/>
      <c r="E41" s="127"/>
      <c r="F41" s="127" t="str">
        <f t="shared" si="1"/>
        <v>#DIV/0!</v>
      </c>
      <c r="G41" s="30"/>
      <c r="H41" s="394"/>
      <c r="I41" s="394"/>
      <c r="J41" s="394"/>
      <c r="K41" s="394"/>
      <c r="L41" s="394"/>
      <c r="M41" s="394"/>
      <c r="N41" s="395" t="str">
        <f>IFERROR(__xludf.DUMMYFUNCTION("+SUM(H41:M41)/(COUNT(H41:M41))"),"#DIV/0!")</f>
        <v>#DIV/0!</v>
      </c>
      <c r="O41" s="30"/>
      <c r="P41" s="396"/>
      <c r="Q41" s="397" t="str">
        <f t="shared" si="2"/>
        <v>#DIV/0!</v>
      </c>
      <c r="R41" s="392"/>
      <c r="S41" s="398"/>
      <c r="T41" s="127" t="str">
        <f t="shared" si="3"/>
        <v>#DIV/0!</v>
      </c>
      <c r="U41" s="30"/>
      <c r="V41" s="394"/>
      <c r="W41" s="394"/>
      <c r="X41" s="394"/>
      <c r="Y41" s="394"/>
      <c r="Z41" s="395" t="str">
        <f>IFERROR(__xludf.DUMMYFUNCTION("+SUM(V41:Y41)/(COUNT(V41:Y41))"),"#DIV/0!")</f>
        <v>#DIV/0!</v>
      </c>
      <c r="AA41" s="7"/>
      <c r="AB41" s="396"/>
      <c r="AC41" s="399" t="str">
        <f t="shared" si="4"/>
        <v>#DIV/0!</v>
      </c>
      <c r="AD41" s="392"/>
      <c r="AE41" s="398"/>
      <c r="AF41" s="400" t="str">
        <f t="shared" si="5"/>
        <v>#DIV/0!</v>
      </c>
      <c r="AG41" s="401" t="str">
        <f t="shared" si="6"/>
        <v>#DIV/0!</v>
      </c>
      <c r="AH41" s="394"/>
      <c r="AI41" s="394"/>
      <c r="AJ41" s="394"/>
      <c r="AK41" s="394"/>
      <c r="AL41" s="395" t="str">
        <f>IFERROR(__xludf.DUMMYFUNCTION("+SUM(AH41:AK41)/(COUNT(AH41:AK41))"),"#DIV/0!")</f>
        <v>#DIV/0!</v>
      </c>
      <c r="AM41" s="7"/>
      <c r="AN41" s="396"/>
      <c r="AO41" s="402" t="str">
        <f t="shared" si="7"/>
        <v>#DIV/0!</v>
      </c>
      <c r="AP41" s="405"/>
      <c r="AQ41" s="404" t="str">
        <f>FINAL!N41</f>
        <v>#DIV/0!</v>
      </c>
    </row>
    <row r="42" ht="15.75" customHeight="1">
      <c r="A42" s="263" t="str">
        <f>INSTITUTO!A42</f>
        <v>ACT</v>
      </c>
      <c r="B42" s="264">
        <f>INSTITUTO!B42</f>
        <v>33</v>
      </c>
      <c r="C42" s="391" t="str">
        <f>INSTITUTO!C42</f>
        <v/>
      </c>
      <c r="D42" s="392"/>
      <c r="E42" s="127"/>
      <c r="F42" s="127" t="str">
        <f t="shared" si="1"/>
        <v>#DIV/0!</v>
      </c>
      <c r="G42" s="30"/>
      <c r="H42" s="394"/>
      <c r="I42" s="394"/>
      <c r="J42" s="394"/>
      <c r="K42" s="394"/>
      <c r="L42" s="394"/>
      <c r="M42" s="394"/>
      <c r="N42" s="395" t="str">
        <f>IFERROR(__xludf.DUMMYFUNCTION("+SUM(H42:M42)/(COUNT(H42:M42))"),"#DIV/0!")</f>
        <v>#DIV/0!</v>
      </c>
      <c r="O42" s="30"/>
      <c r="P42" s="396"/>
      <c r="Q42" s="397" t="str">
        <f t="shared" si="2"/>
        <v>#DIV/0!</v>
      </c>
      <c r="R42" s="392"/>
      <c r="S42" s="398"/>
      <c r="T42" s="127" t="str">
        <f t="shared" si="3"/>
        <v>#DIV/0!</v>
      </c>
      <c r="U42" s="30"/>
      <c r="V42" s="394"/>
      <c r="W42" s="394"/>
      <c r="X42" s="394"/>
      <c r="Y42" s="394"/>
      <c r="Z42" s="395" t="str">
        <f>IFERROR(__xludf.DUMMYFUNCTION("+SUM(V42:Y42)/(COUNT(V42:Y42))"),"#DIV/0!")</f>
        <v>#DIV/0!</v>
      </c>
      <c r="AA42" s="7"/>
      <c r="AB42" s="396"/>
      <c r="AC42" s="399" t="str">
        <f t="shared" si="4"/>
        <v>#DIV/0!</v>
      </c>
      <c r="AD42" s="392"/>
      <c r="AE42" s="398"/>
      <c r="AF42" s="400" t="str">
        <f t="shared" si="5"/>
        <v>#DIV/0!</v>
      </c>
      <c r="AG42" s="401" t="str">
        <f t="shared" si="6"/>
        <v>#DIV/0!</v>
      </c>
      <c r="AH42" s="394"/>
      <c r="AI42" s="394"/>
      <c r="AJ42" s="394"/>
      <c r="AK42" s="394"/>
      <c r="AL42" s="395" t="str">
        <f>IFERROR(__xludf.DUMMYFUNCTION("+SUM(AH42:AK42)/(COUNT(AH42:AK42))"),"#DIV/0!")</f>
        <v>#DIV/0!</v>
      </c>
      <c r="AM42" s="7"/>
      <c r="AN42" s="396"/>
      <c r="AO42" s="402" t="str">
        <f t="shared" si="7"/>
        <v>#DIV/0!</v>
      </c>
      <c r="AP42" s="405"/>
      <c r="AQ42" s="404" t="str">
        <f>FINAL!N42</f>
        <v>#DIV/0!</v>
      </c>
    </row>
    <row r="43" ht="15.75" customHeight="1">
      <c r="A43" s="263" t="str">
        <f>INSTITUTO!A43</f>
        <v>ACT</v>
      </c>
      <c r="B43" s="264">
        <f>INSTITUTO!B43</f>
        <v>34</v>
      </c>
      <c r="C43" s="391" t="str">
        <f>INSTITUTO!C43</f>
        <v/>
      </c>
      <c r="D43" s="392"/>
      <c r="E43" s="127"/>
      <c r="F43" s="127" t="str">
        <f t="shared" si="1"/>
        <v>#DIV/0!</v>
      </c>
      <c r="G43" s="30"/>
      <c r="H43" s="394"/>
      <c r="I43" s="394"/>
      <c r="J43" s="394"/>
      <c r="K43" s="394"/>
      <c r="L43" s="394"/>
      <c r="M43" s="394"/>
      <c r="N43" s="395" t="str">
        <f>IFERROR(__xludf.DUMMYFUNCTION("+SUM(H43:M43)/(COUNT(H43:M43))"),"#DIV/0!")</f>
        <v>#DIV/0!</v>
      </c>
      <c r="O43" s="30"/>
      <c r="P43" s="396"/>
      <c r="Q43" s="397" t="str">
        <f t="shared" si="2"/>
        <v>#DIV/0!</v>
      </c>
      <c r="R43" s="392"/>
      <c r="S43" s="398"/>
      <c r="T43" s="127" t="str">
        <f t="shared" si="3"/>
        <v>#DIV/0!</v>
      </c>
      <c r="U43" s="30"/>
      <c r="V43" s="394"/>
      <c r="W43" s="394"/>
      <c r="X43" s="394"/>
      <c r="Y43" s="394"/>
      <c r="Z43" s="395" t="str">
        <f>IFERROR(__xludf.DUMMYFUNCTION("+SUM(V43:Y43)/(COUNT(V43:Y43))"),"#DIV/0!")</f>
        <v>#DIV/0!</v>
      </c>
      <c r="AA43" s="7"/>
      <c r="AB43" s="396"/>
      <c r="AC43" s="399" t="str">
        <f t="shared" si="4"/>
        <v>#DIV/0!</v>
      </c>
      <c r="AD43" s="392"/>
      <c r="AE43" s="398"/>
      <c r="AF43" s="400" t="str">
        <f t="shared" si="5"/>
        <v>#DIV/0!</v>
      </c>
      <c r="AG43" s="401" t="str">
        <f t="shared" si="6"/>
        <v>#DIV/0!</v>
      </c>
      <c r="AH43" s="394"/>
      <c r="AI43" s="394"/>
      <c r="AJ43" s="394"/>
      <c r="AK43" s="394"/>
      <c r="AL43" s="395" t="str">
        <f>IFERROR(__xludf.DUMMYFUNCTION("+SUM(AH43:AK43)/(COUNT(AH43:AK43))"),"#DIV/0!")</f>
        <v>#DIV/0!</v>
      </c>
      <c r="AM43" s="7"/>
      <c r="AN43" s="396"/>
      <c r="AO43" s="402" t="str">
        <f t="shared" si="7"/>
        <v>#DIV/0!</v>
      </c>
      <c r="AP43" s="405"/>
      <c r="AQ43" s="404" t="str">
        <f>FINAL!N43</f>
        <v>#DIV/0!</v>
      </c>
    </row>
    <row r="44" ht="15.75" customHeight="1">
      <c r="A44" s="263" t="str">
        <f>INSTITUTO!A44</f>
        <v>ACT</v>
      </c>
      <c r="B44" s="264">
        <f>INSTITUTO!B44</f>
        <v>35</v>
      </c>
      <c r="C44" s="391" t="str">
        <f>INSTITUTO!C44</f>
        <v/>
      </c>
      <c r="D44" s="392"/>
      <c r="E44" s="127"/>
      <c r="F44" s="127" t="str">
        <f t="shared" si="1"/>
        <v>#DIV/0!</v>
      </c>
      <c r="G44" s="35"/>
      <c r="H44" s="394"/>
      <c r="I44" s="394"/>
      <c r="J44" s="394"/>
      <c r="K44" s="394"/>
      <c r="L44" s="394"/>
      <c r="M44" s="394"/>
      <c r="N44" s="395" t="str">
        <f>IFERROR(__xludf.DUMMYFUNCTION("+SUM(H44:M44)/(COUNT(H44:M44))"),"#DIV/0!")</f>
        <v>#DIV/0!</v>
      </c>
      <c r="O44" s="35"/>
      <c r="P44" s="396"/>
      <c r="Q44" s="397" t="str">
        <f t="shared" si="2"/>
        <v>#DIV/0!</v>
      </c>
      <c r="R44" s="392"/>
      <c r="S44" s="398"/>
      <c r="T44" s="127" t="str">
        <f t="shared" si="3"/>
        <v>#DIV/0!</v>
      </c>
      <c r="U44" s="35"/>
      <c r="V44" s="394"/>
      <c r="W44" s="394"/>
      <c r="X44" s="394"/>
      <c r="Y44" s="394"/>
      <c r="Z44" s="395" t="str">
        <f>IFERROR(__xludf.DUMMYFUNCTION("+SUM(V44:Y44)/(COUNT(V44:Y44))"),"#DIV/0!")</f>
        <v>#DIV/0!</v>
      </c>
      <c r="AA44" s="10"/>
      <c r="AB44" s="396"/>
      <c r="AC44" s="399" t="str">
        <f t="shared" si="4"/>
        <v>#DIV/0!</v>
      </c>
      <c r="AD44" s="392"/>
      <c r="AE44" s="398"/>
      <c r="AF44" s="400" t="str">
        <f t="shared" si="5"/>
        <v>#DIV/0!</v>
      </c>
      <c r="AG44" s="401" t="str">
        <f t="shared" si="6"/>
        <v>#DIV/0!</v>
      </c>
      <c r="AH44" s="394"/>
      <c r="AI44" s="394"/>
      <c r="AJ44" s="394"/>
      <c r="AK44" s="394"/>
      <c r="AL44" s="395" t="str">
        <f>IFERROR(__xludf.DUMMYFUNCTION("+SUM(AH44:AK44)/(COUNT(AH44:AK44))"),"#DIV/0!")</f>
        <v>#DIV/0!</v>
      </c>
      <c r="AM44" s="10"/>
      <c r="AN44" s="396"/>
      <c r="AO44" s="402" t="str">
        <f t="shared" si="7"/>
        <v>#DIV/0!</v>
      </c>
      <c r="AP44" s="406"/>
      <c r="AQ44" s="404" t="str">
        <f>FINAL!N44</f>
        <v>#DIV/0!</v>
      </c>
    </row>
    <row r="45" customHeight="1">
      <c r="A45" s="407"/>
      <c r="B45" s="408"/>
      <c r="C45" s="409" t="s">
        <v>57</v>
      </c>
      <c r="D45" s="145">
        <f>IFERROR(__xludf.DUMMYFUNCTION("+(COUNTIF(D10:D44,""&lt;5""))/COUNTA(D10:D44)"),0.06896551724137931)</f>
        <v>0.06896551724</v>
      </c>
      <c r="E45" s="410" t="str">
        <f>IFERROR(__xludf.DUMMYFUNCTION("+(COUNTIF(E10:E44,""&lt;5""))/COUNTA(E10:E44)"),"#DIV/0!")</f>
        <v>#DIV/0!</v>
      </c>
      <c r="F45" s="146">
        <f>IFERROR(__xludf.DUMMYFUNCTION("+(COUNTIF(F10:F44,""&lt;5""))/COUNTA(F10:F44)"),0.05714285714285714)</f>
        <v>0.05714285714</v>
      </c>
      <c r="G45" s="411"/>
      <c r="H45" s="146">
        <f>IFERROR(__xludf.DUMMYFUNCTION("+(COUNTIF(H10:H44,""&lt;5""))/COUNTA(H10:H44)"),0.0)</f>
        <v>0</v>
      </c>
      <c r="I45" s="410">
        <f>IFERROR(__xludf.DUMMYFUNCTION("+(COUNTIF(I10:I44,""&lt;5""))/COUNTA(I10:I44)"),0.0)</f>
        <v>0</v>
      </c>
      <c r="J45" s="410">
        <f>IFERROR(__xludf.DUMMYFUNCTION("+(COUNTIF(J10:J44,""&lt;5""))/COUNTA(J10:J44)"),0.06896551724137931)</f>
        <v>0.06896551724</v>
      </c>
      <c r="K45" s="410"/>
      <c r="L45" s="410"/>
      <c r="M45" s="410">
        <f>IFERROR(__xludf.DUMMYFUNCTION("+(COUNTIF(M10:M44,""&lt;5""))/COUNTA(M10:M44)"),0.034482758620689655)</f>
        <v>0.03448275862</v>
      </c>
      <c r="N45" s="146">
        <f>IFERROR(__xludf.DUMMYFUNCTION("+(COUNTIF(N10:N44,""&lt;5""))/COUNTA(N10:N44)"),0.0)</f>
        <v>0</v>
      </c>
      <c r="O45" s="412"/>
      <c r="P45" s="410">
        <f>IFERROR(__xludf.DUMMYFUNCTION("+(COUNTIF(P10:P44,""&lt;5""))/COUNTA(P10:P44)"),0.06896551724137931)</f>
        <v>0.06896551724</v>
      </c>
      <c r="Q45" s="413">
        <f>IFERROR(__xludf.DUMMYFUNCTION("+(COUNTIF(Q10:Q44,""&lt;5""))/COUNTA(Q10:Q44)"),0.0)</f>
        <v>0</v>
      </c>
      <c r="R45" s="145">
        <f>IFERROR(__xludf.DUMMYFUNCTION("+(COUNTIF(R10:R44,""&lt;5""))/COUNTA(R10:R44)"),0.034482758620689655)</f>
        <v>0.03448275862</v>
      </c>
      <c r="S45" s="410" t="str">
        <f>IFERROR(__xludf.DUMMYFUNCTION("+(COUNTIF(S10:S44,""&lt;5""))/COUNTA(S10:S44)"),"#DIV/0!")</f>
        <v>#DIV/0!</v>
      </c>
      <c r="T45" s="146">
        <f>IFERROR(__xludf.DUMMYFUNCTION("+(COUNTIF(T10:T44,""&lt;5""))/COUNTA(T10:T44)"),0.05714285714285714)</f>
        <v>0.05714285714</v>
      </c>
      <c r="U45" s="414"/>
      <c r="V45" s="146">
        <f>IFERROR(__xludf.DUMMYFUNCTION("+(COUNTIF(V10:V44,""&lt;5""))/COUNTA(V10:V44)"),0.10344827586206896)</f>
        <v>0.1034482759</v>
      </c>
      <c r="W45" s="410">
        <f>IFERROR(__xludf.DUMMYFUNCTION("+(COUNTIF(W10:W44,""&lt;5""))/COUNTA(W10:W44)"),0.0)</f>
        <v>0</v>
      </c>
      <c r="X45" s="410">
        <f>IFERROR(__xludf.DUMMYFUNCTION("+(COUNTIF(X10:X44,""&lt;5""))/COUNTA(X10:X44)"),0.4827586206896552)</f>
        <v>0.4827586207</v>
      </c>
      <c r="Y45" s="410"/>
      <c r="Z45" s="146">
        <f>IFERROR(__xludf.DUMMYFUNCTION("+(COUNTIF(Z10:Z44,""&lt;5""))/COUNTA(Z10:Z44)"),0.05714285714285714)</f>
        <v>0.05714285714</v>
      </c>
      <c r="AA45" s="414"/>
      <c r="AB45" s="410">
        <f>IFERROR(__xludf.DUMMYFUNCTION("+(COUNTIF(AB10:AB44,""&lt;5""))/COUNTA(AB10:AB44)"),0.2413793103448276)</f>
        <v>0.2413793103</v>
      </c>
      <c r="AC45" s="147">
        <f>IFERROR(__xludf.DUMMYFUNCTION("+(COUNTIF(AC10:AC44,""&lt;5""))/COUNTA(AC10:AC44)"),0.02857142857142857)</f>
        <v>0.02857142857</v>
      </c>
      <c r="AD45" s="145">
        <f>IFERROR(__xludf.DUMMYFUNCTION("+(COUNTIF(AD10:AD44,""&lt;5""))/COUNTA(AD10:AD44)"),0.034482758620689655)</f>
        <v>0.03448275862</v>
      </c>
      <c r="AE45" s="410" t="str">
        <f>IFERROR(__xludf.DUMMYFUNCTION("+(COUNTIF(AE10:AE44,""&lt;5""))/COUNTA(AE10:AE44)"),"#DIV/0!")</f>
        <v>#DIV/0!</v>
      </c>
      <c r="AF45" s="146">
        <f>IFERROR(__xludf.DUMMYFUNCTION("+(COUNTIF(AF10:AF44,""&lt;5""))/COUNTA(AF10:AF44)"),0.02857142857142857)</f>
        <v>0.02857142857</v>
      </c>
      <c r="AG45" s="414"/>
      <c r="AH45" s="146">
        <f>IFERROR(__xludf.DUMMYFUNCTION("+(COUNTIF(AH10:AH44,""&lt;5""))/COUNTA(AH10:AH44)"),0.034482758620689655)</f>
        <v>0.03448275862</v>
      </c>
      <c r="AI45" s="410">
        <f>IFERROR(__xludf.DUMMYFUNCTION("+(COUNTIF(AI10:AI44,""&lt;5""))/COUNTA(AI10:AI44)"),0.06896551724137931)</f>
        <v>0.06896551724</v>
      </c>
      <c r="AJ45" s="410">
        <f>IFERROR(__xludf.DUMMYFUNCTION("+(COUNTIF(AJ10:AJ44,""&lt;5""))/COUNTA(AJ10:AJ44)"),0.13793103448275862)</f>
        <v>0.1379310345</v>
      </c>
      <c r="AK45" s="410"/>
      <c r="AL45" s="146">
        <f>IFERROR(__xludf.DUMMYFUNCTION("+(COUNTIF(AL10:AL44,""&lt;5""))/COUNTA(AL10:AL44)"),0.02857142857142857)</f>
        <v>0.02857142857</v>
      </c>
      <c r="AM45" s="414"/>
      <c r="AN45" s="410">
        <f>IFERROR(__xludf.DUMMYFUNCTION("+(COUNTIF(AN10:AN44,""&lt;5""))/COUNTA(AN10:AN44)"),0.034482758620689655)</f>
        <v>0.03448275862</v>
      </c>
      <c r="AO45" s="146">
        <f>IFERROR(__xludf.DUMMYFUNCTION("+(COUNTIF(AO10:AO44,""&lt;5""))/COUNTA(AO10:AO44)"),0.02857142857142857)</f>
        <v>0.02857142857</v>
      </c>
      <c r="AP45" s="415"/>
      <c r="AQ45" s="147">
        <f>IFERROR(__xludf.DUMMYFUNCTION("+(COUNTIF(AQ10:AQ44,""&lt;5""))/COUNTA(AQ10:AQ44)"),0.02857142857142857)</f>
        <v>0.02857142857</v>
      </c>
    </row>
    <row r="46" ht="15.75" hidden="1" customHeight="1">
      <c r="A46" s="416" t="s">
        <v>56</v>
      </c>
      <c r="B46" s="139"/>
      <c r="C46" s="417" t="s">
        <v>58</v>
      </c>
      <c r="D46" s="145">
        <f>IFERROR(__xludf.DUMMYFUNCTION("+(COUNTIFS(D$10:D$44,""&gt;4,99"",D$10:D$44,""&lt;7""))/COUNTA(D$10:D$44)"),0.5517241379310345)</f>
        <v>0.5517241379</v>
      </c>
      <c r="E46" s="410" t="str">
        <f>IFERROR(__xludf.DUMMYFUNCTION("+(COUNTIFS(E$10:E$44,""&gt;4,99"",E$10:E$44,""&lt;7""))/COUNTA(E$10:E$44)"),"#DIV/0!")</f>
        <v>#DIV/0!</v>
      </c>
      <c r="F46" s="146">
        <f>IFERROR(__xludf.DUMMYFUNCTION("+(COUNTIFS(F$10:F$44,""&gt;4,99"",F$10:F$44,""&lt;7""))/COUNTA(F$10:F$44)"),0.45714285714285713)</f>
        <v>0.4571428571</v>
      </c>
      <c r="G46" s="30"/>
      <c r="H46" s="146">
        <f>IFERROR(__xludf.DUMMYFUNCTION("+(COUNTIFS(H$10:H$44,""&gt;4,99"",H$10:H$44,""&lt;7""))/COUNTA(H$10:H$44)"),0.0)</f>
        <v>0</v>
      </c>
      <c r="I46" s="410">
        <f>IFERROR(__xludf.DUMMYFUNCTION("+(COUNTIFS(I$10:I$44,""&gt;4,99"",I$10:I$44,""&lt;7""))/COUNTA(I$10:I$44)"),0.0)</f>
        <v>0</v>
      </c>
      <c r="J46" s="410">
        <f>IFERROR(__xludf.DUMMYFUNCTION("+(COUNTIFS(J$10:J$44,""&gt;4,99"",J$10:J$44,""&lt;7""))/COUNTA(J$10:J$44)"),0.3793103448275862)</f>
        <v>0.3793103448</v>
      </c>
      <c r="K46" s="410"/>
      <c r="L46" s="410"/>
      <c r="M46" s="410">
        <f>IFERROR(__xludf.DUMMYFUNCTION("+(COUNTIFS(M$10:M$44,""&gt;4,99"",M$10:M$44,""&lt;7""))/COUNTA(M$10:M$44)"),0.2413793103448276)</f>
        <v>0.2413793103</v>
      </c>
      <c r="N46" s="146">
        <f>IFERROR(__xludf.DUMMYFUNCTION("+(COUNTIFS(N$10:N$44,""&gt;4,99"",N$10:N$44,""&lt;7""))/COUNTA(N$10:N$44)"),0.11428571428571428)</f>
        <v>0.1142857143</v>
      </c>
      <c r="O46" s="30"/>
      <c r="P46" s="410">
        <f>IFERROR(__xludf.DUMMYFUNCTION("+(COUNTIFS(P$10:P$44,""&gt;4,99"",P$10:P$44,""&lt;7""))/COUNTA(P$10:P$44)"),0.5172413793103449)</f>
        <v>0.5172413793</v>
      </c>
      <c r="Q46" s="413">
        <f>IFERROR(__xludf.DUMMYFUNCTION("+(COUNTIFS(Q$10:Q$44,""&gt;4,99"",Q$10:Q$44,""&lt;7""))/COUNTA(Q$10:Q$44)"),0.3142857142857143)</f>
        <v>0.3142857143</v>
      </c>
      <c r="R46" s="145">
        <f>IFERROR(__xludf.DUMMYFUNCTION("+(COUNTIFS(R$10:R$44,""&gt;4,99"",R$10:R$44,""&lt;7""))/COUNTA(R$10:R$44)"),0.06896551724137931)</f>
        <v>0.06896551724</v>
      </c>
      <c r="S46" s="410" t="str">
        <f>IFERROR(__xludf.DUMMYFUNCTION("+(COUNTIFS(S$10:S$44,""&gt;4,99"",S$10:S$44,""&lt;7""))/COUNTA(S$10:S$44)"),"#DIV/0!")</f>
        <v>#DIV/0!</v>
      </c>
      <c r="T46" s="146">
        <f>IFERROR(__xludf.DUMMYFUNCTION("+(COUNTIFS(T$10:T$44,""&gt;4,99"",T$10:T$44,""&lt;7""))/COUNTA(T$10:T$44)"),0.05714285714285714)</f>
        <v>0.05714285714</v>
      </c>
      <c r="U46" s="30"/>
      <c r="V46" s="146">
        <f>IFERROR(__xludf.DUMMYFUNCTION("+(COUNTIFS(V$10:V$44,""&gt;4,99"",V$10:V$44,""&lt;7""))/COUNTA(V$10:V$44)"),0.2413793103448276)</f>
        <v>0.2413793103</v>
      </c>
      <c r="W46" s="410">
        <f>IFERROR(__xludf.DUMMYFUNCTION("+(COUNTIFS(W$10:W$44,""&gt;4,99"",W$10:W$44,""&lt;7""))/COUNTA(W$10:W$44)"),0.1724137931034483)</f>
        <v>0.1724137931</v>
      </c>
      <c r="X46" s="410">
        <f>IFERROR(__xludf.DUMMYFUNCTION("+(COUNTIFS(X$10:X$44,""&gt;4,99"",X$10:X$44,""&lt;7""))/COUNTA(X$10:X$44)"),0.3103448275862069)</f>
        <v>0.3103448276</v>
      </c>
      <c r="Y46" s="410"/>
      <c r="Z46" s="146">
        <f>IFERROR(__xludf.DUMMYFUNCTION("+(COUNTIFS(Z$10:Z$44,""&gt;4,99"",Z$10:Z$44,""&lt;7""))/COUNTA(Z$10:Z$44)"),0.4857142857142857)</f>
        <v>0.4857142857</v>
      </c>
      <c r="AA46" s="30"/>
      <c r="AB46" s="410">
        <f>IFERROR(__xludf.DUMMYFUNCTION("+(COUNTIFS(AB$10:AB$44,""&gt;4,99"",AB$10:AB$44,""&lt;7""))/COUNTA(AB$10:AB$44)"),0.4482758620689655)</f>
        <v>0.4482758621</v>
      </c>
      <c r="AC46" s="147">
        <f>IFERROR(__xludf.DUMMYFUNCTION("+(COUNTIFS(AC$10:AC$44,""&gt;4,99"",AC$10:AC$44,""&lt;7""))/COUNTA(AC$10:AC$44)"),0.34285714285714286)</f>
        <v>0.3428571429</v>
      </c>
      <c r="AD46" s="145">
        <f>IFERROR(__xludf.DUMMYFUNCTION("+(COUNTIFS(AD$10:AD$44,""&gt;4,99"",AD$10:AD$44,""&lt;7""))/COUNTA(AD$10:AD$44)"),0.41379310344827586)</f>
        <v>0.4137931034</v>
      </c>
      <c r="AE46" s="410" t="str">
        <f>IFERROR(__xludf.DUMMYFUNCTION("+(COUNTIFS(AE$10:AE$44,""&gt;4,99"",AE$10:AE$44,""&lt;7""))/COUNTA(AE$10:AE$44)"),"#DIV/0!")</f>
        <v>#DIV/0!</v>
      </c>
      <c r="AF46" s="146">
        <f>IFERROR(__xludf.DUMMYFUNCTION("+(COUNTIFS(AF$10:AF$44,""&gt;4,99"",AF$10:AF$44,""&lt;7""))/COUNTA(AF$10:AF$44)"),0.34285714285714286)</f>
        <v>0.3428571429</v>
      </c>
      <c r="AG46" s="30"/>
      <c r="AH46" s="146">
        <f>IFERROR(__xludf.DUMMYFUNCTION("+(COUNTIFS(AH$10:AH$44,""&gt;4,99"",AH$10:AH$44,""&lt;7""))/COUNTA(AH$10:AH$44)"),0.0)</f>
        <v>0</v>
      </c>
      <c r="AI46" s="410">
        <f>IFERROR(__xludf.DUMMYFUNCTION("+(COUNTIFS(AI$10:AI$44,""&gt;4,99"",AI$10:AI$44,""&lt;7""))/COUNTA(AI$10:AI$44)"),0.41379310344827586)</f>
        <v>0.4137931034</v>
      </c>
      <c r="AJ46" s="410">
        <f>IFERROR(__xludf.DUMMYFUNCTION("+(COUNTIFS(AJ$10:AJ$44,""&gt;4,99"",AJ$10:AJ$44,""&lt;7""))/COUNTA(AJ$10:AJ$44)"),0.3103448275862069)</f>
        <v>0.3103448276</v>
      </c>
      <c r="AK46" s="410"/>
      <c r="AL46" s="146">
        <f>IFERROR(__xludf.DUMMYFUNCTION("+(COUNTIFS(AL$10:AL$44,""&gt;4,99"",AL$10:AL$44,""&lt;7""))/COUNTA(AL$10:AL$44)"),0.14285714285714285)</f>
        <v>0.1428571429</v>
      </c>
      <c r="AM46" s="30"/>
      <c r="AN46" s="410">
        <f>IFERROR(__xludf.DUMMYFUNCTION("+(COUNTIFS(AN$10:AN$44,""&gt;4,99"",AN$10:AN$44,""&lt;7""))/COUNTA(AN$10:AN$44)"),0.13793103448275862)</f>
        <v>0.1379310345</v>
      </c>
      <c r="AO46" s="146">
        <f>IFERROR(__xludf.DUMMYFUNCTION("+(COUNTIFS(AO$10:AO$44,""&gt;4,99"",AO$10:AO$44,""&lt;7""))/COUNTA(AO$10:AO$44)"),0.14285714285714285)</f>
        <v>0.1428571429</v>
      </c>
      <c r="AP46" s="413"/>
      <c r="AQ46" s="147">
        <f>IFERROR(__xludf.DUMMYFUNCTION("+(COUNTIFS(AQ$10:AQ$44,""&gt;4,99"",AQ$10:AQ$44,""&lt;7""))/COUNTA(AQ$10:AQ$44)"),0.2571428571428571)</f>
        <v>0.2571428571</v>
      </c>
    </row>
    <row r="47" ht="15.75" hidden="1" customHeight="1">
      <c r="A47" s="418"/>
      <c r="B47" s="139"/>
      <c r="C47" s="417" t="s">
        <v>59</v>
      </c>
      <c r="D47" s="145">
        <f>IFERROR(__xludf.DUMMYFUNCTION("+(COUNTIFS(D$10:D$44,""&gt;=7"",D$10:D$44,""&lt;8""))/COUNTA(D$10:D$44)"),0.3448275862068966)</f>
        <v>0.3448275862</v>
      </c>
      <c r="E47" s="410" t="str">
        <f>IFERROR(__xludf.DUMMYFUNCTION("+(COUNTIFS(E$10:E$44,""&gt;=7"",E$10:E$44,""&lt;8""))/COUNTA(E$10:E$44)"),"#DIV/0!")</f>
        <v>#DIV/0!</v>
      </c>
      <c r="F47" s="146">
        <f>IFERROR(__xludf.DUMMYFUNCTION("+(COUNTIFS(F$10:F$44,""&gt;=7"",F$10:F$44,""&lt;8""))/COUNTA(F$10:F$44)"),0.2857142857142857)</f>
        <v>0.2857142857</v>
      </c>
      <c r="G47" s="30"/>
      <c r="H47" s="146">
        <f>IFERROR(__xludf.DUMMYFUNCTION("+(COUNTIFS(H$10:H$44,""&gt;=7"",H$10:H$44,""&lt;8""))/COUNTA(H$10:H$44)"),0.0)</f>
        <v>0</v>
      </c>
      <c r="I47" s="410">
        <f>IFERROR(__xludf.DUMMYFUNCTION("+(COUNTIFS(I$10:I$44,""&gt;=7"",I$10:I$44,""&lt;8""))/COUNTA(I$10:I$44)"),0.0)</f>
        <v>0</v>
      </c>
      <c r="J47" s="410">
        <f>IFERROR(__xludf.DUMMYFUNCTION("+(COUNTIFS(J$10:J$44,""&gt;=7"",J$10:J$44,""&lt;8""))/COUNTA(J$10:J$44)"),0.10344827586206896)</f>
        <v>0.1034482759</v>
      </c>
      <c r="K47" s="410"/>
      <c r="L47" s="410"/>
      <c r="M47" s="410">
        <f>IFERROR(__xludf.DUMMYFUNCTION("+(COUNTIFS(M$10:M$44,""&gt;=7"",M$10:M$44,""&lt;8""))/COUNTA(M$10:M$44)"),0.1724137931034483)</f>
        <v>0.1724137931</v>
      </c>
      <c r="N47" s="146">
        <f>IFERROR(__xludf.DUMMYFUNCTION("+(COUNTIFS(N$10:N$44,""&gt;=7"",N$10:N$44,""&lt;8""))/COUNTA(N$10:N$44)"),0.4)</f>
        <v>0.4</v>
      </c>
      <c r="O47" s="30"/>
      <c r="P47" s="410">
        <f>IFERROR(__xludf.DUMMYFUNCTION("+(COUNTIFS(P$10:P$44,""&gt;=7"",P$10:P$44,""&lt;8""))/COUNTA(P$10:P$44)"),0.0)</f>
        <v>0</v>
      </c>
      <c r="Q47" s="413">
        <f>IFERROR(__xludf.DUMMYFUNCTION("+(COUNTIFS(Q$10:Q$44,""&gt;=7"",Q$10:Q$44,""&lt;8""))/COUNTA(Q$10:Q$44)"),0.34285714285714286)</f>
        <v>0.3428571429</v>
      </c>
      <c r="R47" s="145">
        <f>IFERROR(__xludf.DUMMYFUNCTION("+(COUNTIFS(R$10:R$44,""&gt;=7"",R$10:R$44,""&lt;8""))/COUNTA(R$10:R$44)"),0.10344827586206896)</f>
        <v>0.1034482759</v>
      </c>
      <c r="S47" s="410" t="str">
        <f>IFERROR(__xludf.DUMMYFUNCTION("+(COUNTIFS(S$10:S$44,""&gt;=7"",S$10:S$44,""&lt;8""))/COUNTA(S$10:S$44)"),"#DIV/0!")</f>
        <v>#DIV/0!</v>
      </c>
      <c r="T47" s="146">
        <f>IFERROR(__xludf.DUMMYFUNCTION("+(COUNTIFS(T$10:T$44,""&gt;=7"",T$10:T$44,""&lt;8""))/COUNTA(T$10:T$44)"),0.08571428571428572)</f>
        <v>0.08571428571</v>
      </c>
      <c r="U47" s="30"/>
      <c r="V47" s="146">
        <f>IFERROR(__xludf.DUMMYFUNCTION("+(COUNTIFS(V$10:V$44,""&gt;=7"",V$10:V$44,""&lt;8""))/COUNTA(V$10:V$44)"),0.13793103448275862)</f>
        <v>0.1379310345</v>
      </c>
      <c r="W47" s="410">
        <f>IFERROR(__xludf.DUMMYFUNCTION("+(COUNTIFS(W$10:W$44,""&gt;=7"",W$10:W$44,""&lt;8""))/COUNTA(W$10:W$44)"),0.5517241379310345)</f>
        <v>0.5517241379</v>
      </c>
      <c r="X47" s="410">
        <f>IFERROR(__xludf.DUMMYFUNCTION("+(COUNTIFS(X$10:X$44,""&gt;=7"",X$10:X$44,""&lt;8""))/COUNTA(X$10:X$44)"),0.034482758620689655)</f>
        <v>0.03448275862</v>
      </c>
      <c r="Y47" s="410"/>
      <c r="Z47" s="146">
        <f>IFERROR(__xludf.DUMMYFUNCTION("+(COUNTIFS(Z$10:Z$44,""&gt;=7"",Z$10:Z$44,""&lt;8""))/COUNTA(Z$10:Z$44)"),0.11428571428571428)</f>
        <v>0.1142857143</v>
      </c>
      <c r="AA47" s="30"/>
      <c r="AB47" s="410">
        <f>IFERROR(__xludf.DUMMYFUNCTION("+(COUNTIFS(AB$10:AB$44,""&gt;=7"",AB$10:AB$44,""&lt;8""))/COUNTA(AB$10:AB$44)"),0.0)</f>
        <v>0</v>
      </c>
      <c r="AC47" s="147">
        <f>IFERROR(__xludf.DUMMYFUNCTION("+(COUNTIFS(AC$10:AC$44,""&gt;=7"",AC$10:AC$44,""&lt;8""))/COUNTA(AC$10:AC$44)"),0.2571428571428571)</f>
        <v>0.2571428571</v>
      </c>
      <c r="AD47" s="145">
        <f>IFERROR(__xludf.DUMMYFUNCTION("+(COUNTIFS(AD$10:AD$44,""&gt;=7"",AD$10:AD$44,""&lt;8""))/COUNTA(AD$10:AD$44)"),0.13793103448275862)</f>
        <v>0.1379310345</v>
      </c>
      <c r="AE47" s="410" t="str">
        <f>IFERROR(__xludf.DUMMYFUNCTION("+(COUNTIFS(AE$10:AE$44,""&gt;=7"",AE$10:AE$44,""&lt;8""))/COUNTA(AE$10:AE$44)"),"#DIV/0!")</f>
        <v>#DIV/0!</v>
      </c>
      <c r="AF47" s="146">
        <f>IFERROR(__xludf.DUMMYFUNCTION("+(COUNTIFS(AF$10:AF$44,""&gt;=7"",AF$10:AF$44,""&lt;8""))/COUNTA(AF$10:AF$44)"),0.11428571428571428)</f>
        <v>0.1142857143</v>
      </c>
      <c r="AG47" s="30"/>
      <c r="AH47" s="146">
        <f>IFERROR(__xludf.DUMMYFUNCTION("+(COUNTIFS(AH$10:AH$44,""&gt;=7"",AH$10:AH$44,""&lt;8""))/COUNTA(AH$10:AH$44)"),0.0)</f>
        <v>0</v>
      </c>
      <c r="AI47" s="410">
        <f>IFERROR(__xludf.DUMMYFUNCTION("+(COUNTIFS(AI$10:AI$44,""&gt;=7"",AI$10:AI$44,""&lt;8""))/COUNTA(AI$10:AI$44)"),0.1724137931034483)</f>
        <v>0.1724137931</v>
      </c>
      <c r="AJ47" s="410">
        <f>IFERROR(__xludf.DUMMYFUNCTION("+(COUNTIFS(AJ$10:AJ$44,""&gt;=7"",AJ$10:AJ$44,""&lt;8""))/COUNTA(AJ$10:AJ$44)"),0.20689655172413793)</f>
        <v>0.2068965517</v>
      </c>
      <c r="AK47" s="410"/>
      <c r="AL47" s="146">
        <f>IFERROR(__xludf.DUMMYFUNCTION("+(COUNTIFS(AL$10:AL$44,""&gt;=7"",AL$10:AL$44,""&lt;8""))/COUNTA(AL$10:AL$44)"),0.22857142857142856)</f>
        <v>0.2285714286</v>
      </c>
      <c r="AM47" s="30"/>
      <c r="AN47" s="410">
        <f>IFERROR(__xludf.DUMMYFUNCTION("+(COUNTIFS(AN$10:AN$44,""&gt;=7"",AN$10:AN$44,""&lt;8""))/COUNTA(AN$10:AN$44)"),0.0)</f>
        <v>0</v>
      </c>
      <c r="AO47" s="146">
        <f>IFERROR(__xludf.DUMMYFUNCTION("+(COUNTIFS(AO$10:AO$44,""&gt;=7"",AO$10:AO$44,""&lt;8""))/COUNTA(AO$10:AO$44)"),0.37142857142857144)</f>
        <v>0.3714285714</v>
      </c>
      <c r="AP47" s="413"/>
      <c r="AQ47" s="147">
        <f>IFERROR(__xludf.DUMMYFUNCTION("+(COUNTIFS(AQ$10:AQ$44,""&gt;=7"",AQ$10:AQ$44,""&lt;8""))/COUNTA(AQ$10:AQ$44)"),0.2857142857142857)</f>
        <v>0.2857142857</v>
      </c>
    </row>
    <row r="48" ht="15.75" hidden="1" customHeight="1">
      <c r="A48" s="418"/>
      <c r="B48" s="139"/>
      <c r="C48" s="417" t="s">
        <v>60</v>
      </c>
      <c r="D48" s="145">
        <f>IFERROR(__xludf.DUMMYFUNCTION("+(COUNTIFS(D$10:D$44,""&gt;=8"",D$10:D$44,""&lt;9""))/COUNTA(D$10:D$44)"),0.034482758620689655)</f>
        <v>0.03448275862</v>
      </c>
      <c r="E48" s="410" t="str">
        <f>IFERROR(__xludf.DUMMYFUNCTION("+(COUNTIFS(E$10:E$44,""&gt;=8"",E$10:E$44,""&lt;9""))/COUNTA(E$10:E$44)"),"#DIV/0!")</f>
        <v>#DIV/0!</v>
      </c>
      <c r="F48" s="146">
        <f>IFERROR(__xludf.DUMMYFUNCTION("+(COUNTIFS(F$10:F$44,""&gt;=8"",F$10:F$44,""&lt;9""))/COUNTA(F$10:F$44)"),0.02857142857142857)</f>
        <v>0.02857142857</v>
      </c>
      <c r="G48" s="30"/>
      <c r="H48" s="146">
        <f>IFERROR(__xludf.DUMMYFUNCTION("+(COUNTIFS(H$10:H$44,""&gt;=8"",H$10:H$44,""&lt;9""))/COUNTA(H$10:H$44)"),0.0)</f>
        <v>0</v>
      </c>
      <c r="I48" s="410">
        <f>IFERROR(__xludf.DUMMYFUNCTION("+(COUNTIFS(I$10:I$44,""&gt;=8"",I$10:I$44,""&lt;9""))/COUNTA(I$10:I$44)"),0.0)</f>
        <v>0</v>
      </c>
      <c r="J48" s="410">
        <f>IFERROR(__xludf.DUMMYFUNCTION("+(COUNTIFS(J$10:J$44,""&gt;=8"",J$10:J$44,""&lt;9""))/COUNTA(J$10:J$44)"),0.2413793103448276)</f>
        <v>0.2413793103</v>
      </c>
      <c r="K48" s="410"/>
      <c r="L48" s="410"/>
      <c r="M48" s="410">
        <f>IFERROR(__xludf.DUMMYFUNCTION("+(COUNTIFS(M$10:M$44,""&gt;=8"",M$10:M$44,""&lt;9""))/COUNTA(M$10:M$44)"),0.27586206896551724)</f>
        <v>0.275862069</v>
      </c>
      <c r="N48" s="146">
        <f>IFERROR(__xludf.DUMMYFUNCTION("+(COUNTIFS(N$10:N$44,""&gt;=8"",N$10:N$44,""&lt;9""))/COUNTA(N$10:N$44)"),0.2857142857142857)</f>
        <v>0.2857142857</v>
      </c>
      <c r="O48" s="30"/>
      <c r="P48" s="410">
        <f>IFERROR(__xludf.DUMMYFUNCTION("+(COUNTIFS(P$10:P$44,""&gt;=8"",P$10:P$44,""&lt;9""))/COUNTA(P$10:P$44)"),0.10344827586206896)</f>
        <v>0.1034482759</v>
      </c>
      <c r="Q48" s="413">
        <f>IFERROR(__xludf.DUMMYFUNCTION("+(COUNTIFS(Q$10:Q$44,""&gt;=8"",Q$10:Q$44,""&lt;9""))/COUNTA(Q$10:Q$44)"),0.17142857142857143)</f>
        <v>0.1714285714</v>
      </c>
      <c r="R48" s="145">
        <f>IFERROR(__xludf.DUMMYFUNCTION("+(COUNTIFS(R$10:R$44,""&gt;=8"",R$10:R$44,""&lt;9""))/COUNTA(R$10:R$44)"),0.20689655172413793)</f>
        <v>0.2068965517</v>
      </c>
      <c r="S48" s="410" t="str">
        <f>IFERROR(__xludf.DUMMYFUNCTION("+(COUNTIFS(S$10:S$44,""&gt;=8"",S$10:S$44,""&lt;9""))/COUNTA(S$10:S$44)"),"#DIV/0!")</f>
        <v>#DIV/0!</v>
      </c>
      <c r="T48" s="146">
        <f>IFERROR(__xludf.DUMMYFUNCTION("+(COUNTIFS(T$10:T$44,""&gt;=8"",T$10:T$44,""&lt;9""))/COUNTA(T$10:T$44)"),0.17142857142857143)</f>
        <v>0.1714285714</v>
      </c>
      <c r="U48" s="30"/>
      <c r="V48" s="146">
        <f>IFERROR(__xludf.DUMMYFUNCTION("+(COUNTIFS(V$10:V$44,""&gt;=8"",V$10:V$44,""&lt;9""))/COUNTA(V$10:V$44)"),0.27586206896551724)</f>
        <v>0.275862069</v>
      </c>
      <c r="W48" s="410">
        <f>IFERROR(__xludf.DUMMYFUNCTION("+(COUNTIFS(W$10:W$44,""&gt;=8"",W$10:W$44,""&lt;9""))/COUNTA(W$10:W$44)"),0.1724137931034483)</f>
        <v>0.1724137931</v>
      </c>
      <c r="X48" s="410">
        <f>IFERROR(__xludf.DUMMYFUNCTION("+(COUNTIFS(X$10:X$44,""&gt;=8"",X$10:X$44,""&lt;9""))/COUNTA(X$10:X$44)"),0.034482758620689655)</f>
        <v>0.03448275862</v>
      </c>
      <c r="Y48" s="410"/>
      <c r="Z48" s="146">
        <f>IFERROR(__xludf.DUMMYFUNCTION("+(COUNTIFS(Z$10:Z$44,""&gt;=8"",Z$10:Z$44,""&lt;9""))/COUNTA(Z$10:Z$44)"),0.08571428571428572)</f>
        <v>0.08571428571</v>
      </c>
      <c r="AA48" s="30"/>
      <c r="AB48" s="410">
        <f>IFERROR(__xludf.DUMMYFUNCTION("+(COUNTIFS(AB$10:AB$44,""&gt;=8"",AB$10:AB$44,""&lt;9""))/COUNTA(AB$10:AB$44)"),0.0)</f>
        <v>0</v>
      </c>
      <c r="AC48" s="147">
        <f>IFERROR(__xludf.DUMMYFUNCTION("+(COUNTIFS(AC$10:AC$44,""&gt;=8"",AC$10:AC$44,""&lt;9""))/COUNTA(AC$10:AC$44)"),0.17142857142857143)</f>
        <v>0.1714285714</v>
      </c>
      <c r="AD48" s="145">
        <f>IFERROR(__xludf.DUMMYFUNCTION("+(COUNTIFS(AD$10:AD$44,""&gt;=8"",AD$10:AD$44,""&lt;9""))/COUNTA(AD$10:AD$44)"),0.27586206896551724)</f>
        <v>0.275862069</v>
      </c>
      <c r="AE48" s="410" t="str">
        <f>IFERROR(__xludf.DUMMYFUNCTION("+(COUNTIFS(AE$10:AE$44,""&gt;=8"",AE$10:AE$44,""&lt;9""))/COUNTA(AE$10:AE$44)"),"#DIV/0!")</f>
        <v>#DIV/0!</v>
      </c>
      <c r="AF48" s="146">
        <f>IFERROR(__xludf.DUMMYFUNCTION("+(COUNTIFS(AF$10:AF$44,""&gt;=8"",AF$10:AF$44,""&lt;9""))/COUNTA(AF$10:AF$44)"),0.22857142857142856)</f>
        <v>0.2285714286</v>
      </c>
      <c r="AG48" s="30"/>
      <c r="AH48" s="146">
        <f>IFERROR(__xludf.DUMMYFUNCTION("+(COUNTIFS(AH$10:AH$44,""&gt;=8"",AH$10:AH$44,""&lt;9""))/COUNTA(AH$10:AH$44)"),0.0)</f>
        <v>0</v>
      </c>
      <c r="AI48" s="410">
        <f>IFERROR(__xludf.DUMMYFUNCTION("+(COUNTIFS(AI$10:AI$44,""&gt;=8"",AI$10:AI$44,""&lt;9""))/COUNTA(AI$10:AI$44)"),0.2413793103448276)</f>
        <v>0.2413793103</v>
      </c>
      <c r="AJ48" s="410">
        <f>IFERROR(__xludf.DUMMYFUNCTION("+(COUNTIFS(AJ$10:AJ$44,""&gt;=8"",AJ$10:AJ$44,""&lt;9""))/COUNTA(AJ$10:AJ$44)"),0.2413793103448276)</f>
        <v>0.2413793103</v>
      </c>
      <c r="AK48" s="410"/>
      <c r="AL48" s="146">
        <f>IFERROR(__xludf.DUMMYFUNCTION("+(COUNTIFS(AL$10:AL$44,""&gt;=8"",AL$10:AL$44,""&lt;9""))/COUNTA(AL$10:AL$44)"),0.3142857142857143)</f>
        <v>0.3142857143</v>
      </c>
      <c r="AM48" s="30"/>
      <c r="AN48" s="410">
        <f>IFERROR(__xludf.DUMMYFUNCTION("+(COUNTIFS(AN$10:AN$44,""&gt;=8"",AN$10:AN$44,""&lt;9""))/COUNTA(AN$10:AN$44)"),0.0)</f>
        <v>0</v>
      </c>
      <c r="AO48" s="146">
        <f>IFERROR(__xludf.DUMMYFUNCTION("+(COUNTIFS(AO$10:AO$44,""&gt;=8"",AO$10:AO$44,""&lt;9""))/COUNTA(AO$10:AO$44)"),0.2)</f>
        <v>0.2</v>
      </c>
      <c r="AP48" s="413"/>
      <c r="AQ48" s="147">
        <f>IFERROR(__xludf.DUMMYFUNCTION("+(COUNTIFS(AQ$10:AQ$44,""&gt;=8"",AQ$10:AQ$44,""&lt;9""))/COUNTA(AQ$10:AQ$44)"),0.22857142857142856)</f>
        <v>0.2285714286</v>
      </c>
    </row>
    <row r="49" ht="15.75" hidden="1" customHeight="1">
      <c r="A49" s="418"/>
      <c r="B49" s="139"/>
      <c r="C49" s="419" t="s">
        <v>61</v>
      </c>
      <c r="D49" s="145">
        <f>IFERROR(__xludf.DUMMYFUNCTION("+(COUNTIFS(D$10:D$44,""&gt;=9"",D$10:D$44,""&lt;=10""))/COUNTA(D$10:D$44)"),0.0)</f>
        <v>0</v>
      </c>
      <c r="E49" s="410" t="str">
        <f>IFERROR(__xludf.DUMMYFUNCTION("+(COUNTIFS(E$10:E$44,""&gt;=9"",E$10:E$44,""&lt;=10""))/COUNTA(E$10:E$44)"),"#DIV/0!")</f>
        <v>#DIV/0!</v>
      </c>
      <c r="F49" s="146">
        <f>IFERROR(__xludf.DUMMYFUNCTION("+(COUNTIFS(F$10:F$44,""&gt;=9"",F$10:F$44,""&lt;=10""))/COUNTA(F$10:F$44)"),0.0)</f>
        <v>0</v>
      </c>
      <c r="G49" s="35"/>
      <c r="H49" s="146">
        <f>IFERROR(__xludf.DUMMYFUNCTION("+(COUNTIFS(H$10:H$44,""&gt;=9"",H$10:H$44,""&lt;=10""))/COUNTA(H$10:H$44)"),1.0)</f>
        <v>1</v>
      </c>
      <c r="I49" s="410">
        <f>IFERROR(__xludf.DUMMYFUNCTION("+(COUNTIFS(I$10:I$44,""&gt;=9"",I$10:I$44,""&lt;=10""))/COUNTA(I$10:I$44)"),1.0)</f>
        <v>1</v>
      </c>
      <c r="J49" s="410">
        <f>IFERROR(__xludf.DUMMYFUNCTION("+(COUNTIFS(J$10:J$44,""&gt;=9"",J$10:J$44,""&lt;=10""))/COUNTA(J$10:J$44)"),0.20689655172413793)</f>
        <v>0.2068965517</v>
      </c>
      <c r="K49" s="410"/>
      <c r="L49" s="410"/>
      <c r="M49" s="410">
        <f>IFERROR(__xludf.DUMMYFUNCTION("+(COUNTIFS(M$10:M$44,""&gt;=9"",M$10:M$44,""&lt;=10""))/COUNTA(M$10:M$44)"),0.27586206896551724)</f>
        <v>0.275862069</v>
      </c>
      <c r="N49" s="146">
        <f>IFERROR(__xludf.DUMMYFUNCTION("+(COUNTIFS(N$10:N$44,""&gt;=9"",N$10:N$44,""&lt;=10""))/COUNTA(N$10:N$44)"),0.02857142857142857)</f>
        <v>0.02857142857</v>
      </c>
      <c r="O49" s="35"/>
      <c r="P49" s="410">
        <f>IFERROR(__xludf.DUMMYFUNCTION("+(COUNTIFS(P$10:P$44,""&gt;=9"",P$10:P$44,""&lt;=10""))/COUNTA(P$10:P$44)"),0.3103448275862069)</f>
        <v>0.3103448276</v>
      </c>
      <c r="Q49" s="413">
        <f>IFERROR(__xludf.DUMMYFUNCTION("+(COUNTIFS(Q$10:Q$44,""&gt;=9"",Q$10:Q$44,""&lt;=10""))/COUNTA(Q$10:Q$44)"),0.0)</f>
        <v>0</v>
      </c>
      <c r="R49" s="145">
        <f>IFERROR(__xludf.DUMMYFUNCTION("+(COUNTIFS(R$10:R$44,""&gt;=9"",R$10:R$44,""&lt;=10""))/COUNTA(R$10:R$44)"),0.5862068965517241)</f>
        <v>0.5862068966</v>
      </c>
      <c r="S49" s="410" t="str">
        <f>IFERROR(__xludf.DUMMYFUNCTION("+(COUNTIFS(S$10:S$44,""&gt;=9"",S$10:S$44,""&lt;=10""))/COUNTA(S$10:S$44)"),"#DIV/0!")</f>
        <v>#DIV/0!</v>
      </c>
      <c r="T49" s="146">
        <f>IFERROR(__xludf.DUMMYFUNCTION("+(COUNTIFS(T$10:T$44,""&gt;=9"",T$10:T$44,""&lt;=10""))/COUNTA(T$10:T$44)"),0.4857142857142857)</f>
        <v>0.4857142857</v>
      </c>
      <c r="U49" s="35"/>
      <c r="V49" s="146">
        <f>IFERROR(__xludf.DUMMYFUNCTION("+(COUNTIFS(V$10:V$44,""&gt;=9"",V$10:V$44,""&lt;=10""))/COUNTA(V$10:V$44)"),0.2413793103448276)</f>
        <v>0.2413793103</v>
      </c>
      <c r="W49" s="410">
        <f>IFERROR(__xludf.DUMMYFUNCTION("+(COUNTIFS(W$10:W$44,""&gt;=9"",W$10:W$44,""&lt;=10""))/COUNTA(W$10:W$44)"),0.10344827586206896)</f>
        <v>0.1034482759</v>
      </c>
      <c r="X49" s="410">
        <f>IFERROR(__xludf.DUMMYFUNCTION("+(COUNTIFS(X$10:X$44,""&gt;=9"",X$10:X$44,""&lt;=10""))/COUNTA(X$10:X$44)"),0.13793103448275862)</f>
        <v>0.1379310345</v>
      </c>
      <c r="Y49" s="410"/>
      <c r="Z49" s="146">
        <f>IFERROR(__xludf.DUMMYFUNCTION("+(COUNTIFS(Z$10:Z$44,""&gt;=9"",Z$10:Z$44,""&lt;=10""))/COUNTA(Z$10:Z$44)"),0.11428571428571428)</f>
        <v>0.1142857143</v>
      </c>
      <c r="AA49" s="35"/>
      <c r="AB49" s="410">
        <f>IFERROR(__xludf.DUMMYFUNCTION("+(COUNTIFS(AB$10:AB$44,""&gt;=9"",AB$10:AB$44,""&lt;=10""))/COUNTA(AB$10:AB$44)"),0.3103448275862069)</f>
        <v>0.3103448276</v>
      </c>
      <c r="AC49" s="147">
        <f>IFERROR(__xludf.DUMMYFUNCTION("+(COUNTIFS(AC$10:AC$44,""&gt;=9"",AC$10:AC$44,""&lt;=10""))/COUNTA(AC$10:AC$44)"),0.05714285714285714)</f>
        <v>0.05714285714</v>
      </c>
      <c r="AD49" s="145">
        <f>IFERROR(__xludf.DUMMYFUNCTION("+(COUNTIFS(AD$10:AD$44,""&gt;=9"",AD$10:AD$44,""&lt;=10""))/COUNTA(AD$10:AD$44)"),0.13793103448275862)</f>
        <v>0.1379310345</v>
      </c>
      <c r="AE49" s="410" t="str">
        <f>IFERROR(__xludf.DUMMYFUNCTION("+(COUNTIFS(AE$10:AE$44,""&gt;=9"",AE$10:AE$44,""&lt;=10""))/COUNTA(AE$10:AE$44)"),"#DIV/0!")</f>
        <v>#DIV/0!</v>
      </c>
      <c r="AF49" s="146">
        <f>IFERROR(__xludf.DUMMYFUNCTION("+(COUNTIFS(AF$10:AF$44,""&gt;=9"",AF$10:AF$44,""&lt;=10""))/COUNTA(AF$10:AF$44)"),0.11428571428571428)</f>
        <v>0.1142857143</v>
      </c>
      <c r="AG49" s="35"/>
      <c r="AH49" s="146">
        <f>IFERROR(__xludf.DUMMYFUNCTION("+(COUNTIFS(AH$10:AH$44,""&gt;=9"",AH$10:AH$44,""&lt;=10""))/COUNTA(AH$10:AH$44)"),0.9655172413793104)</f>
        <v>0.9655172414</v>
      </c>
      <c r="AI49" s="410">
        <f>IFERROR(__xludf.DUMMYFUNCTION("+(COUNTIFS(AI$10:AI$44,""&gt;=9"",AI$10:AI$44,""&lt;=10""))/COUNTA(AI$10:AI$44)"),0.10344827586206896)</f>
        <v>0.1034482759</v>
      </c>
      <c r="AJ49" s="410">
        <f>IFERROR(__xludf.DUMMYFUNCTION("+(COUNTIFS(AJ$10:AJ$44,""&gt;=9"",AJ$10:AJ$44,""&lt;=10""))/COUNTA(AJ$10:AJ$44)"),0.10344827586206896)</f>
        <v>0.1034482759</v>
      </c>
      <c r="AK49" s="410"/>
      <c r="AL49" s="146">
        <f>IFERROR(__xludf.DUMMYFUNCTION("+(COUNTIFS(AL$10:AL$44,""&gt;=9"",AL$10:AL$44,""&lt;=10""))/COUNTA(AL$10:AL$44)"),0.11428571428571428)</f>
        <v>0.1142857143</v>
      </c>
      <c r="AM49" s="35"/>
      <c r="AN49" s="410">
        <f>IFERROR(__xludf.DUMMYFUNCTION("+(COUNTIFS(AN$10:AN$44,""&gt;=9"",AN$10:AN$44,""&lt;=10""))/COUNTA(AN$10:AN$44)"),0.8275862068965517)</f>
        <v>0.8275862069</v>
      </c>
      <c r="AO49" s="146">
        <f>IFERROR(__xludf.DUMMYFUNCTION("+(COUNTIFS(AO$10:AO$44,""&gt;=9"",AO$10:AO$44,""&lt;=10""))/COUNTA(AO$10:AO$44)"),0.08571428571428572)</f>
        <v>0.08571428571</v>
      </c>
      <c r="AP49" s="413"/>
      <c r="AQ49" s="147">
        <f>IFERROR(__xludf.DUMMYFUNCTION("+(COUNTIFS(AQ$10:AQ$44,""&gt;=9"",AQ$10:AQ$44,""&lt;=10""))/COUNTA(AQ$10:AQ$44)"),0.02857142857142857)</f>
        <v>0.02857142857</v>
      </c>
    </row>
    <row r="50" ht="120.0" hidden="1" customHeight="1">
      <c r="A50" s="420" t="s">
        <v>62</v>
      </c>
      <c r="B50" s="421"/>
      <c r="C50" s="421"/>
      <c r="D50" s="422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1"/>
      <c r="R50" s="423"/>
      <c r="S50" s="424"/>
      <c r="T50" s="424"/>
      <c r="U50" s="424"/>
      <c r="V50" s="424"/>
      <c r="W50" s="424"/>
      <c r="X50" s="424"/>
      <c r="Y50" s="424"/>
      <c r="Z50" s="424"/>
      <c r="AA50" s="424"/>
      <c r="AB50" s="424"/>
      <c r="AC50" s="425"/>
      <c r="AD50" s="423"/>
      <c r="AE50" s="424"/>
      <c r="AF50" s="424"/>
      <c r="AG50" s="424"/>
      <c r="AH50" s="424"/>
      <c r="AI50" s="424"/>
      <c r="AJ50" s="424"/>
      <c r="AK50" s="424"/>
      <c r="AL50" s="424"/>
      <c r="AM50" s="424"/>
      <c r="AN50" s="424"/>
      <c r="AO50" s="424"/>
      <c r="AP50" s="424"/>
      <c r="AQ50" s="425"/>
    </row>
    <row r="51" ht="15.75" hidden="1" customHeight="1">
      <c r="A51" s="426" t="s">
        <v>95</v>
      </c>
      <c r="B51" s="7"/>
      <c r="C51" s="427" t="s">
        <v>111</v>
      </c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</row>
    <row r="52" ht="15.75" hidden="1" customHeight="1">
      <c r="A52" s="6"/>
      <c r="B52" s="7"/>
      <c r="C52" s="35"/>
      <c r="D52" s="184"/>
      <c r="E52" s="428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</row>
    <row r="53" ht="15.75" hidden="1" customHeight="1">
      <c r="A53" s="6"/>
      <c r="B53" s="7"/>
      <c r="C53" s="427" t="s">
        <v>112</v>
      </c>
      <c r="D53" s="184"/>
      <c r="E53" s="428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</row>
    <row r="54" ht="15.75" hidden="1" customHeight="1">
      <c r="A54" s="6"/>
      <c r="B54" s="7"/>
      <c r="C54" s="35"/>
      <c r="D54" s="184"/>
      <c r="E54" s="428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</row>
    <row r="55" ht="15.75" hidden="1" customHeight="1">
      <c r="A55" s="6"/>
      <c r="B55" s="7"/>
      <c r="C55" s="429" t="s">
        <v>113</v>
      </c>
      <c r="D55" s="184"/>
      <c r="E55" s="428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</row>
    <row r="56" ht="15.75" hidden="1" customHeight="1">
      <c r="A56" s="6"/>
      <c r="B56" s="7"/>
      <c r="C56" s="30"/>
      <c r="D56" s="184"/>
      <c r="E56" s="428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</row>
    <row r="57" ht="15.75" hidden="1" customHeight="1">
      <c r="A57" s="6"/>
      <c r="B57" s="7"/>
      <c r="C57" s="35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</row>
    <row r="58" ht="15.75" hidden="1" customHeight="1">
      <c r="A58" s="6"/>
      <c r="B58" s="7"/>
      <c r="C58" s="427" t="s">
        <v>114</v>
      </c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</row>
    <row r="59" ht="15.75" hidden="1" customHeight="1">
      <c r="A59" s="6"/>
      <c r="B59" s="7"/>
      <c r="C59" s="35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</row>
    <row r="60" ht="15.75" hidden="1" customHeight="1">
      <c r="A60" s="8"/>
      <c r="B60" s="10"/>
      <c r="C60" s="430" t="s">
        <v>115</v>
      </c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</row>
    <row r="61" ht="15.75" hidden="1" customHeight="1">
      <c r="A61" s="184"/>
      <c r="B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</row>
    <row r="62" ht="15.75" hidden="1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</row>
    <row r="63" ht="15.75" hidden="1" customHeight="1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</row>
    <row r="64" ht="15.75" hidden="1" customHeight="1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</row>
    <row r="65" ht="15.75" hidden="1" customHeight="1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</row>
    <row r="66" ht="15.75" hidden="1" customHeight="1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</row>
    <row r="67" ht="15.75" hidden="1" customHeight="1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</row>
    <row r="68" ht="15.75" hidden="1" customHeight="1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</row>
    <row r="69" ht="15.75" hidden="1" customHeight="1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</row>
    <row r="70" ht="15.75" hidden="1" customHeight="1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</row>
    <row r="71" ht="15.75" hidden="1" customHeight="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</row>
    <row r="72" ht="15.75" hidden="1" customHeight="1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</row>
    <row r="73" ht="15.75" hidden="1" customHeight="1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</row>
    <row r="74" ht="15.75" hidden="1" customHeight="1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</row>
    <row r="75" ht="15.75" hidden="1" customHeight="1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</row>
    <row r="76" ht="15.75" hidden="1" customHeigh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</row>
    <row r="77" ht="15.75" hidden="1" customHeight="1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</row>
    <row r="78" ht="15.75" hidden="1" customHeight="1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</row>
    <row r="79" ht="15.75" hidden="1" customHeight="1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</row>
    <row r="80" ht="15.75" hidden="1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</row>
    <row r="81" ht="15.75" hidden="1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</row>
    <row r="82" ht="15.75" hidden="1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</row>
    <row r="83" ht="15.75" hidden="1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</row>
    <row r="84" ht="15.75" hidden="1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</row>
    <row r="85" ht="15.75" hidden="1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</row>
    <row r="86" ht="15.75" hidden="1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</row>
    <row r="87" ht="15.75" hidden="1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</row>
    <row r="88" ht="15.75" hidden="1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184"/>
      <c r="AM88" s="184"/>
      <c r="AN88" s="184"/>
      <c r="AO88" s="184"/>
      <c r="AP88" s="184"/>
      <c r="AQ88" s="184"/>
    </row>
    <row r="89" ht="15.75" hidden="1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184"/>
      <c r="AM89" s="184"/>
      <c r="AN89" s="184"/>
      <c r="AO89" s="184"/>
      <c r="AP89" s="184"/>
      <c r="AQ89" s="184"/>
    </row>
    <row r="90" ht="15.75" hidden="1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</row>
    <row r="91" ht="15.75" hidden="1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184"/>
      <c r="AM91" s="184"/>
      <c r="AN91" s="184"/>
      <c r="AO91" s="184"/>
      <c r="AP91" s="184"/>
      <c r="AQ91" s="184"/>
    </row>
    <row r="92" ht="15.75" hidden="1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</row>
    <row r="93" ht="15.75" hidden="1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</row>
    <row r="94" ht="15.75" hidden="1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</row>
    <row r="95" ht="15.75" hidden="1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</row>
    <row r="96" ht="15.75" hidden="1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</row>
    <row r="97" ht="15.75" hidden="1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</row>
    <row r="98" ht="15.75" hidden="1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</row>
    <row r="99" ht="15.75" hidden="1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</row>
    <row r="100" ht="15.75" hidden="1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</row>
    <row r="101" ht="15.75" hidden="1" customHeight="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84"/>
    </row>
    <row r="102" ht="15.75" hidden="1" customHeight="1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</row>
    <row r="103" ht="15.75" hidden="1" customHeight="1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</row>
    <row r="104" ht="15.75" hidden="1" customHeight="1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</row>
    <row r="105" ht="15.75" hidden="1" customHeight="1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</row>
    <row r="106" ht="15.75" hidden="1" customHeight="1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</row>
    <row r="107" ht="15.75" hidden="1" customHeight="1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</row>
    <row r="108" ht="15.75" hidden="1" customHeight="1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</row>
    <row r="109" ht="15.75" hidden="1" customHeight="1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</row>
    <row r="110" ht="15.75" hidden="1" customHeight="1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</row>
    <row r="111" ht="15.75" hidden="1" customHeight="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</row>
    <row r="112" ht="15.75" hidden="1" customHeight="1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84"/>
    </row>
    <row r="113" ht="15.75" hidden="1" customHeight="1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84"/>
    </row>
    <row r="114" ht="15.75" hidden="1" customHeight="1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</row>
    <row r="115" ht="15.75" hidden="1" customHeight="1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</row>
    <row r="116" ht="15.75" hidden="1" customHeight="1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</row>
    <row r="117" ht="15.75" hidden="1" customHeight="1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</row>
    <row r="118" ht="15.75" hidden="1" customHeight="1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</row>
    <row r="119" ht="15.75" hidden="1" customHeight="1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</row>
    <row r="120" ht="15.75" hidden="1" customHeight="1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</row>
    <row r="121" ht="15.75" hidden="1" customHeight="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</row>
    <row r="122" ht="15.75" hidden="1" customHeight="1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</row>
    <row r="123" ht="15.75" hidden="1" customHeight="1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</row>
    <row r="124" ht="15.75" hidden="1" customHeight="1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</row>
    <row r="125" ht="15.75" hidden="1" customHeight="1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84"/>
    </row>
    <row r="126" ht="15.75" hidden="1" customHeight="1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</row>
    <row r="127" ht="15.75" hidden="1" customHeight="1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84"/>
      <c r="AO127" s="184"/>
      <c r="AP127" s="184"/>
      <c r="AQ127" s="184"/>
    </row>
    <row r="128" ht="15.75" hidden="1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84"/>
    </row>
    <row r="129" ht="15.75" hidden="1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</row>
    <row r="130" ht="15.75" hidden="1" customHeight="1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</row>
    <row r="131" ht="15.75" hidden="1" customHeight="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</row>
    <row r="132" ht="15.75" hidden="1" customHeight="1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</row>
    <row r="133" ht="15.75" hidden="1" customHeight="1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</row>
    <row r="134" ht="15.75" hidden="1" customHeight="1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</row>
    <row r="135" ht="15.75" hidden="1" customHeight="1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</row>
    <row r="136" ht="15.75" hidden="1" customHeight="1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</row>
    <row r="137" ht="15.75" hidden="1" customHeight="1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</row>
    <row r="138" ht="15.75" hidden="1" customHeight="1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</row>
    <row r="139" ht="15.75" hidden="1" customHeight="1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</row>
    <row r="140" ht="15.75" hidden="1" customHeight="1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</row>
    <row r="141" ht="15.75" hidden="1" customHeight="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</row>
    <row r="142" ht="15.75" hidden="1" customHeight="1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</row>
    <row r="143" ht="15.75" hidden="1" customHeight="1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</row>
    <row r="144" ht="15.75" hidden="1" customHeight="1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</row>
    <row r="145" ht="15.75" hidden="1" customHeight="1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</row>
    <row r="146" ht="15.75" hidden="1" customHeight="1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</row>
    <row r="147" ht="15.75" hidden="1" customHeight="1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</row>
    <row r="148" ht="15.75" hidden="1" customHeight="1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</row>
    <row r="149" ht="15.75" hidden="1" customHeight="1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</row>
    <row r="150" ht="15.75" hidden="1" customHeight="1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</row>
    <row r="151" ht="15.75" hidden="1" customHeight="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</row>
    <row r="152" ht="15.75" hidden="1" customHeight="1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</row>
    <row r="153" ht="15.75" hidden="1" customHeight="1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</row>
    <row r="154" ht="15.75" hidden="1" customHeight="1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</row>
    <row r="155" ht="15.75" hidden="1" customHeight="1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</row>
    <row r="156" ht="15.75" hidden="1" customHeight="1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</row>
    <row r="157" ht="15.75" hidden="1" customHeight="1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</row>
    <row r="158" ht="15.75" hidden="1" customHeight="1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</row>
    <row r="159" ht="15.75" hidden="1" customHeight="1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</row>
    <row r="160" ht="15.75" hidden="1" customHeight="1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</row>
    <row r="161" ht="15.75" hidden="1" customHeight="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</row>
    <row r="162" ht="15.75" hidden="1" customHeight="1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</row>
    <row r="163" ht="15.75" hidden="1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</row>
    <row r="164" ht="15.75" hidden="1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</row>
    <row r="165" ht="15.75" hidden="1" customHeight="1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</row>
    <row r="166" ht="15.75" hidden="1" customHeight="1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84"/>
    </row>
    <row r="167" ht="15.75" hidden="1" customHeight="1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</row>
    <row r="168" ht="15.75" hidden="1" customHeight="1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</row>
    <row r="169" ht="15.75" hidden="1" customHeight="1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</row>
    <row r="170" ht="15.75" hidden="1" customHeight="1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</row>
    <row r="171" ht="15.75" hidden="1" customHeight="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</row>
    <row r="172" ht="15.75" hidden="1" customHeight="1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</row>
    <row r="173" ht="15.75" hidden="1" customHeight="1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</row>
    <row r="174" ht="15.75" hidden="1" customHeight="1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</row>
    <row r="175" ht="15.75" hidden="1" customHeight="1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</row>
    <row r="176" ht="15.75" hidden="1" customHeight="1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</row>
    <row r="177" ht="15.75" hidden="1" customHeight="1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</row>
    <row r="178" ht="15.75" hidden="1" customHeight="1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</row>
    <row r="179" ht="15.75" hidden="1" customHeight="1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</row>
    <row r="180" ht="15.75" hidden="1" customHeight="1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  <c r="AQ180" s="184"/>
    </row>
    <row r="181" ht="15.75" hidden="1" customHeight="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  <c r="AQ181" s="184"/>
    </row>
    <row r="182" ht="15.75" hidden="1" customHeight="1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  <c r="AQ182" s="184"/>
    </row>
    <row r="183" ht="15.75" hidden="1" customHeight="1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  <c r="AQ183" s="184"/>
    </row>
    <row r="184" ht="15.75" hidden="1" customHeight="1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  <c r="AQ184" s="184"/>
    </row>
    <row r="185" ht="15.75" hidden="1" customHeight="1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  <c r="AO185" s="184"/>
      <c r="AP185" s="184"/>
      <c r="AQ185" s="184"/>
    </row>
    <row r="186" ht="15.75" hidden="1" customHeight="1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</row>
    <row r="187" ht="15.75" hidden="1" customHeight="1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</row>
    <row r="188" ht="15.75" hidden="1" customHeight="1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</row>
    <row r="189" ht="15.75" hidden="1" customHeight="1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</row>
    <row r="190" ht="15.75" hidden="1" customHeight="1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</row>
    <row r="191" ht="15.75" hidden="1" customHeight="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</row>
    <row r="192" ht="15.75" hidden="1" customHeight="1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</row>
    <row r="193" ht="15.75" hidden="1" customHeight="1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</row>
    <row r="194" ht="15.75" hidden="1" customHeight="1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</row>
    <row r="195" ht="15.75" hidden="1" customHeight="1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</row>
    <row r="196" ht="15.75" hidden="1" customHeight="1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</row>
    <row r="197" ht="15.75" hidden="1" customHeight="1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</row>
    <row r="198" ht="15.75" hidden="1" customHeight="1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</row>
    <row r="199" ht="15.75" hidden="1" customHeight="1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  <c r="AQ199" s="184"/>
    </row>
    <row r="200" ht="15.75" hidden="1" customHeight="1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  <c r="AQ200" s="184"/>
    </row>
    <row r="201" ht="15.75" hidden="1" customHeight="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  <c r="AQ201" s="184"/>
    </row>
    <row r="202" ht="15.75" hidden="1" customHeight="1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</row>
    <row r="203" ht="15.75" hidden="1" customHeight="1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</row>
    <row r="204" ht="15.75" hidden="1" customHeight="1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</row>
    <row r="205" ht="15.75" hidden="1" customHeight="1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</row>
    <row r="206" ht="15.75" hidden="1" customHeight="1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</row>
    <row r="207" ht="15.75" hidden="1" customHeight="1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</row>
    <row r="208" ht="15.75" hidden="1" customHeight="1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</row>
    <row r="209" ht="15.75" hidden="1" customHeight="1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</row>
    <row r="210" ht="15.75" hidden="1" customHeight="1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</row>
    <row r="211" ht="15.75" hidden="1" customHeight="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</row>
    <row r="212" ht="15.75" hidden="1" customHeight="1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</row>
    <row r="213" ht="15.75" hidden="1" customHeight="1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</row>
    <row r="214" ht="15.75" hidden="1" customHeight="1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</row>
    <row r="215" ht="15.75" hidden="1" customHeight="1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  <c r="AQ215" s="184"/>
    </row>
    <row r="216" ht="15.75" hidden="1" customHeight="1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</row>
    <row r="217" ht="15.75" hidden="1" customHeight="1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  <c r="AO217" s="184"/>
      <c r="AP217" s="184"/>
      <c r="AQ217" s="184"/>
    </row>
    <row r="218" ht="15.75" hidden="1" customHeight="1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  <c r="AO218" s="184"/>
      <c r="AP218" s="184"/>
      <c r="AQ218" s="184"/>
    </row>
    <row r="219" ht="15.75" hidden="1" customHeight="1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  <c r="AO219" s="184"/>
      <c r="AP219" s="184"/>
      <c r="AQ219" s="184"/>
    </row>
    <row r="220" ht="15.75" hidden="1" customHeight="1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  <c r="AO220" s="184"/>
      <c r="AP220" s="184"/>
      <c r="AQ220" s="184"/>
    </row>
    <row r="221" ht="15.75" hidden="1" customHeight="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  <c r="AO221" s="184"/>
      <c r="AP221" s="184"/>
      <c r="AQ221" s="184"/>
    </row>
    <row r="222" ht="15.75" hidden="1" customHeight="1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</row>
    <row r="223" ht="15.75" hidden="1" customHeight="1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</row>
    <row r="224" ht="15.75" hidden="1" customHeight="1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</row>
    <row r="225" ht="15.75" hidden="1" customHeight="1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</row>
    <row r="226" ht="15.75" hidden="1" customHeight="1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</row>
    <row r="227" ht="15.75" hidden="1" customHeight="1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</row>
    <row r="228" ht="15.75" hidden="1" customHeight="1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</row>
    <row r="229" ht="15.75" hidden="1" customHeight="1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</row>
    <row r="230" ht="15.75" hidden="1" customHeight="1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</row>
    <row r="231" ht="15.75" hidden="1" customHeight="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</row>
    <row r="232" ht="15.75" hidden="1" customHeight="1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</row>
    <row r="233" ht="15.75" hidden="1" customHeight="1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</row>
    <row r="234" ht="15.75" hidden="1" customHeight="1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</row>
    <row r="235" ht="15.75" hidden="1" customHeight="1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</row>
    <row r="236" ht="15.75" hidden="1" customHeight="1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  <c r="AO236" s="184"/>
      <c r="AP236" s="184"/>
      <c r="AQ236" s="184"/>
    </row>
    <row r="237" ht="15.75" hidden="1" customHeight="1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  <c r="AQ237" s="184"/>
    </row>
    <row r="238" ht="15.75" hidden="1" customHeight="1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  <c r="AQ238" s="184"/>
    </row>
    <row r="239" ht="15.75" hidden="1" customHeight="1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  <c r="AQ239" s="184"/>
    </row>
    <row r="240" ht="15.75" hidden="1" customHeight="1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</row>
    <row r="241" ht="15.75" hidden="1" customHeight="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</row>
    <row r="242" ht="15.75" hidden="1" customHeight="1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</row>
    <row r="243" ht="15.75" hidden="1" customHeight="1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</row>
    <row r="244" ht="15.75" hidden="1" customHeight="1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</row>
    <row r="245" ht="15.75" hidden="1" customHeight="1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</row>
    <row r="246" ht="15.75" hidden="1" customHeight="1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</row>
    <row r="247" ht="15.75" hidden="1" customHeight="1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</row>
    <row r="248" ht="15.75" hidden="1" customHeight="1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</row>
    <row r="249" ht="15.75" hidden="1" customHeight="1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</row>
    <row r="250" ht="15.75" hidden="1" customHeight="1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</row>
    <row r="251" ht="15.75" hidden="1" customHeight="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</row>
    <row r="252" ht="15.75" hidden="1" customHeight="1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</row>
    <row r="253" ht="15.75" hidden="1" customHeight="1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</row>
    <row r="254" ht="15.75" hidden="1" customHeight="1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  <c r="AO254" s="184"/>
      <c r="AP254" s="184"/>
      <c r="AQ254" s="184"/>
    </row>
    <row r="255" ht="15.75" hidden="1" customHeight="1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  <c r="AQ255" s="184"/>
    </row>
    <row r="256" ht="15.75" hidden="1" customHeight="1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  <c r="AO256" s="184"/>
      <c r="AP256" s="184"/>
      <c r="AQ256" s="184"/>
    </row>
    <row r="257" ht="15.75" hidden="1" customHeight="1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  <c r="AO257" s="184"/>
      <c r="AP257" s="184"/>
      <c r="AQ257" s="184"/>
    </row>
    <row r="258" ht="15.75" hidden="1" customHeight="1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</row>
    <row r="259" ht="15.75" hidden="1" customHeight="1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</row>
    <row r="260" ht="15.75" hidden="1" customHeight="1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</row>
    <row r="261" ht="15.75" hidden="1" customHeight="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</row>
    <row r="262" ht="15.75" hidden="1" customHeight="1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</row>
    <row r="263" ht="15.75" hidden="1" customHeight="1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</row>
    <row r="264" ht="15.75" hidden="1" customHeight="1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</row>
    <row r="265" ht="15.75" hidden="1" customHeight="1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</row>
    <row r="266" ht="15.75" hidden="1" customHeight="1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</row>
    <row r="267" ht="15.75" hidden="1" customHeight="1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  <c r="AQ267" s="184"/>
    </row>
    <row r="268" ht="15.75" hidden="1" customHeight="1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  <c r="AQ268" s="184"/>
    </row>
    <row r="269" ht="15.75" hidden="1" customHeight="1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  <c r="AQ269" s="184"/>
    </row>
    <row r="270" ht="15.75" hidden="1" customHeight="1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</row>
    <row r="271" ht="15.75" hidden="1" customHeight="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</row>
    <row r="272" ht="15.75" hidden="1" customHeight="1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</row>
    <row r="273" ht="15.75" hidden="1" customHeight="1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</row>
    <row r="274" ht="15.75" hidden="1" customHeight="1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</row>
    <row r="275" ht="15.75" hidden="1" customHeight="1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</row>
    <row r="276" ht="15.75" hidden="1" customHeight="1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</row>
    <row r="277" ht="15.75" hidden="1" customHeight="1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</row>
    <row r="278" ht="15.75" hidden="1" customHeight="1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</row>
    <row r="279" ht="15.75" hidden="1" customHeight="1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</row>
    <row r="280" ht="15.75" hidden="1" customHeight="1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</row>
    <row r="281" ht="15.75" hidden="1" customHeight="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</row>
    <row r="282" ht="15.75" hidden="1" customHeight="1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</row>
    <row r="283" ht="15.75" hidden="1" customHeight="1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</row>
    <row r="284" ht="15.75" hidden="1" customHeight="1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</row>
    <row r="285" ht="15.75" hidden="1" customHeight="1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  <c r="AQ285" s="184"/>
    </row>
    <row r="286" ht="15.75" hidden="1" customHeight="1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</row>
    <row r="287" ht="15.75" hidden="1" customHeight="1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</row>
    <row r="288" ht="15.75" hidden="1" customHeight="1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</row>
    <row r="289" ht="15.75" hidden="1" customHeight="1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</row>
    <row r="290" ht="15.75" hidden="1" customHeight="1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</row>
    <row r="291" ht="15.75" hidden="1" customHeight="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  <c r="AO291" s="184"/>
      <c r="AP291" s="184"/>
      <c r="AQ291" s="184"/>
    </row>
    <row r="292" ht="15.75" hidden="1" customHeight="1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  <c r="AO292" s="184"/>
      <c r="AP292" s="184"/>
      <c r="AQ292" s="184"/>
    </row>
    <row r="293" ht="15.75" hidden="1" customHeight="1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  <c r="AO293" s="184"/>
      <c r="AP293" s="184"/>
      <c r="AQ293" s="184"/>
    </row>
    <row r="294" ht="15.75" hidden="1" customHeight="1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</row>
    <row r="295" ht="15.75" hidden="1" customHeight="1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</row>
    <row r="296" ht="15.75" hidden="1" customHeight="1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</row>
    <row r="297" ht="15.75" hidden="1" customHeight="1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</row>
    <row r="298" ht="15.75" hidden="1" customHeight="1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</row>
    <row r="299" ht="15.75" hidden="1" customHeight="1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</row>
    <row r="300" ht="15.75" hidden="1" customHeight="1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</row>
    <row r="301" ht="15.75" hidden="1" customHeight="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</row>
    <row r="302" ht="15.75" hidden="1" customHeight="1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</row>
    <row r="303" ht="15.75" hidden="1" customHeight="1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</row>
    <row r="304" ht="15.75" hidden="1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</row>
    <row r="305" ht="15.75" hidden="1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  <c r="AQ305" s="184"/>
    </row>
    <row r="306" ht="15.75" hidden="1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4"/>
      <c r="AM306" s="184"/>
      <c r="AN306" s="184"/>
      <c r="AO306" s="184"/>
      <c r="AP306" s="184"/>
      <c r="AQ306" s="184"/>
    </row>
    <row r="307" ht="15.75" hidden="1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  <c r="AQ307" s="184"/>
    </row>
    <row r="308" ht="15.75" hidden="1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184"/>
      <c r="AH308" s="184"/>
      <c r="AI308" s="184"/>
      <c r="AJ308" s="184"/>
      <c r="AK308" s="184"/>
      <c r="AL308" s="184"/>
      <c r="AM308" s="184"/>
      <c r="AN308" s="184"/>
      <c r="AO308" s="184"/>
      <c r="AP308" s="184"/>
      <c r="AQ308" s="184"/>
    </row>
    <row r="309" ht="15.75" hidden="1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184"/>
      <c r="AH309" s="184"/>
      <c r="AI309" s="184"/>
      <c r="AJ309" s="184"/>
      <c r="AK309" s="184"/>
      <c r="AL309" s="184"/>
      <c r="AM309" s="184"/>
      <c r="AN309" s="184"/>
      <c r="AO309" s="184"/>
      <c r="AP309" s="184"/>
      <c r="AQ309" s="184"/>
    </row>
    <row r="310" ht="15.75" hidden="1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184"/>
      <c r="AH310" s="184"/>
      <c r="AI310" s="184"/>
      <c r="AJ310" s="184"/>
      <c r="AK310" s="184"/>
      <c r="AL310" s="184"/>
      <c r="AM310" s="184"/>
      <c r="AN310" s="184"/>
      <c r="AO310" s="184"/>
      <c r="AP310" s="184"/>
      <c r="AQ310" s="184"/>
    </row>
    <row r="311" ht="15.75" hidden="1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184"/>
      <c r="AH311" s="184"/>
      <c r="AI311" s="184"/>
      <c r="AJ311" s="184"/>
      <c r="AK311" s="184"/>
      <c r="AL311" s="184"/>
      <c r="AM311" s="184"/>
      <c r="AN311" s="184"/>
      <c r="AO311" s="184"/>
      <c r="AP311" s="184"/>
      <c r="AQ311" s="184"/>
    </row>
    <row r="312" ht="15.75" hidden="1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  <c r="AO312" s="184"/>
      <c r="AP312" s="184"/>
      <c r="AQ312" s="184"/>
    </row>
    <row r="313" ht="15.75" hidden="1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  <c r="AO313" s="184"/>
      <c r="AP313" s="184"/>
      <c r="AQ313" s="184"/>
    </row>
    <row r="314" ht="15.75" hidden="1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</row>
    <row r="315" ht="15.75" hidden="1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</row>
    <row r="316" ht="15.75" hidden="1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</row>
    <row r="317" ht="15.75" hidden="1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</row>
    <row r="318" ht="15.75" hidden="1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</row>
    <row r="319" ht="15.75" hidden="1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  <c r="AO319" s="184"/>
      <c r="AP319" s="184"/>
      <c r="AQ319" s="184"/>
    </row>
    <row r="320" ht="15.75" hidden="1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</row>
    <row r="321" ht="15.75" hidden="1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184"/>
      <c r="AH321" s="184"/>
      <c r="AI321" s="184"/>
      <c r="AJ321" s="184"/>
      <c r="AK321" s="184"/>
      <c r="AL321" s="184"/>
      <c r="AM321" s="184"/>
      <c r="AN321" s="184"/>
      <c r="AO321" s="184"/>
      <c r="AP321" s="184"/>
      <c r="AQ321" s="184"/>
    </row>
    <row r="322" ht="15.75" hidden="1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184"/>
      <c r="AH322" s="184"/>
      <c r="AI322" s="184"/>
      <c r="AJ322" s="184"/>
      <c r="AK322" s="184"/>
      <c r="AL322" s="184"/>
      <c r="AM322" s="184"/>
      <c r="AN322" s="184"/>
      <c r="AO322" s="184"/>
      <c r="AP322" s="184"/>
      <c r="AQ322" s="184"/>
    </row>
    <row r="323" ht="15.75" hidden="1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184"/>
      <c r="AH323" s="184"/>
      <c r="AI323" s="184"/>
      <c r="AJ323" s="184"/>
      <c r="AK323" s="184"/>
      <c r="AL323" s="184"/>
      <c r="AM323" s="184"/>
      <c r="AN323" s="184"/>
      <c r="AO323" s="184"/>
      <c r="AP323" s="184"/>
      <c r="AQ323" s="184"/>
    </row>
    <row r="324" ht="15.75" hidden="1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184"/>
      <c r="AH324" s="184"/>
      <c r="AI324" s="184"/>
      <c r="AJ324" s="184"/>
      <c r="AK324" s="184"/>
      <c r="AL324" s="184"/>
      <c r="AM324" s="184"/>
      <c r="AN324" s="184"/>
      <c r="AO324" s="184"/>
      <c r="AP324" s="184"/>
      <c r="AQ324" s="184"/>
    </row>
    <row r="325" ht="15.75" hidden="1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  <c r="AO325" s="184"/>
      <c r="AP325" s="184"/>
      <c r="AQ325" s="184"/>
    </row>
    <row r="326" ht="15.75" hidden="1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184"/>
      <c r="AH326" s="184"/>
      <c r="AI326" s="184"/>
      <c r="AJ326" s="184"/>
      <c r="AK326" s="184"/>
      <c r="AL326" s="184"/>
      <c r="AM326" s="184"/>
      <c r="AN326" s="184"/>
      <c r="AO326" s="184"/>
      <c r="AP326" s="184"/>
      <c r="AQ326" s="184"/>
    </row>
    <row r="327" ht="15.75" hidden="1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184"/>
      <c r="AH327" s="184"/>
      <c r="AI327" s="184"/>
      <c r="AJ327" s="184"/>
      <c r="AK327" s="184"/>
      <c r="AL327" s="184"/>
      <c r="AM327" s="184"/>
      <c r="AN327" s="184"/>
      <c r="AO327" s="184"/>
      <c r="AP327" s="184"/>
      <c r="AQ327" s="184"/>
    </row>
    <row r="328" ht="15.75" hidden="1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184"/>
      <c r="AH328" s="184"/>
      <c r="AI328" s="184"/>
      <c r="AJ328" s="184"/>
      <c r="AK328" s="184"/>
      <c r="AL328" s="184"/>
      <c r="AM328" s="184"/>
      <c r="AN328" s="184"/>
      <c r="AO328" s="184"/>
      <c r="AP328" s="184"/>
      <c r="AQ328" s="184"/>
    </row>
    <row r="329" ht="15.75" hidden="1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184"/>
      <c r="AH329" s="184"/>
      <c r="AI329" s="184"/>
      <c r="AJ329" s="184"/>
      <c r="AK329" s="184"/>
      <c r="AL329" s="184"/>
      <c r="AM329" s="184"/>
      <c r="AN329" s="184"/>
      <c r="AO329" s="184"/>
      <c r="AP329" s="184"/>
      <c r="AQ329" s="184"/>
    </row>
    <row r="330" ht="15.75" hidden="1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  <c r="AI330" s="184"/>
      <c r="AJ330" s="184"/>
      <c r="AK330" s="184"/>
      <c r="AL330" s="184"/>
      <c r="AM330" s="184"/>
      <c r="AN330" s="184"/>
      <c r="AO330" s="184"/>
      <c r="AP330" s="184"/>
      <c r="AQ330" s="184"/>
    </row>
    <row r="331" ht="15.75" hidden="1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  <c r="AO331" s="184"/>
      <c r="AP331" s="184"/>
      <c r="AQ331" s="184"/>
    </row>
    <row r="332" ht="15.75" hidden="1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  <c r="AO332" s="184"/>
      <c r="AP332" s="184"/>
      <c r="AQ332" s="184"/>
    </row>
    <row r="333" ht="15.75" hidden="1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  <c r="AQ333" s="184"/>
    </row>
    <row r="334" ht="15.75" hidden="1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  <c r="AQ334" s="184"/>
    </row>
    <row r="335" ht="15.75" hidden="1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  <c r="AQ335" s="184"/>
    </row>
    <row r="336" ht="15.75" hidden="1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  <c r="AQ336" s="184"/>
    </row>
    <row r="337" ht="15.75" hidden="1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  <c r="AQ337" s="184"/>
    </row>
    <row r="338" ht="15.75" hidden="1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</row>
    <row r="339" ht="15.75" hidden="1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  <c r="AI339" s="184"/>
      <c r="AJ339" s="184"/>
      <c r="AK339" s="184"/>
      <c r="AL339" s="184"/>
      <c r="AM339" s="184"/>
      <c r="AN339" s="184"/>
      <c r="AO339" s="184"/>
      <c r="AP339" s="184"/>
      <c r="AQ339" s="184"/>
    </row>
    <row r="340" ht="15.75" hidden="1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  <c r="AO340" s="184"/>
      <c r="AP340" s="184"/>
      <c r="AQ340" s="184"/>
    </row>
    <row r="341" ht="15.75" hidden="1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184"/>
      <c r="AH341" s="184"/>
      <c r="AI341" s="184"/>
      <c r="AJ341" s="184"/>
      <c r="AK341" s="184"/>
      <c r="AL341" s="184"/>
      <c r="AM341" s="184"/>
      <c r="AN341" s="184"/>
      <c r="AO341" s="184"/>
      <c r="AP341" s="184"/>
      <c r="AQ341" s="184"/>
    </row>
    <row r="342" ht="15.75" hidden="1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184"/>
      <c r="AH342" s="184"/>
      <c r="AI342" s="184"/>
      <c r="AJ342" s="184"/>
      <c r="AK342" s="184"/>
      <c r="AL342" s="184"/>
      <c r="AM342" s="184"/>
      <c r="AN342" s="184"/>
      <c r="AO342" s="184"/>
      <c r="AP342" s="184"/>
      <c r="AQ342" s="184"/>
    </row>
    <row r="343" ht="15.75" hidden="1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</row>
    <row r="344" ht="15.75" hidden="1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  <c r="AO344" s="184"/>
      <c r="AP344" s="184"/>
      <c r="AQ344" s="184"/>
    </row>
    <row r="345" ht="15.75" hidden="1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184"/>
      <c r="AH345" s="184"/>
      <c r="AI345" s="184"/>
      <c r="AJ345" s="184"/>
      <c r="AK345" s="184"/>
      <c r="AL345" s="184"/>
      <c r="AM345" s="184"/>
      <c r="AN345" s="184"/>
      <c r="AO345" s="184"/>
      <c r="AP345" s="184"/>
      <c r="AQ345" s="184"/>
    </row>
    <row r="346" ht="15.75" hidden="1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184"/>
      <c r="AH346" s="184"/>
      <c r="AI346" s="184"/>
      <c r="AJ346" s="184"/>
      <c r="AK346" s="184"/>
      <c r="AL346" s="184"/>
      <c r="AM346" s="184"/>
      <c r="AN346" s="184"/>
      <c r="AO346" s="184"/>
      <c r="AP346" s="184"/>
      <c r="AQ346" s="184"/>
    </row>
    <row r="347" ht="15.75" hidden="1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184"/>
      <c r="AH347" s="184"/>
      <c r="AI347" s="184"/>
      <c r="AJ347" s="184"/>
      <c r="AK347" s="184"/>
      <c r="AL347" s="184"/>
      <c r="AM347" s="184"/>
      <c r="AN347" s="184"/>
      <c r="AO347" s="184"/>
      <c r="AP347" s="184"/>
      <c r="AQ347" s="184"/>
    </row>
    <row r="348" ht="15.75" hidden="1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184"/>
      <c r="AH348" s="184"/>
      <c r="AI348" s="184"/>
      <c r="AJ348" s="184"/>
      <c r="AK348" s="184"/>
      <c r="AL348" s="184"/>
      <c r="AM348" s="184"/>
      <c r="AN348" s="184"/>
      <c r="AO348" s="184"/>
      <c r="AP348" s="184"/>
      <c r="AQ348" s="184"/>
    </row>
    <row r="349" ht="15.75" hidden="1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184"/>
      <c r="AH349" s="184"/>
      <c r="AI349" s="184"/>
      <c r="AJ349" s="184"/>
      <c r="AK349" s="184"/>
      <c r="AL349" s="184"/>
      <c r="AM349" s="184"/>
      <c r="AN349" s="184"/>
      <c r="AO349" s="184"/>
      <c r="AP349" s="184"/>
      <c r="AQ349" s="184"/>
    </row>
    <row r="350" ht="15.75" hidden="1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184"/>
      <c r="AH350" s="184"/>
      <c r="AI350" s="184"/>
      <c r="AJ350" s="184"/>
      <c r="AK350" s="184"/>
      <c r="AL350" s="184"/>
      <c r="AM350" s="184"/>
      <c r="AN350" s="184"/>
      <c r="AO350" s="184"/>
      <c r="AP350" s="184"/>
      <c r="AQ350" s="184"/>
    </row>
    <row r="351" ht="15.75" hidden="1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4"/>
      <c r="AI351" s="184"/>
      <c r="AJ351" s="184"/>
      <c r="AK351" s="184"/>
      <c r="AL351" s="184"/>
      <c r="AM351" s="184"/>
      <c r="AN351" s="184"/>
      <c r="AO351" s="184"/>
      <c r="AP351" s="184"/>
      <c r="AQ351" s="184"/>
    </row>
    <row r="352" ht="15.75" hidden="1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  <c r="AO352" s="184"/>
      <c r="AP352" s="184"/>
      <c r="AQ352" s="184"/>
    </row>
    <row r="353" ht="15.75" hidden="1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184"/>
      <c r="AH353" s="184"/>
      <c r="AI353" s="184"/>
      <c r="AJ353" s="184"/>
      <c r="AK353" s="184"/>
      <c r="AL353" s="184"/>
      <c r="AM353" s="184"/>
      <c r="AN353" s="184"/>
      <c r="AO353" s="184"/>
      <c r="AP353" s="184"/>
      <c r="AQ353" s="184"/>
    </row>
    <row r="354" ht="15.75" hidden="1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184"/>
      <c r="AH354" s="184"/>
      <c r="AI354" s="184"/>
      <c r="AJ354" s="184"/>
      <c r="AK354" s="184"/>
      <c r="AL354" s="184"/>
      <c r="AM354" s="184"/>
      <c r="AN354" s="184"/>
      <c r="AO354" s="184"/>
      <c r="AP354" s="184"/>
      <c r="AQ354" s="184"/>
    </row>
    <row r="355" ht="15.75" hidden="1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184"/>
      <c r="AH355" s="184"/>
      <c r="AI355" s="184"/>
      <c r="AJ355" s="184"/>
      <c r="AK355" s="184"/>
      <c r="AL355" s="184"/>
      <c r="AM355" s="184"/>
      <c r="AN355" s="184"/>
      <c r="AO355" s="184"/>
      <c r="AP355" s="184"/>
      <c r="AQ355" s="184"/>
    </row>
    <row r="356" ht="15.75" hidden="1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</row>
    <row r="357" ht="15.75" hidden="1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184"/>
      <c r="AH357" s="184"/>
      <c r="AI357" s="184"/>
      <c r="AJ357" s="184"/>
      <c r="AK357" s="184"/>
      <c r="AL357" s="184"/>
      <c r="AM357" s="184"/>
      <c r="AN357" s="184"/>
      <c r="AO357" s="184"/>
      <c r="AP357" s="184"/>
      <c r="AQ357" s="184"/>
    </row>
    <row r="358" ht="15.75" hidden="1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184"/>
      <c r="AH358" s="184"/>
      <c r="AI358" s="184"/>
      <c r="AJ358" s="184"/>
      <c r="AK358" s="184"/>
      <c r="AL358" s="184"/>
      <c r="AM358" s="184"/>
      <c r="AN358" s="184"/>
      <c r="AO358" s="184"/>
      <c r="AP358" s="184"/>
      <c r="AQ358" s="184"/>
    </row>
    <row r="359" ht="15.75" hidden="1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184"/>
      <c r="AH359" s="184"/>
      <c r="AI359" s="184"/>
      <c r="AJ359" s="184"/>
      <c r="AK359" s="184"/>
      <c r="AL359" s="184"/>
      <c r="AM359" s="184"/>
      <c r="AN359" s="184"/>
      <c r="AO359" s="184"/>
      <c r="AP359" s="184"/>
      <c r="AQ359" s="184"/>
    </row>
    <row r="360" ht="15.75" hidden="1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4"/>
      <c r="AM360" s="184"/>
      <c r="AN360" s="184"/>
      <c r="AO360" s="184"/>
      <c r="AP360" s="184"/>
      <c r="AQ360" s="184"/>
    </row>
    <row r="361" ht="15.75" hidden="1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184"/>
      <c r="AH361" s="184"/>
      <c r="AI361" s="184"/>
      <c r="AJ361" s="184"/>
      <c r="AK361" s="184"/>
      <c r="AL361" s="184"/>
      <c r="AM361" s="184"/>
      <c r="AN361" s="184"/>
      <c r="AO361" s="184"/>
      <c r="AP361" s="184"/>
      <c r="AQ361" s="184"/>
    </row>
    <row r="362" ht="15.75" hidden="1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184"/>
      <c r="AH362" s="184"/>
      <c r="AI362" s="184"/>
      <c r="AJ362" s="184"/>
      <c r="AK362" s="184"/>
      <c r="AL362" s="184"/>
      <c r="AM362" s="184"/>
      <c r="AN362" s="184"/>
      <c r="AO362" s="184"/>
      <c r="AP362" s="184"/>
      <c r="AQ362" s="184"/>
    </row>
    <row r="363" ht="15.75" hidden="1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184"/>
      <c r="AH363" s="184"/>
      <c r="AI363" s="184"/>
      <c r="AJ363" s="184"/>
      <c r="AK363" s="184"/>
      <c r="AL363" s="184"/>
      <c r="AM363" s="184"/>
      <c r="AN363" s="184"/>
      <c r="AO363" s="184"/>
      <c r="AP363" s="184"/>
      <c r="AQ363" s="184"/>
    </row>
    <row r="364" ht="15.75" hidden="1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184"/>
      <c r="AH364" s="184"/>
      <c r="AI364" s="184"/>
      <c r="AJ364" s="184"/>
      <c r="AK364" s="184"/>
      <c r="AL364" s="184"/>
      <c r="AM364" s="184"/>
      <c r="AN364" s="184"/>
      <c r="AO364" s="184"/>
      <c r="AP364" s="184"/>
      <c r="AQ364" s="184"/>
    </row>
    <row r="365" ht="15.75" hidden="1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184"/>
      <c r="AH365" s="184"/>
      <c r="AI365" s="184"/>
      <c r="AJ365" s="184"/>
      <c r="AK365" s="184"/>
      <c r="AL365" s="184"/>
      <c r="AM365" s="184"/>
      <c r="AN365" s="184"/>
      <c r="AO365" s="184"/>
      <c r="AP365" s="184"/>
      <c r="AQ365" s="184"/>
    </row>
    <row r="366" ht="15.75" hidden="1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  <c r="AQ366" s="184"/>
    </row>
    <row r="367" ht="15.75" hidden="1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  <c r="AQ367" s="184"/>
    </row>
    <row r="368" ht="15.75" hidden="1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  <c r="AQ368" s="184"/>
    </row>
    <row r="369" ht="15.75" hidden="1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</row>
    <row r="370" ht="15.75" hidden="1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  <c r="AQ370" s="184"/>
    </row>
    <row r="371" ht="15.75" hidden="1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  <c r="AQ371" s="184"/>
    </row>
    <row r="372" ht="15.75" hidden="1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</row>
    <row r="373" ht="15.75" hidden="1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</row>
    <row r="374" ht="15.75" hidden="1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</row>
    <row r="375" ht="15.75" hidden="1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  <c r="AO375" s="184"/>
      <c r="AP375" s="184"/>
      <c r="AQ375" s="184"/>
    </row>
    <row r="376" ht="15.75" hidden="1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  <c r="AO376" s="184"/>
      <c r="AP376" s="184"/>
      <c r="AQ376" s="184"/>
    </row>
    <row r="377" ht="15.75" hidden="1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  <c r="AO377" s="184"/>
      <c r="AP377" s="184"/>
      <c r="AQ377" s="184"/>
    </row>
    <row r="378" ht="15.75" hidden="1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  <c r="AO378" s="184"/>
      <c r="AP378" s="184"/>
      <c r="AQ378" s="184"/>
    </row>
    <row r="379" ht="15.75" hidden="1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</row>
    <row r="380" ht="15.75" hidden="1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  <c r="AO380" s="184"/>
      <c r="AP380" s="184"/>
      <c r="AQ380" s="184"/>
    </row>
    <row r="381" ht="15.75" hidden="1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  <c r="AI381" s="184"/>
      <c r="AJ381" s="184"/>
      <c r="AK381" s="184"/>
      <c r="AL381" s="184"/>
      <c r="AM381" s="184"/>
      <c r="AN381" s="184"/>
      <c r="AO381" s="184"/>
      <c r="AP381" s="184"/>
      <c r="AQ381" s="184"/>
    </row>
    <row r="382" ht="15.75" hidden="1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184"/>
      <c r="AH382" s="184"/>
      <c r="AI382" s="184"/>
      <c r="AJ382" s="184"/>
      <c r="AK382" s="184"/>
      <c r="AL382" s="184"/>
      <c r="AM382" s="184"/>
      <c r="AN382" s="184"/>
      <c r="AO382" s="184"/>
      <c r="AP382" s="184"/>
      <c r="AQ382" s="184"/>
    </row>
    <row r="383" ht="15.75" hidden="1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184"/>
      <c r="AH383" s="184"/>
      <c r="AI383" s="184"/>
      <c r="AJ383" s="184"/>
      <c r="AK383" s="184"/>
      <c r="AL383" s="184"/>
      <c r="AM383" s="184"/>
      <c r="AN383" s="184"/>
      <c r="AO383" s="184"/>
      <c r="AP383" s="184"/>
      <c r="AQ383" s="184"/>
    </row>
    <row r="384" ht="15.75" hidden="1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  <c r="AI384" s="184"/>
      <c r="AJ384" s="184"/>
      <c r="AK384" s="184"/>
      <c r="AL384" s="184"/>
      <c r="AM384" s="184"/>
      <c r="AN384" s="184"/>
      <c r="AO384" s="184"/>
      <c r="AP384" s="184"/>
      <c r="AQ384" s="184"/>
    </row>
    <row r="385" ht="15.75" hidden="1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  <c r="AI385" s="184"/>
      <c r="AJ385" s="184"/>
      <c r="AK385" s="184"/>
      <c r="AL385" s="184"/>
      <c r="AM385" s="184"/>
      <c r="AN385" s="184"/>
      <c r="AO385" s="184"/>
      <c r="AP385" s="184"/>
      <c r="AQ385" s="184"/>
    </row>
    <row r="386" ht="15.75" hidden="1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  <c r="AI386" s="184"/>
      <c r="AJ386" s="184"/>
      <c r="AK386" s="184"/>
      <c r="AL386" s="184"/>
      <c r="AM386" s="184"/>
      <c r="AN386" s="184"/>
      <c r="AO386" s="184"/>
      <c r="AP386" s="184"/>
      <c r="AQ386" s="184"/>
    </row>
    <row r="387" ht="15.75" hidden="1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4"/>
      <c r="AM387" s="184"/>
      <c r="AN387" s="184"/>
      <c r="AO387" s="184"/>
      <c r="AP387" s="184"/>
      <c r="AQ387" s="184"/>
    </row>
    <row r="388" ht="15.75" hidden="1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4"/>
      <c r="AM388" s="184"/>
      <c r="AN388" s="184"/>
      <c r="AO388" s="184"/>
      <c r="AP388" s="184"/>
      <c r="AQ388" s="184"/>
    </row>
    <row r="389" ht="15.75" hidden="1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  <c r="AQ389" s="184"/>
    </row>
    <row r="390" ht="15.75" hidden="1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  <c r="AQ390" s="184"/>
    </row>
    <row r="391" ht="15.75" hidden="1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  <c r="AQ391" s="184"/>
    </row>
    <row r="392" ht="15.75" hidden="1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</row>
    <row r="393" ht="15.75" hidden="1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  <c r="AQ393" s="184"/>
    </row>
    <row r="394" ht="15.75" hidden="1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  <c r="AO394" s="184"/>
      <c r="AP394" s="184"/>
      <c r="AQ394" s="184"/>
    </row>
    <row r="395" ht="15.75" hidden="1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  <c r="AO395" s="184"/>
      <c r="AP395" s="184"/>
      <c r="AQ395" s="184"/>
    </row>
    <row r="396" ht="15.75" hidden="1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  <c r="AO396" s="184"/>
      <c r="AP396" s="184"/>
      <c r="AQ396" s="184"/>
    </row>
    <row r="397" ht="15.75" hidden="1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  <c r="AO397" s="184"/>
      <c r="AP397" s="184"/>
      <c r="AQ397" s="184"/>
    </row>
    <row r="398" ht="15.75" hidden="1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  <c r="AI398" s="184"/>
      <c r="AJ398" s="184"/>
      <c r="AK398" s="184"/>
      <c r="AL398" s="184"/>
      <c r="AM398" s="184"/>
      <c r="AN398" s="184"/>
      <c r="AO398" s="184"/>
      <c r="AP398" s="184"/>
      <c r="AQ398" s="184"/>
    </row>
    <row r="399" ht="15.75" hidden="1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  <c r="AQ399" s="184"/>
    </row>
    <row r="400" ht="15.75" hidden="1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184"/>
      <c r="AH400" s="184"/>
      <c r="AI400" s="184"/>
      <c r="AJ400" s="184"/>
      <c r="AK400" s="184"/>
      <c r="AL400" s="184"/>
      <c r="AM400" s="184"/>
      <c r="AN400" s="184"/>
      <c r="AO400" s="184"/>
      <c r="AP400" s="184"/>
      <c r="AQ400" s="184"/>
    </row>
    <row r="401" ht="15.75" hidden="1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184"/>
      <c r="AH401" s="184"/>
      <c r="AI401" s="184"/>
      <c r="AJ401" s="184"/>
      <c r="AK401" s="184"/>
      <c r="AL401" s="184"/>
      <c r="AM401" s="184"/>
      <c r="AN401" s="184"/>
      <c r="AO401" s="184"/>
      <c r="AP401" s="184"/>
      <c r="AQ401" s="184"/>
    </row>
    <row r="402" ht="15.75" hidden="1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</row>
    <row r="403" ht="15.75" hidden="1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</row>
    <row r="404" ht="15.75" hidden="1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</row>
    <row r="405" ht="15.75" hidden="1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</row>
    <row r="406" ht="15.75" hidden="1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</row>
    <row r="407" ht="15.75" hidden="1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</row>
    <row r="408" ht="15.75" hidden="1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</row>
    <row r="409" ht="15.75" hidden="1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</row>
    <row r="410" ht="15.75" hidden="1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</row>
    <row r="411" ht="15.75" hidden="1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  <c r="AO411" s="184"/>
      <c r="AP411" s="184"/>
      <c r="AQ411" s="184"/>
    </row>
    <row r="412" ht="15.75" hidden="1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</row>
    <row r="413" ht="15.75" hidden="1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  <c r="AO413" s="184"/>
      <c r="AP413" s="184"/>
      <c r="AQ413" s="184"/>
    </row>
    <row r="414" ht="15.75" hidden="1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  <c r="AO414" s="184"/>
      <c r="AP414" s="184"/>
      <c r="AQ414" s="184"/>
    </row>
    <row r="415" ht="15.75" hidden="1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  <c r="AQ415" s="184"/>
    </row>
    <row r="416" ht="15.75" hidden="1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</row>
    <row r="417" ht="15.75" hidden="1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  <c r="AI417" s="184"/>
      <c r="AJ417" s="184"/>
      <c r="AK417" s="184"/>
      <c r="AL417" s="184"/>
      <c r="AM417" s="184"/>
      <c r="AN417" s="184"/>
      <c r="AO417" s="184"/>
      <c r="AP417" s="184"/>
      <c r="AQ417" s="184"/>
    </row>
    <row r="418" ht="15.75" hidden="1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  <c r="AQ418" s="184"/>
    </row>
    <row r="419" ht="15.75" hidden="1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184"/>
      <c r="AH419" s="184"/>
      <c r="AI419" s="184"/>
      <c r="AJ419" s="184"/>
      <c r="AK419" s="184"/>
      <c r="AL419" s="184"/>
      <c r="AM419" s="184"/>
      <c r="AN419" s="184"/>
      <c r="AO419" s="184"/>
      <c r="AP419" s="184"/>
      <c r="AQ419" s="184"/>
    </row>
    <row r="420" ht="15.75" hidden="1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  <c r="AQ420" s="184"/>
    </row>
    <row r="421" ht="15.75" hidden="1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</row>
    <row r="422" ht="15.75" hidden="1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  <c r="AQ422" s="184"/>
    </row>
    <row r="423" ht="15.75" hidden="1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  <c r="AQ423" s="184"/>
    </row>
    <row r="424" ht="15.75" hidden="1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  <c r="AQ424" s="184"/>
    </row>
    <row r="425" ht="15.75" hidden="1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</row>
    <row r="426" ht="15.75" hidden="1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</row>
    <row r="427" ht="15.75" hidden="1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</row>
    <row r="428" ht="15.75" hidden="1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</row>
    <row r="429" ht="15.75" hidden="1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</row>
    <row r="430" ht="15.75" hidden="1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</row>
    <row r="431" ht="15.75" hidden="1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</row>
    <row r="432" ht="15.75" hidden="1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  <c r="AQ432" s="184"/>
    </row>
    <row r="433" ht="15.75" hidden="1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  <c r="AQ433" s="184"/>
    </row>
    <row r="434" ht="15.75" hidden="1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</row>
    <row r="435" ht="15.75" hidden="1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  <c r="AO435" s="184"/>
      <c r="AP435" s="184"/>
      <c r="AQ435" s="184"/>
    </row>
    <row r="436" ht="15.75" hidden="1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  <c r="AI436" s="184"/>
      <c r="AJ436" s="184"/>
      <c r="AK436" s="184"/>
      <c r="AL436" s="184"/>
      <c r="AM436" s="184"/>
      <c r="AN436" s="184"/>
      <c r="AO436" s="184"/>
      <c r="AP436" s="184"/>
      <c r="AQ436" s="184"/>
    </row>
    <row r="437" ht="15.75" hidden="1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  <c r="AI437" s="184"/>
      <c r="AJ437" s="184"/>
      <c r="AK437" s="184"/>
      <c r="AL437" s="184"/>
      <c r="AM437" s="184"/>
      <c r="AN437" s="184"/>
      <c r="AO437" s="184"/>
      <c r="AP437" s="184"/>
      <c r="AQ437" s="184"/>
    </row>
    <row r="438" ht="15.75" hidden="1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  <c r="AQ438" s="184"/>
    </row>
    <row r="439" ht="15.75" hidden="1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</row>
    <row r="440" ht="15.75" hidden="1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</row>
    <row r="441" ht="15.75" hidden="1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</row>
    <row r="442" ht="15.75" hidden="1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</row>
    <row r="443" ht="15.75" hidden="1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</row>
    <row r="444" ht="15.75" hidden="1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</row>
    <row r="445" ht="15.75" hidden="1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</row>
    <row r="446" ht="15.75" hidden="1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</row>
    <row r="447" ht="15.75" hidden="1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  <c r="AQ447" s="184"/>
    </row>
    <row r="448" ht="15.75" hidden="1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  <c r="AO448" s="184"/>
      <c r="AP448" s="184"/>
      <c r="AQ448" s="184"/>
    </row>
    <row r="449" ht="15.75" hidden="1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  <c r="AO449" s="184"/>
      <c r="AP449" s="184"/>
      <c r="AQ449" s="184"/>
    </row>
    <row r="450" ht="15.75" hidden="1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  <c r="AQ450" s="184"/>
    </row>
    <row r="451" ht="15.75" hidden="1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  <c r="AO451" s="184"/>
      <c r="AP451" s="184"/>
      <c r="AQ451" s="184"/>
    </row>
    <row r="452" ht="15.75" hidden="1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  <c r="AQ452" s="184"/>
    </row>
    <row r="453" ht="15.75" hidden="1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  <c r="AQ453" s="184"/>
    </row>
    <row r="454" ht="15.75" hidden="1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  <c r="AO454" s="184"/>
      <c r="AP454" s="184"/>
      <c r="AQ454" s="184"/>
    </row>
    <row r="455" ht="15.75" hidden="1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  <c r="AO455" s="184"/>
      <c r="AP455" s="184"/>
      <c r="AQ455" s="184"/>
    </row>
    <row r="456" ht="15.75" hidden="1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  <c r="AO456" s="184"/>
      <c r="AP456" s="184"/>
      <c r="AQ456" s="184"/>
    </row>
    <row r="457" ht="15.75" hidden="1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  <c r="AO457" s="184"/>
      <c r="AP457" s="184"/>
      <c r="AQ457" s="184"/>
    </row>
    <row r="458" ht="15.75" hidden="1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  <c r="AO458" s="184"/>
      <c r="AP458" s="184"/>
      <c r="AQ458" s="184"/>
    </row>
    <row r="459" ht="15.75" hidden="1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  <c r="AO459" s="184"/>
      <c r="AP459" s="184"/>
      <c r="AQ459" s="184"/>
    </row>
    <row r="460" ht="15.75" hidden="1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  <c r="AO460" s="184"/>
      <c r="AP460" s="184"/>
      <c r="AQ460" s="184"/>
    </row>
    <row r="461" ht="15.75" hidden="1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  <c r="AO461" s="184"/>
      <c r="AP461" s="184"/>
      <c r="AQ461" s="184"/>
    </row>
    <row r="462" ht="15.75" hidden="1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  <c r="AO462" s="184"/>
      <c r="AP462" s="184"/>
      <c r="AQ462" s="184"/>
    </row>
    <row r="463" ht="15.75" hidden="1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  <c r="AO463" s="184"/>
      <c r="AP463" s="184"/>
      <c r="AQ463" s="184"/>
    </row>
    <row r="464" ht="15.75" hidden="1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</row>
    <row r="465" ht="15.75" hidden="1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</row>
    <row r="466" ht="15.75" hidden="1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  <c r="AQ466" s="184"/>
    </row>
    <row r="467" ht="15.75" hidden="1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  <c r="AQ467" s="184"/>
    </row>
    <row r="468" ht="15.75" hidden="1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  <c r="AQ468" s="184"/>
    </row>
    <row r="469" ht="15.75" hidden="1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  <c r="AQ469" s="184"/>
    </row>
    <row r="470" ht="15.75" hidden="1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  <c r="AQ470" s="184"/>
    </row>
    <row r="471" ht="15.75" hidden="1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</row>
    <row r="472" ht="15.75" hidden="1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  <c r="AQ472" s="184"/>
    </row>
    <row r="473" ht="15.75" hidden="1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  <c r="AQ473" s="184"/>
    </row>
    <row r="474" ht="15.75" hidden="1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  <c r="AO474" s="184"/>
      <c r="AP474" s="184"/>
      <c r="AQ474" s="184"/>
    </row>
    <row r="475" ht="15.75" hidden="1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  <c r="AO475" s="184"/>
      <c r="AP475" s="184"/>
      <c r="AQ475" s="184"/>
    </row>
    <row r="476" ht="15.75" hidden="1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  <c r="AO476" s="184"/>
      <c r="AP476" s="184"/>
      <c r="AQ476" s="184"/>
    </row>
    <row r="477" ht="15.75" hidden="1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  <c r="AQ477" s="184"/>
    </row>
    <row r="478" ht="15.75" hidden="1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</row>
    <row r="479" ht="15.75" hidden="1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  <c r="AQ479" s="184"/>
    </row>
    <row r="480" ht="15.75" hidden="1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</row>
    <row r="481" ht="15.75" hidden="1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</row>
    <row r="482" ht="15.75" hidden="1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</row>
    <row r="483" ht="15.75" hidden="1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  <c r="AO483" s="184"/>
      <c r="AP483" s="184"/>
      <c r="AQ483" s="184"/>
    </row>
    <row r="484" ht="15.75" hidden="1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  <c r="AO484" s="184"/>
      <c r="AP484" s="184"/>
      <c r="AQ484" s="184"/>
    </row>
    <row r="485" ht="15.75" hidden="1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  <c r="AO485" s="184"/>
      <c r="AP485" s="184"/>
      <c r="AQ485" s="184"/>
    </row>
    <row r="486" ht="15.75" hidden="1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  <c r="AI486" s="184"/>
      <c r="AJ486" s="184"/>
      <c r="AK486" s="184"/>
      <c r="AL486" s="184"/>
      <c r="AM486" s="184"/>
      <c r="AN486" s="184"/>
      <c r="AO486" s="184"/>
      <c r="AP486" s="184"/>
      <c r="AQ486" s="184"/>
    </row>
    <row r="487" ht="15.75" hidden="1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  <c r="AI487" s="184"/>
      <c r="AJ487" s="184"/>
      <c r="AK487" s="184"/>
      <c r="AL487" s="184"/>
      <c r="AM487" s="184"/>
      <c r="AN487" s="184"/>
      <c r="AO487" s="184"/>
      <c r="AP487" s="184"/>
      <c r="AQ487" s="184"/>
    </row>
    <row r="488" ht="15.75" hidden="1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  <c r="AQ488" s="184"/>
    </row>
    <row r="489" ht="15.75" hidden="1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  <c r="AO489" s="184"/>
      <c r="AP489" s="184"/>
      <c r="AQ489" s="184"/>
    </row>
    <row r="490" ht="15.75" hidden="1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  <c r="AQ490" s="184"/>
    </row>
    <row r="491" ht="15.75" hidden="1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  <c r="AQ491" s="184"/>
    </row>
    <row r="492" ht="15.75" hidden="1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  <c r="AQ492" s="184"/>
    </row>
    <row r="493" ht="15.75" hidden="1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  <c r="AQ493" s="184"/>
    </row>
    <row r="494" ht="15.75" hidden="1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</row>
    <row r="495" ht="15.75" hidden="1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</row>
    <row r="496" ht="15.75" hidden="1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</row>
    <row r="497" ht="15.75" hidden="1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  <c r="AO497" s="184"/>
      <c r="AP497" s="184"/>
      <c r="AQ497" s="184"/>
    </row>
    <row r="498" ht="15.75" hidden="1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  <c r="AQ498" s="184"/>
    </row>
    <row r="499" ht="15.75" hidden="1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  <c r="AQ499" s="184"/>
    </row>
    <row r="500" ht="15.75" hidden="1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</row>
    <row r="501" ht="15.75" hidden="1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  <c r="AQ501" s="184"/>
    </row>
    <row r="502" ht="15.75" hidden="1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  <c r="AQ502" s="184"/>
    </row>
    <row r="503" ht="15.75" hidden="1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  <c r="AO503" s="184"/>
      <c r="AP503" s="184"/>
      <c r="AQ503" s="184"/>
    </row>
    <row r="504" ht="15.75" hidden="1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  <c r="AO504" s="184"/>
      <c r="AP504" s="184"/>
      <c r="AQ504" s="184"/>
    </row>
    <row r="505" ht="15.75" hidden="1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  <c r="AO505" s="184"/>
      <c r="AP505" s="184"/>
      <c r="AQ505" s="184"/>
    </row>
    <row r="506" ht="15.75" hidden="1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  <c r="AO506" s="184"/>
      <c r="AP506" s="184"/>
      <c r="AQ506" s="184"/>
    </row>
    <row r="507" ht="15.75" hidden="1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  <c r="AI507" s="184"/>
      <c r="AJ507" s="184"/>
      <c r="AK507" s="184"/>
      <c r="AL507" s="184"/>
      <c r="AM507" s="184"/>
      <c r="AN507" s="184"/>
      <c r="AO507" s="184"/>
      <c r="AP507" s="184"/>
      <c r="AQ507" s="184"/>
    </row>
    <row r="508" ht="15.75" hidden="1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  <c r="AI508" s="184"/>
      <c r="AJ508" s="184"/>
      <c r="AK508" s="184"/>
      <c r="AL508" s="184"/>
      <c r="AM508" s="184"/>
      <c r="AN508" s="184"/>
      <c r="AO508" s="184"/>
      <c r="AP508" s="184"/>
      <c r="AQ508" s="184"/>
    </row>
    <row r="509" ht="15.75" hidden="1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  <c r="AI509" s="184"/>
      <c r="AJ509" s="184"/>
      <c r="AK509" s="184"/>
      <c r="AL509" s="184"/>
      <c r="AM509" s="184"/>
      <c r="AN509" s="184"/>
      <c r="AO509" s="184"/>
      <c r="AP509" s="184"/>
      <c r="AQ509" s="184"/>
    </row>
    <row r="510" ht="15.75" hidden="1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</row>
    <row r="511" ht="15.75" hidden="1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</row>
    <row r="512" ht="15.75" hidden="1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</row>
    <row r="513" ht="15.75" hidden="1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</row>
    <row r="514" ht="15.75" hidden="1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</row>
    <row r="515" ht="15.75" hidden="1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</row>
    <row r="516" ht="15.75" hidden="1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</row>
    <row r="517" ht="15.75" hidden="1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</row>
    <row r="518" ht="15.75" hidden="1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</row>
    <row r="519" ht="15.75" hidden="1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  <c r="AO519" s="184"/>
      <c r="AP519" s="184"/>
      <c r="AQ519" s="184"/>
    </row>
    <row r="520" ht="15.75" hidden="1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  <c r="AQ520" s="184"/>
    </row>
    <row r="521" ht="15.75" hidden="1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  <c r="AO521" s="184"/>
      <c r="AP521" s="184"/>
      <c r="AQ521" s="184"/>
    </row>
    <row r="522" ht="15.75" hidden="1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  <c r="AO522" s="184"/>
      <c r="AP522" s="184"/>
      <c r="AQ522" s="184"/>
    </row>
    <row r="523" ht="15.75" hidden="1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  <c r="AQ523" s="184"/>
    </row>
    <row r="524" ht="15.75" hidden="1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  <c r="AQ524" s="184"/>
    </row>
    <row r="525" ht="15.75" hidden="1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  <c r="AO525" s="184"/>
      <c r="AP525" s="184"/>
      <c r="AQ525" s="184"/>
    </row>
    <row r="526" ht="15.75" hidden="1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  <c r="AO526" s="184"/>
      <c r="AP526" s="184"/>
      <c r="AQ526" s="184"/>
    </row>
    <row r="527" ht="15.75" hidden="1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  <c r="AQ527" s="184"/>
    </row>
    <row r="528" ht="15.75" hidden="1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</row>
    <row r="529" ht="15.75" hidden="1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</row>
    <row r="530" ht="15.75" hidden="1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</row>
    <row r="531" ht="15.75" hidden="1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</row>
    <row r="532" ht="15.75" hidden="1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</row>
    <row r="533" ht="15.75" hidden="1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</row>
    <row r="534" ht="15.75" hidden="1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</row>
    <row r="535" ht="15.75" hidden="1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</row>
    <row r="536" ht="15.75" hidden="1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</row>
    <row r="537" ht="15.75" hidden="1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  <c r="AQ537" s="184"/>
    </row>
    <row r="538" ht="15.75" hidden="1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</row>
    <row r="539" ht="15.75" hidden="1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  <c r="AQ539" s="184"/>
    </row>
    <row r="540" ht="15.75" hidden="1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  <c r="AQ540" s="184"/>
    </row>
    <row r="541" ht="15.75" hidden="1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  <c r="AQ541" s="184"/>
    </row>
    <row r="542" ht="15.75" hidden="1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  <c r="AQ542" s="184"/>
    </row>
    <row r="543" ht="15.75" hidden="1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  <c r="AQ543" s="184"/>
    </row>
    <row r="544" ht="15.75" hidden="1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  <c r="AO544" s="184"/>
      <c r="AP544" s="184"/>
      <c r="AQ544" s="184"/>
    </row>
    <row r="545" ht="15.75" hidden="1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  <c r="AQ545" s="184"/>
    </row>
    <row r="546" ht="15.75" hidden="1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</row>
    <row r="547" ht="15.75" hidden="1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</row>
    <row r="548" ht="15.75" hidden="1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</row>
    <row r="549" ht="15.75" hidden="1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</row>
    <row r="550" ht="15.75" hidden="1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</row>
    <row r="551" ht="15.75" hidden="1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</row>
    <row r="552" ht="15.75" hidden="1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</row>
    <row r="553" ht="15.75" hidden="1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</row>
    <row r="554" ht="15.75" hidden="1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</row>
    <row r="555" ht="15.75" hidden="1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</row>
    <row r="556" ht="15.75" hidden="1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</row>
    <row r="557" ht="15.75" hidden="1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</row>
    <row r="558" ht="15.75" hidden="1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</row>
    <row r="559" ht="15.75" hidden="1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</row>
    <row r="560" ht="15.75" hidden="1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</row>
    <row r="561" ht="15.75" hidden="1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</row>
    <row r="562" ht="15.75" hidden="1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  <c r="AQ562" s="184"/>
    </row>
    <row r="563" ht="15.75" hidden="1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  <c r="AO563" s="184"/>
      <c r="AP563" s="184"/>
      <c r="AQ563" s="184"/>
    </row>
    <row r="564" ht="15.75" hidden="1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</row>
    <row r="565" ht="15.75" hidden="1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</row>
    <row r="566" ht="15.75" hidden="1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</row>
    <row r="567" ht="15.75" hidden="1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</row>
    <row r="568" ht="15.75" hidden="1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</row>
    <row r="569" ht="15.75" hidden="1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</row>
    <row r="570" ht="15.75" hidden="1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</row>
    <row r="571" ht="15.75" hidden="1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</row>
    <row r="572" ht="15.75" hidden="1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</row>
    <row r="573" ht="15.75" hidden="1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  <c r="AQ573" s="184"/>
    </row>
    <row r="574" ht="15.75" hidden="1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</row>
    <row r="575" ht="15.75" hidden="1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</row>
    <row r="576" ht="15.75" hidden="1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</row>
    <row r="577" ht="15.75" hidden="1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</row>
    <row r="578" ht="15.75" hidden="1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</row>
    <row r="579" ht="15.75" hidden="1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</row>
    <row r="580" ht="15.75" hidden="1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</row>
    <row r="581" ht="15.75" hidden="1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</row>
    <row r="582" ht="15.75" hidden="1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</row>
    <row r="583" ht="15.75" hidden="1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</row>
    <row r="584" ht="15.75" hidden="1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</row>
    <row r="585" ht="15.75" hidden="1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</row>
    <row r="586" ht="15.75" hidden="1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</row>
    <row r="587" ht="15.75" hidden="1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</row>
    <row r="588" ht="15.75" hidden="1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</row>
    <row r="589" ht="15.75" hidden="1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</row>
    <row r="590" ht="15.75" hidden="1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</row>
    <row r="591" ht="15.75" hidden="1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  <c r="AI591" s="184"/>
      <c r="AJ591" s="184"/>
      <c r="AK591" s="184"/>
      <c r="AL591" s="184"/>
      <c r="AM591" s="184"/>
      <c r="AN591" s="184"/>
      <c r="AO591" s="184"/>
      <c r="AP591" s="184"/>
      <c r="AQ591" s="184"/>
    </row>
    <row r="592" ht="15.75" hidden="1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  <c r="AO592" s="184"/>
      <c r="AP592" s="184"/>
      <c r="AQ592" s="184"/>
    </row>
    <row r="593" ht="15.75" hidden="1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  <c r="AQ593" s="184"/>
    </row>
    <row r="594" ht="15.75" hidden="1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</row>
    <row r="595" ht="15.75" hidden="1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</row>
    <row r="596" ht="15.75" hidden="1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</row>
    <row r="597" ht="15.75" hidden="1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</row>
    <row r="598" ht="15.75" hidden="1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</row>
    <row r="599" ht="15.75" hidden="1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</row>
    <row r="600" ht="15.75" hidden="1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</row>
    <row r="601" ht="15.75" hidden="1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</row>
    <row r="602" ht="15.75" hidden="1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</row>
    <row r="603" ht="15.75" hidden="1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</row>
    <row r="604" ht="15.75" hidden="1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</row>
    <row r="605" ht="15.75" hidden="1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</row>
    <row r="606" ht="15.75" hidden="1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</row>
    <row r="607" ht="15.75" hidden="1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</row>
    <row r="608" ht="15.75" hidden="1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</row>
    <row r="609" ht="15.75" hidden="1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</row>
    <row r="610" ht="15.75" hidden="1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  <c r="AQ610" s="184"/>
    </row>
    <row r="611" ht="15.75" hidden="1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  <c r="AQ611" s="184"/>
    </row>
    <row r="612" ht="15.75" hidden="1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  <c r="AQ612" s="184"/>
    </row>
    <row r="613" ht="15.75" hidden="1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  <c r="AO613" s="184"/>
      <c r="AP613" s="184"/>
      <c r="AQ613" s="184"/>
    </row>
    <row r="614" ht="15.75" hidden="1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  <c r="AQ614" s="184"/>
    </row>
    <row r="615" ht="15.75" hidden="1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  <c r="AQ615" s="184"/>
    </row>
    <row r="616" ht="15.75" hidden="1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  <c r="AQ616" s="184"/>
    </row>
    <row r="617" ht="15.75" hidden="1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  <c r="AQ617" s="184"/>
    </row>
    <row r="618" ht="15.75" hidden="1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</row>
    <row r="619" ht="15.75" hidden="1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</row>
    <row r="620" ht="15.75" hidden="1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</row>
    <row r="621" ht="15.75" hidden="1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</row>
    <row r="622" ht="15.75" hidden="1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</row>
    <row r="623" ht="15.75" hidden="1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</row>
    <row r="624" ht="15.75" hidden="1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</row>
    <row r="625" ht="15.75" hidden="1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</row>
    <row r="626" ht="15.75" hidden="1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</row>
    <row r="627" ht="15.75" hidden="1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  <c r="AQ627" s="184"/>
    </row>
    <row r="628" ht="15.75" hidden="1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  <c r="AQ628" s="184"/>
    </row>
    <row r="629" ht="15.75" hidden="1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</row>
    <row r="630" ht="15.75" hidden="1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</row>
    <row r="631" ht="15.75" hidden="1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  <c r="AQ631" s="184"/>
    </row>
    <row r="632" ht="15.75" hidden="1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  <c r="AQ632" s="184"/>
    </row>
    <row r="633" ht="15.75" hidden="1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  <c r="AQ633" s="184"/>
    </row>
    <row r="634" ht="15.75" hidden="1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  <c r="AO634" s="184"/>
      <c r="AP634" s="184"/>
      <c r="AQ634" s="184"/>
    </row>
    <row r="635" ht="15.75" hidden="1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  <c r="AO635" s="184"/>
      <c r="AP635" s="184"/>
      <c r="AQ635" s="184"/>
    </row>
    <row r="636" ht="15.75" hidden="1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</row>
    <row r="637" ht="15.75" hidden="1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</row>
    <row r="638" ht="15.75" hidden="1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</row>
    <row r="639" ht="15.75" hidden="1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</row>
    <row r="640" ht="15.75" hidden="1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</row>
    <row r="641" ht="15.75" hidden="1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</row>
    <row r="642" ht="15.75" hidden="1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</row>
    <row r="643" ht="15.75" hidden="1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</row>
    <row r="644" ht="15.75" hidden="1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</row>
    <row r="645" ht="15.75" hidden="1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  <c r="AO645" s="184"/>
      <c r="AP645" s="184"/>
      <c r="AQ645" s="184"/>
    </row>
    <row r="646" ht="15.75" hidden="1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  <c r="AQ646" s="184"/>
    </row>
    <row r="647" ht="15.75" hidden="1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  <c r="AQ647" s="184"/>
    </row>
    <row r="648" ht="15.75" hidden="1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  <c r="AQ648" s="184"/>
    </row>
    <row r="649" ht="15.75" hidden="1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  <c r="AQ649" s="184"/>
    </row>
    <row r="650" ht="15.75" hidden="1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  <c r="AQ650" s="184"/>
    </row>
    <row r="651" ht="15.75" hidden="1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  <c r="AO651" s="184"/>
      <c r="AP651" s="184"/>
      <c r="AQ651" s="184"/>
    </row>
    <row r="652" ht="15.75" hidden="1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  <c r="AO652" s="184"/>
      <c r="AP652" s="184"/>
      <c r="AQ652" s="184"/>
    </row>
    <row r="653" ht="15.75" hidden="1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  <c r="AO653" s="184"/>
      <c r="AP653" s="184"/>
      <c r="AQ653" s="184"/>
    </row>
    <row r="654" ht="15.75" hidden="1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</row>
    <row r="655" ht="15.75" hidden="1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</row>
    <row r="656" ht="15.75" hidden="1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</row>
    <row r="657" ht="15.75" hidden="1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</row>
    <row r="658" ht="15.75" hidden="1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</row>
    <row r="659" ht="15.75" hidden="1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</row>
    <row r="660" ht="15.75" hidden="1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</row>
    <row r="661" ht="15.75" hidden="1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</row>
    <row r="662" ht="15.75" hidden="1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</row>
    <row r="663" ht="15.75" hidden="1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  <c r="AQ663" s="184"/>
    </row>
    <row r="664" ht="15.75" hidden="1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</row>
    <row r="665" ht="15.75" hidden="1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</row>
    <row r="666" ht="15.75" hidden="1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</row>
    <row r="667" ht="15.75" hidden="1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</row>
    <row r="668" ht="15.75" hidden="1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</row>
    <row r="669" ht="15.75" hidden="1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</row>
    <row r="670" ht="15.75" hidden="1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</row>
    <row r="671" ht="15.75" hidden="1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  <c r="AQ671" s="184"/>
    </row>
    <row r="672" ht="15.75" hidden="1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</row>
    <row r="673" ht="15.75" hidden="1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</row>
    <row r="674" ht="15.75" hidden="1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</row>
    <row r="675" ht="15.75" hidden="1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</row>
    <row r="676" ht="15.75" hidden="1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</row>
    <row r="677" ht="15.75" hidden="1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</row>
    <row r="678" ht="15.75" hidden="1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</row>
    <row r="679" ht="15.75" hidden="1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</row>
    <row r="680" ht="15.75" hidden="1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</row>
    <row r="681" ht="15.75" hidden="1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  <c r="AO681" s="184"/>
      <c r="AP681" s="184"/>
      <c r="AQ681" s="184"/>
    </row>
    <row r="682" ht="15.75" hidden="1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  <c r="AO682" s="184"/>
      <c r="AP682" s="184"/>
      <c r="AQ682" s="184"/>
    </row>
    <row r="683" ht="15.75" hidden="1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  <c r="AQ683" s="184"/>
    </row>
    <row r="684" ht="15.75" hidden="1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  <c r="AO684" s="184"/>
      <c r="AP684" s="184"/>
      <c r="AQ684" s="184"/>
    </row>
    <row r="685" ht="15.75" hidden="1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  <c r="AO685" s="184"/>
      <c r="AP685" s="184"/>
      <c r="AQ685" s="184"/>
    </row>
    <row r="686" ht="15.75" hidden="1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  <c r="AQ686" s="184"/>
    </row>
    <row r="687" ht="15.75" hidden="1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</row>
    <row r="688" ht="15.75" hidden="1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</row>
    <row r="689" ht="15.75" hidden="1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</row>
    <row r="690" ht="15.75" hidden="1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</row>
    <row r="691" ht="15.75" hidden="1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</row>
    <row r="692" ht="15.75" hidden="1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</row>
    <row r="693" ht="15.75" hidden="1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</row>
    <row r="694" ht="15.75" hidden="1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</row>
    <row r="695" ht="15.75" hidden="1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</row>
    <row r="696" ht="15.75" hidden="1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  <c r="AQ696" s="184"/>
    </row>
    <row r="697" ht="15.75" hidden="1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</row>
    <row r="698" ht="15.75" hidden="1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</row>
    <row r="699" ht="15.75" hidden="1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  <c r="AQ699" s="184"/>
    </row>
    <row r="700" ht="15.75" hidden="1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  <c r="AQ700" s="184"/>
    </row>
    <row r="701" ht="15.75" hidden="1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</row>
    <row r="702" ht="15.75" hidden="1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</row>
    <row r="703" ht="15.75" hidden="1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</row>
    <row r="704" ht="15.75" hidden="1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</row>
    <row r="705" ht="15.75" hidden="1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</row>
    <row r="706" ht="15.75" hidden="1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</row>
    <row r="707" ht="15.75" hidden="1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</row>
    <row r="708" ht="15.75" hidden="1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</row>
    <row r="709" ht="15.75" hidden="1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</row>
    <row r="710" ht="15.75" hidden="1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</row>
    <row r="711" ht="15.75" hidden="1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</row>
    <row r="712" ht="15.75" hidden="1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</row>
    <row r="713" ht="15.75" hidden="1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</row>
    <row r="714" ht="15.75" hidden="1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</row>
    <row r="715" ht="15.75" hidden="1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</row>
    <row r="716" ht="15.75" hidden="1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</row>
    <row r="717" ht="15.75" hidden="1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  <c r="AQ717" s="184"/>
    </row>
    <row r="718" ht="15.75" hidden="1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</row>
    <row r="719" ht="15.75" hidden="1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</row>
    <row r="720" ht="15.75" hidden="1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  <c r="AQ720" s="184"/>
    </row>
    <row r="721" ht="15.75" hidden="1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  <c r="AQ721" s="184"/>
    </row>
    <row r="722" ht="15.75" hidden="1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  <c r="AQ722" s="184"/>
    </row>
    <row r="723" ht="15.75" hidden="1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  <c r="AQ723" s="184"/>
    </row>
    <row r="724" ht="15.75" hidden="1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  <c r="AO724" s="184"/>
      <c r="AP724" s="184"/>
      <c r="AQ724" s="184"/>
    </row>
    <row r="725" ht="15.75" hidden="1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  <c r="AO725" s="184"/>
      <c r="AP725" s="184"/>
      <c r="AQ725" s="184"/>
    </row>
    <row r="726" ht="15.75" hidden="1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</row>
    <row r="727" ht="15.75" hidden="1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</row>
    <row r="728" ht="15.75" hidden="1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</row>
    <row r="729" ht="15.75" hidden="1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</row>
    <row r="730" ht="15.75" hidden="1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</row>
    <row r="731" ht="15.75" hidden="1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</row>
    <row r="732" ht="15.75" hidden="1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</row>
    <row r="733" ht="15.75" hidden="1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</row>
    <row r="734" ht="15.75" hidden="1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</row>
    <row r="735" ht="15.75" hidden="1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  <c r="AI735" s="184"/>
      <c r="AJ735" s="184"/>
      <c r="AK735" s="184"/>
      <c r="AL735" s="184"/>
      <c r="AM735" s="184"/>
      <c r="AN735" s="184"/>
      <c r="AO735" s="184"/>
      <c r="AP735" s="184"/>
      <c r="AQ735" s="184"/>
    </row>
    <row r="736" ht="15.75" hidden="1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  <c r="AO736" s="184"/>
      <c r="AP736" s="184"/>
      <c r="AQ736" s="184"/>
    </row>
    <row r="737" ht="15.75" hidden="1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  <c r="AO737" s="184"/>
      <c r="AP737" s="184"/>
      <c r="AQ737" s="184"/>
    </row>
    <row r="738" ht="15.75" hidden="1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  <c r="AO738" s="184"/>
      <c r="AP738" s="184"/>
      <c r="AQ738" s="184"/>
    </row>
    <row r="739" ht="15.75" hidden="1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  <c r="AO739" s="184"/>
      <c r="AP739" s="184"/>
      <c r="AQ739" s="184"/>
    </row>
    <row r="740" ht="15.75" hidden="1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  <c r="AO740" s="184"/>
      <c r="AP740" s="184"/>
      <c r="AQ740" s="184"/>
    </row>
    <row r="741" ht="15.75" hidden="1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  <c r="AO741" s="184"/>
      <c r="AP741" s="184"/>
      <c r="AQ741" s="184"/>
    </row>
    <row r="742" ht="15.75" hidden="1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  <c r="AQ742" s="184"/>
    </row>
    <row r="743" ht="15.75" hidden="1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  <c r="AO743" s="184"/>
      <c r="AP743" s="184"/>
      <c r="AQ743" s="184"/>
    </row>
    <row r="744" ht="15.75" hidden="1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</row>
    <row r="745" ht="15.75" hidden="1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  <c r="AO745" s="184"/>
      <c r="AP745" s="184"/>
      <c r="AQ745" s="184"/>
    </row>
    <row r="746" ht="15.75" hidden="1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  <c r="AO746" s="184"/>
      <c r="AP746" s="184"/>
      <c r="AQ746" s="184"/>
    </row>
    <row r="747" ht="15.75" hidden="1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  <c r="AO747" s="184"/>
      <c r="AP747" s="184"/>
      <c r="AQ747" s="184"/>
    </row>
    <row r="748" ht="15.75" hidden="1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  <c r="AO748" s="184"/>
      <c r="AP748" s="184"/>
      <c r="AQ748" s="184"/>
    </row>
    <row r="749" ht="15.75" hidden="1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  <c r="AO749" s="184"/>
      <c r="AP749" s="184"/>
      <c r="AQ749" s="184"/>
    </row>
    <row r="750" ht="15.75" hidden="1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  <c r="AO750" s="184"/>
      <c r="AP750" s="184"/>
      <c r="AQ750" s="184"/>
    </row>
    <row r="751" ht="15.75" hidden="1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  <c r="AO751" s="184"/>
      <c r="AP751" s="184"/>
      <c r="AQ751" s="184"/>
    </row>
    <row r="752" ht="15.75" hidden="1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</row>
    <row r="753" ht="15.75" hidden="1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  <c r="AI753" s="184"/>
      <c r="AJ753" s="184"/>
      <c r="AK753" s="184"/>
      <c r="AL753" s="184"/>
      <c r="AM753" s="184"/>
      <c r="AN753" s="184"/>
      <c r="AO753" s="184"/>
      <c r="AP753" s="184"/>
      <c r="AQ753" s="184"/>
    </row>
    <row r="754" ht="15.75" hidden="1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  <c r="AI754" s="184"/>
      <c r="AJ754" s="184"/>
      <c r="AK754" s="184"/>
      <c r="AL754" s="184"/>
      <c r="AM754" s="184"/>
      <c r="AN754" s="184"/>
      <c r="AO754" s="184"/>
      <c r="AP754" s="184"/>
      <c r="AQ754" s="184"/>
    </row>
    <row r="755" ht="15.75" hidden="1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  <c r="AO755" s="184"/>
      <c r="AP755" s="184"/>
      <c r="AQ755" s="184"/>
    </row>
    <row r="756" ht="15.75" hidden="1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  <c r="AO756" s="184"/>
      <c r="AP756" s="184"/>
      <c r="AQ756" s="184"/>
    </row>
    <row r="757" ht="15.75" hidden="1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  <c r="AO757" s="184"/>
      <c r="AP757" s="184"/>
      <c r="AQ757" s="184"/>
    </row>
    <row r="758" ht="15.75" hidden="1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  <c r="AO758" s="184"/>
      <c r="AP758" s="184"/>
      <c r="AQ758" s="184"/>
    </row>
    <row r="759" ht="15.75" hidden="1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  <c r="AO759" s="184"/>
      <c r="AP759" s="184"/>
      <c r="AQ759" s="184"/>
    </row>
    <row r="760" ht="15.75" hidden="1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  <c r="AO760" s="184"/>
      <c r="AP760" s="184"/>
      <c r="AQ760" s="184"/>
    </row>
    <row r="761" ht="15.75" hidden="1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  <c r="AO761" s="184"/>
      <c r="AP761" s="184"/>
      <c r="AQ761" s="184"/>
    </row>
    <row r="762" ht="15.75" hidden="1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  <c r="AO762" s="184"/>
      <c r="AP762" s="184"/>
      <c r="AQ762" s="184"/>
    </row>
    <row r="763" ht="15.75" hidden="1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  <c r="AO763" s="184"/>
      <c r="AP763" s="184"/>
      <c r="AQ763" s="184"/>
    </row>
    <row r="764" ht="15.75" hidden="1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  <c r="AI764" s="184"/>
      <c r="AJ764" s="184"/>
      <c r="AK764" s="184"/>
      <c r="AL764" s="184"/>
      <c r="AM764" s="184"/>
      <c r="AN764" s="184"/>
      <c r="AO764" s="184"/>
      <c r="AP764" s="184"/>
      <c r="AQ764" s="184"/>
    </row>
    <row r="765" ht="15.75" hidden="1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  <c r="AI765" s="184"/>
      <c r="AJ765" s="184"/>
      <c r="AK765" s="184"/>
      <c r="AL765" s="184"/>
      <c r="AM765" s="184"/>
      <c r="AN765" s="184"/>
      <c r="AO765" s="184"/>
      <c r="AP765" s="184"/>
      <c r="AQ765" s="184"/>
    </row>
    <row r="766" ht="15.75" hidden="1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  <c r="AQ766" s="184"/>
    </row>
    <row r="767" ht="15.75" hidden="1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  <c r="AO767" s="184"/>
      <c r="AP767" s="184"/>
      <c r="AQ767" s="184"/>
    </row>
    <row r="768" ht="15.75" hidden="1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  <c r="AO768" s="184"/>
      <c r="AP768" s="184"/>
      <c r="AQ768" s="184"/>
    </row>
    <row r="769" ht="15.75" hidden="1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  <c r="AO769" s="184"/>
      <c r="AP769" s="184"/>
      <c r="AQ769" s="184"/>
    </row>
    <row r="770" ht="15.75" hidden="1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  <c r="AQ770" s="184"/>
    </row>
    <row r="771" ht="15.75" hidden="1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  <c r="AO771" s="184"/>
      <c r="AP771" s="184"/>
      <c r="AQ771" s="184"/>
    </row>
    <row r="772" ht="15.75" hidden="1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  <c r="AO772" s="184"/>
      <c r="AP772" s="184"/>
      <c r="AQ772" s="184"/>
    </row>
    <row r="773" ht="15.75" hidden="1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  <c r="AO773" s="184"/>
      <c r="AP773" s="184"/>
      <c r="AQ773" s="184"/>
    </row>
    <row r="774" ht="15.75" hidden="1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  <c r="AO774" s="184"/>
      <c r="AP774" s="184"/>
      <c r="AQ774" s="184"/>
    </row>
    <row r="775" ht="15.75" hidden="1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  <c r="AO775" s="184"/>
      <c r="AP775" s="184"/>
      <c r="AQ775" s="184"/>
    </row>
    <row r="776" ht="15.75" hidden="1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  <c r="AO776" s="184"/>
      <c r="AP776" s="184"/>
      <c r="AQ776" s="184"/>
    </row>
    <row r="777" ht="15.75" hidden="1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  <c r="AO777" s="184"/>
      <c r="AP777" s="184"/>
      <c r="AQ777" s="184"/>
    </row>
    <row r="778" ht="15.75" hidden="1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  <c r="AQ778" s="184"/>
    </row>
    <row r="779" ht="15.75" hidden="1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  <c r="AO779" s="184"/>
      <c r="AP779" s="184"/>
      <c r="AQ779" s="184"/>
    </row>
    <row r="780" ht="15.75" hidden="1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</row>
    <row r="781" ht="15.75" hidden="1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</row>
    <row r="782" ht="15.75" hidden="1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</row>
    <row r="783" ht="15.75" hidden="1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  <c r="AQ783" s="184"/>
    </row>
    <row r="784" ht="15.75" hidden="1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</row>
    <row r="785" ht="15.75" hidden="1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</row>
    <row r="786" ht="15.75" hidden="1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</row>
    <row r="787" ht="15.75" hidden="1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</row>
    <row r="788" ht="15.75" hidden="1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</row>
    <row r="789" ht="15.75" hidden="1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  <c r="AO789" s="184"/>
      <c r="AP789" s="184"/>
      <c r="AQ789" s="184"/>
    </row>
    <row r="790" ht="15.75" hidden="1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  <c r="AO790" s="184"/>
      <c r="AP790" s="184"/>
      <c r="AQ790" s="184"/>
    </row>
    <row r="791" ht="15.75" hidden="1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  <c r="AQ791" s="184"/>
    </row>
    <row r="792" ht="15.75" hidden="1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  <c r="AQ792" s="184"/>
    </row>
    <row r="793" ht="15.75" hidden="1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  <c r="AO793" s="184"/>
      <c r="AP793" s="184"/>
      <c r="AQ793" s="184"/>
    </row>
    <row r="794" ht="15.75" hidden="1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</row>
    <row r="795" ht="15.75" hidden="1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</row>
    <row r="796" ht="15.75" hidden="1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</row>
    <row r="797" ht="15.75" hidden="1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</row>
    <row r="798" ht="15.75" hidden="1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</row>
    <row r="799" ht="15.75" hidden="1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</row>
    <row r="800" ht="15.75" hidden="1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</row>
    <row r="801" ht="15.75" hidden="1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</row>
    <row r="802" ht="15.75" hidden="1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</row>
    <row r="803" ht="15.75" hidden="1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  <c r="AQ803" s="184"/>
    </row>
    <row r="804" ht="15.75" hidden="1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  <c r="AQ804" s="184"/>
    </row>
    <row r="805" ht="15.75" hidden="1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  <c r="AQ805" s="184"/>
    </row>
    <row r="806" ht="15.75" hidden="1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</row>
    <row r="807" ht="15.75" hidden="1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  <c r="AI807" s="184"/>
      <c r="AJ807" s="184"/>
      <c r="AK807" s="184"/>
      <c r="AL807" s="184"/>
      <c r="AM807" s="184"/>
      <c r="AN807" s="184"/>
      <c r="AO807" s="184"/>
      <c r="AP807" s="184"/>
      <c r="AQ807" s="184"/>
    </row>
    <row r="808" ht="15.75" hidden="1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  <c r="AI808" s="184"/>
      <c r="AJ808" s="184"/>
      <c r="AK808" s="184"/>
      <c r="AL808" s="184"/>
      <c r="AM808" s="184"/>
      <c r="AN808" s="184"/>
      <c r="AO808" s="184"/>
      <c r="AP808" s="184"/>
      <c r="AQ808" s="184"/>
    </row>
    <row r="809" ht="15.75" hidden="1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  <c r="AI809" s="184"/>
      <c r="AJ809" s="184"/>
      <c r="AK809" s="184"/>
      <c r="AL809" s="184"/>
      <c r="AM809" s="184"/>
      <c r="AN809" s="184"/>
      <c r="AO809" s="184"/>
      <c r="AP809" s="184"/>
      <c r="AQ809" s="184"/>
    </row>
    <row r="810" ht="15.75" hidden="1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  <c r="AI810" s="184"/>
      <c r="AJ810" s="184"/>
      <c r="AK810" s="184"/>
      <c r="AL810" s="184"/>
      <c r="AM810" s="184"/>
      <c r="AN810" s="184"/>
      <c r="AO810" s="184"/>
      <c r="AP810" s="184"/>
      <c r="AQ810" s="184"/>
    </row>
    <row r="811" ht="15.75" hidden="1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  <c r="AI811" s="184"/>
      <c r="AJ811" s="184"/>
      <c r="AK811" s="184"/>
      <c r="AL811" s="184"/>
      <c r="AM811" s="184"/>
      <c r="AN811" s="184"/>
      <c r="AO811" s="184"/>
      <c r="AP811" s="184"/>
      <c r="AQ811" s="184"/>
    </row>
    <row r="812" ht="15.75" hidden="1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  <c r="AI812" s="184"/>
      <c r="AJ812" s="184"/>
      <c r="AK812" s="184"/>
      <c r="AL812" s="184"/>
      <c r="AM812" s="184"/>
      <c r="AN812" s="184"/>
      <c r="AO812" s="184"/>
      <c r="AP812" s="184"/>
      <c r="AQ812" s="184"/>
    </row>
    <row r="813" ht="15.75" hidden="1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  <c r="AO813" s="184"/>
      <c r="AP813" s="184"/>
      <c r="AQ813" s="184"/>
    </row>
    <row r="814" ht="15.75" hidden="1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  <c r="AO814" s="184"/>
      <c r="AP814" s="184"/>
      <c r="AQ814" s="184"/>
    </row>
    <row r="815" ht="15.75" hidden="1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  <c r="AQ815" s="184"/>
    </row>
    <row r="816" ht="15.75" hidden="1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  <c r="AO816" s="184"/>
      <c r="AP816" s="184"/>
      <c r="AQ816" s="184"/>
    </row>
    <row r="817" ht="15.75" hidden="1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</row>
    <row r="818" ht="15.75" hidden="1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  <c r="AO818" s="184"/>
      <c r="AP818" s="184"/>
      <c r="AQ818" s="184"/>
    </row>
    <row r="819" ht="15.75" hidden="1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  <c r="AO819" s="184"/>
      <c r="AP819" s="184"/>
      <c r="AQ819" s="184"/>
    </row>
    <row r="820" ht="15.75" hidden="1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  <c r="AQ820" s="184"/>
    </row>
    <row r="821" ht="15.75" hidden="1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  <c r="AO821" s="184"/>
      <c r="AP821" s="184"/>
      <c r="AQ821" s="184"/>
    </row>
    <row r="822" ht="15.75" hidden="1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  <c r="AI822" s="184"/>
      <c r="AJ822" s="184"/>
      <c r="AK822" s="184"/>
      <c r="AL822" s="184"/>
      <c r="AM822" s="184"/>
      <c r="AN822" s="184"/>
      <c r="AO822" s="184"/>
      <c r="AP822" s="184"/>
      <c r="AQ822" s="184"/>
    </row>
    <row r="823" ht="15.75" hidden="1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  <c r="AI823" s="184"/>
      <c r="AJ823" s="184"/>
      <c r="AK823" s="184"/>
      <c r="AL823" s="184"/>
      <c r="AM823" s="184"/>
      <c r="AN823" s="184"/>
      <c r="AO823" s="184"/>
      <c r="AP823" s="184"/>
      <c r="AQ823" s="184"/>
    </row>
    <row r="824" ht="15.75" hidden="1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  <c r="AO824" s="184"/>
      <c r="AP824" s="184"/>
      <c r="AQ824" s="184"/>
    </row>
    <row r="825" ht="15.75" hidden="1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  <c r="AI825" s="184"/>
      <c r="AJ825" s="184"/>
      <c r="AK825" s="184"/>
      <c r="AL825" s="184"/>
      <c r="AM825" s="184"/>
      <c r="AN825" s="184"/>
      <c r="AO825" s="184"/>
      <c r="AP825" s="184"/>
      <c r="AQ825" s="184"/>
    </row>
    <row r="826" ht="15.75" hidden="1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  <c r="AI826" s="184"/>
      <c r="AJ826" s="184"/>
      <c r="AK826" s="184"/>
      <c r="AL826" s="184"/>
      <c r="AM826" s="184"/>
      <c r="AN826" s="184"/>
      <c r="AO826" s="184"/>
      <c r="AP826" s="184"/>
      <c r="AQ826" s="184"/>
    </row>
    <row r="827" ht="15.75" hidden="1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  <c r="AI827" s="184"/>
      <c r="AJ827" s="184"/>
      <c r="AK827" s="184"/>
      <c r="AL827" s="184"/>
      <c r="AM827" s="184"/>
      <c r="AN827" s="184"/>
      <c r="AO827" s="184"/>
      <c r="AP827" s="184"/>
      <c r="AQ827" s="184"/>
    </row>
    <row r="828" ht="15.75" hidden="1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  <c r="AI828" s="184"/>
      <c r="AJ828" s="184"/>
      <c r="AK828" s="184"/>
      <c r="AL828" s="184"/>
      <c r="AM828" s="184"/>
      <c r="AN828" s="184"/>
      <c r="AO828" s="184"/>
      <c r="AP828" s="184"/>
      <c r="AQ828" s="184"/>
    </row>
    <row r="829" ht="15.75" hidden="1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  <c r="AI829" s="184"/>
      <c r="AJ829" s="184"/>
      <c r="AK829" s="184"/>
      <c r="AL829" s="184"/>
      <c r="AM829" s="184"/>
      <c r="AN829" s="184"/>
      <c r="AO829" s="184"/>
      <c r="AP829" s="184"/>
      <c r="AQ829" s="184"/>
    </row>
    <row r="830" ht="15.75" hidden="1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  <c r="AI830" s="184"/>
      <c r="AJ830" s="184"/>
      <c r="AK830" s="184"/>
      <c r="AL830" s="184"/>
      <c r="AM830" s="184"/>
      <c r="AN830" s="184"/>
      <c r="AO830" s="184"/>
      <c r="AP830" s="184"/>
      <c r="AQ830" s="184"/>
    </row>
    <row r="831" ht="15.75" hidden="1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  <c r="AI831" s="184"/>
      <c r="AJ831" s="184"/>
      <c r="AK831" s="184"/>
      <c r="AL831" s="184"/>
      <c r="AM831" s="184"/>
      <c r="AN831" s="184"/>
      <c r="AO831" s="184"/>
      <c r="AP831" s="184"/>
      <c r="AQ831" s="184"/>
    </row>
    <row r="832" ht="15.75" hidden="1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  <c r="AI832" s="184"/>
      <c r="AJ832" s="184"/>
      <c r="AK832" s="184"/>
      <c r="AL832" s="184"/>
      <c r="AM832" s="184"/>
      <c r="AN832" s="184"/>
      <c r="AO832" s="184"/>
      <c r="AP832" s="184"/>
      <c r="AQ832" s="184"/>
    </row>
    <row r="833" ht="15.75" hidden="1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  <c r="AI833" s="184"/>
      <c r="AJ833" s="184"/>
      <c r="AK833" s="184"/>
      <c r="AL833" s="184"/>
      <c r="AM833" s="184"/>
      <c r="AN833" s="184"/>
      <c r="AO833" s="184"/>
      <c r="AP833" s="184"/>
      <c r="AQ833" s="184"/>
    </row>
    <row r="834" ht="15.75" hidden="1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  <c r="AQ834" s="184"/>
    </row>
    <row r="835" ht="15.75" hidden="1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</row>
    <row r="836" ht="15.75" hidden="1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</row>
    <row r="837" ht="15.75" hidden="1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  <c r="AQ837" s="184"/>
    </row>
    <row r="838" ht="15.75" hidden="1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</row>
    <row r="839" ht="15.75" hidden="1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</row>
    <row r="840" ht="15.75" hidden="1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</row>
    <row r="841" ht="15.75" hidden="1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</row>
    <row r="842" ht="15.75" hidden="1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</row>
    <row r="843" ht="15.75" hidden="1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</row>
    <row r="844" ht="15.75" hidden="1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</row>
    <row r="845" ht="15.75" hidden="1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</row>
    <row r="846" ht="15.75" hidden="1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</row>
    <row r="847" ht="15.75" hidden="1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</row>
    <row r="848" ht="15.75" hidden="1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</row>
    <row r="849" ht="15.75" hidden="1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</row>
    <row r="850" ht="15.75" hidden="1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</row>
    <row r="851" ht="15.75" hidden="1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</row>
    <row r="852" ht="15.75" hidden="1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</row>
    <row r="853" ht="15.75" hidden="1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</row>
    <row r="854" ht="15.75" hidden="1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</row>
    <row r="855" ht="15.75" hidden="1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  <c r="AQ855" s="184"/>
    </row>
    <row r="856" ht="15.75" hidden="1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  <c r="AQ856" s="184"/>
    </row>
    <row r="857" ht="15.75" hidden="1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  <c r="AO857" s="184"/>
      <c r="AP857" s="184"/>
      <c r="AQ857" s="184"/>
    </row>
    <row r="858" ht="15.75" hidden="1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  <c r="AO858" s="184"/>
      <c r="AP858" s="184"/>
      <c r="AQ858" s="184"/>
    </row>
    <row r="859" ht="15.75" hidden="1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  <c r="AO859" s="184"/>
      <c r="AP859" s="184"/>
      <c r="AQ859" s="184"/>
    </row>
    <row r="860" ht="15.75" hidden="1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</row>
    <row r="861" ht="15.75" hidden="1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  <c r="AO861" s="184"/>
      <c r="AP861" s="184"/>
      <c r="AQ861" s="184"/>
    </row>
    <row r="862" ht="15.75" hidden="1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  <c r="AO862" s="184"/>
      <c r="AP862" s="184"/>
      <c r="AQ862" s="184"/>
    </row>
    <row r="863" ht="15.75" hidden="1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  <c r="AO863" s="184"/>
      <c r="AP863" s="184"/>
      <c r="AQ863" s="184"/>
    </row>
    <row r="864" ht="15.75" hidden="1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  <c r="AQ864" s="184"/>
    </row>
    <row r="865" ht="15.75" hidden="1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</row>
    <row r="866" ht="15.75" hidden="1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</row>
    <row r="867" ht="15.75" hidden="1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</row>
    <row r="868" ht="15.75" hidden="1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</row>
    <row r="869" ht="15.75" hidden="1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</row>
    <row r="870" ht="15.75" hidden="1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</row>
    <row r="871" ht="15.75" hidden="1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</row>
    <row r="872" ht="15.75" hidden="1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</row>
    <row r="873" ht="15.75" hidden="1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</row>
    <row r="874" ht="15.75" hidden="1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</row>
    <row r="875" ht="15.75" hidden="1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</row>
    <row r="876" ht="15.75" hidden="1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</row>
    <row r="877" ht="15.75" hidden="1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</row>
    <row r="878" ht="15.75" hidden="1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</row>
    <row r="879" ht="15.75" hidden="1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  <c r="AO879" s="184"/>
      <c r="AP879" s="184"/>
      <c r="AQ879" s="184"/>
    </row>
    <row r="880" ht="15.75" hidden="1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  <c r="AO880" s="184"/>
      <c r="AP880" s="184"/>
      <c r="AQ880" s="184"/>
    </row>
    <row r="881" ht="15.75" hidden="1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  <c r="AI881" s="184"/>
      <c r="AJ881" s="184"/>
      <c r="AK881" s="184"/>
      <c r="AL881" s="184"/>
      <c r="AM881" s="184"/>
      <c r="AN881" s="184"/>
      <c r="AO881" s="184"/>
      <c r="AP881" s="184"/>
      <c r="AQ881" s="184"/>
    </row>
    <row r="882" ht="15.75" hidden="1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  <c r="AI882" s="184"/>
      <c r="AJ882" s="184"/>
      <c r="AK882" s="184"/>
      <c r="AL882" s="184"/>
      <c r="AM882" s="184"/>
      <c r="AN882" s="184"/>
      <c r="AO882" s="184"/>
      <c r="AP882" s="184"/>
      <c r="AQ882" s="184"/>
    </row>
    <row r="883" ht="15.75" hidden="1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  <c r="AI883" s="184"/>
      <c r="AJ883" s="184"/>
      <c r="AK883" s="184"/>
      <c r="AL883" s="184"/>
      <c r="AM883" s="184"/>
      <c r="AN883" s="184"/>
      <c r="AO883" s="184"/>
      <c r="AP883" s="184"/>
      <c r="AQ883" s="184"/>
    </row>
    <row r="884" ht="15.75" hidden="1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  <c r="AI884" s="184"/>
      <c r="AJ884" s="184"/>
      <c r="AK884" s="184"/>
      <c r="AL884" s="184"/>
      <c r="AM884" s="184"/>
      <c r="AN884" s="184"/>
      <c r="AO884" s="184"/>
      <c r="AP884" s="184"/>
      <c r="AQ884" s="184"/>
    </row>
    <row r="885" ht="15.75" hidden="1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  <c r="AI885" s="184"/>
      <c r="AJ885" s="184"/>
      <c r="AK885" s="184"/>
      <c r="AL885" s="184"/>
      <c r="AM885" s="184"/>
      <c r="AN885" s="184"/>
      <c r="AO885" s="184"/>
      <c r="AP885" s="184"/>
      <c r="AQ885" s="184"/>
    </row>
    <row r="886" ht="15.75" hidden="1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  <c r="AI886" s="184"/>
      <c r="AJ886" s="184"/>
      <c r="AK886" s="184"/>
      <c r="AL886" s="184"/>
      <c r="AM886" s="184"/>
      <c r="AN886" s="184"/>
      <c r="AO886" s="184"/>
      <c r="AP886" s="184"/>
      <c r="AQ886" s="184"/>
    </row>
    <row r="887" ht="15.75" hidden="1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4"/>
      <c r="AI887" s="184"/>
      <c r="AJ887" s="184"/>
      <c r="AK887" s="184"/>
      <c r="AL887" s="184"/>
      <c r="AM887" s="184"/>
      <c r="AN887" s="184"/>
      <c r="AO887" s="184"/>
      <c r="AP887" s="184"/>
      <c r="AQ887" s="184"/>
    </row>
    <row r="888" ht="15.75" hidden="1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4"/>
      <c r="AI888" s="184"/>
      <c r="AJ888" s="184"/>
      <c r="AK888" s="184"/>
      <c r="AL888" s="184"/>
      <c r="AM888" s="184"/>
      <c r="AN888" s="184"/>
      <c r="AO888" s="184"/>
      <c r="AP888" s="184"/>
      <c r="AQ888" s="184"/>
    </row>
    <row r="889" ht="15.75" hidden="1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4"/>
      <c r="AI889" s="184"/>
      <c r="AJ889" s="184"/>
      <c r="AK889" s="184"/>
      <c r="AL889" s="184"/>
      <c r="AM889" s="184"/>
      <c r="AN889" s="184"/>
      <c r="AO889" s="184"/>
      <c r="AP889" s="184"/>
      <c r="AQ889" s="184"/>
    </row>
    <row r="890" ht="15.75" hidden="1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4"/>
      <c r="AI890" s="184"/>
      <c r="AJ890" s="184"/>
      <c r="AK890" s="184"/>
      <c r="AL890" s="184"/>
      <c r="AM890" s="184"/>
      <c r="AN890" s="184"/>
      <c r="AO890" s="184"/>
      <c r="AP890" s="184"/>
      <c r="AQ890" s="184"/>
    </row>
    <row r="891" ht="15.75" hidden="1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  <c r="AI891" s="184"/>
      <c r="AJ891" s="184"/>
      <c r="AK891" s="184"/>
      <c r="AL891" s="184"/>
      <c r="AM891" s="184"/>
      <c r="AN891" s="184"/>
      <c r="AO891" s="184"/>
      <c r="AP891" s="184"/>
      <c r="AQ891" s="184"/>
    </row>
    <row r="892" ht="15.75" hidden="1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4"/>
      <c r="AI892" s="184"/>
      <c r="AJ892" s="184"/>
      <c r="AK892" s="184"/>
      <c r="AL892" s="184"/>
      <c r="AM892" s="184"/>
      <c r="AN892" s="184"/>
      <c r="AO892" s="184"/>
      <c r="AP892" s="184"/>
      <c r="AQ892" s="184"/>
    </row>
    <row r="893" ht="15.75" hidden="1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4"/>
      <c r="AI893" s="184"/>
      <c r="AJ893" s="184"/>
      <c r="AK893" s="184"/>
      <c r="AL893" s="184"/>
      <c r="AM893" s="184"/>
      <c r="AN893" s="184"/>
      <c r="AO893" s="184"/>
      <c r="AP893" s="184"/>
      <c r="AQ893" s="184"/>
    </row>
    <row r="894" ht="15.75" hidden="1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4"/>
      <c r="AI894" s="184"/>
      <c r="AJ894" s="184"/>
      <c r="AK894" s="184"/>
      <c r="AL894" s="184"/>
      <c r="AM894" s="184"/>
      <c r="AN894" s="184"/>
      <c r="AO894" s="184"/>
      <c r="AP894" s="184"/>
      <c r="AQ894" s="184"/>
    </row>
    <row r="895" ht="15.75" hidden="1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4"/>
      <c r="AI895" s="184"/>
      <c r="AJ895" s="184"/>
      <c r="AK895" s="184"/>
      <c r="AL895" s="184"/>
      <c r="AM895" s="184"/>
      <c r="AN895" s="184"/>
      <c r="AO895" s="184"/>
      <c r="AP895" s="184"/>
      <c r="AQ895" s="184"/>
    </row>
    <row r="896" ht="15.75" hidden="1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  <c r="AO896" s="184"/>
      <c r="AP896" s="184"/>
      <c r="AQ896" s="184"/>
    </row>
    <row r="897" ht="15.75" hidden="1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4"/>
      <c r="AI897" s="184"/>
      <c r="AJ897" s="184"/>
      <c r="AK897" s="184"/>
      <c r="AL897" s="184"/>
      <c r="AM897" s="184"/>
      <c r="AN897" s="184"/>
      <c r="AO897" s="184"/>
      <c r="AP897" s="184"/>
      <c r="AQ897" s="184"/>
    </row>
    <row r="898" ht="15.75" hidden="1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4"/>
      <c r="AI898" s="184"/>
      <c r="AJ898" s="184"/>
      <c r="AK898" s="184"/>
      <c r="AL898" s="184"/>
      <c r="AM898" s="184"/>
      <c r="AN898" s="184"/>
      <c r="AO898" s="184"/>
      <c r="AP898" s="184"/>
      <c r="AQ898" s="184"/>
    </row>
    <row r="899" ht="15.75" hidden="1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4"/>
      <c r="AI899" s="184"/>
      <c r="AJ899" s="184"/>
      <c r="AK899" s="184"/>
      <c r="AL899" s="184"/>
      <c r="AM899" s="184"/>
      <c r="AN899" s="184"/>
      <c r="AO899" s="184"/>
      <c r="AP899" s="184"/>
      <c r="AQ899" s="184"/>
    </row>
    <row r="900" ht="15.75" hidden="1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4"/>
      <c r="AI900" s="184"/>
      <c r="AJ900" s="184"/>
      <c r="AK900" s="184"/>
      <c r="AL900" s="184"/>
      <c r="AM900" s="184"/>
      <c r="AN900" s="184"/>
      <c r="AO900" s="184"/>
      <c r="AP900" s="184"/>
      <c r="AQ900" s="184"/>
    </row>
    <row r="901" ht="15.75" hidden="1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4"/>
      <c r="AI901" s="184"/>
      <c r="AJ901" s="184"/>
      <c r="AK901" s="184"/>
      <c r="AL901" s="184"/>
      <c r="AM901" s="184"/>
      <c r="AN901" s="184"/>
      <c r="AO901" s="184"/>
      <c r="AP901" s="184"/>
      <c r="AQ901" s="184"/>
    </row>
    <row r="902" ht="15.75" hidden="1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4"/>
      <c r="AI902" s="184"/>
      <c r="AJ902" s="184"/>
      <c r="AK902" s="184"/>
      <c r="AL902" s="184"/>
      <c r="AM902" s="184"/>
      <c r="AN902" s="184"/>
      <c r="AO902" s="184"/>
      <c r="AP902" s="184"/>
      <c r="AQ902" s="184"/>
    </row>
    <row r="903" ht="15.75" hidden="1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4"/>
      <c r="AI903" s="184"/>
      <c r="AJ903" s="184"/>
      <c r="AK903" s="184"/>
      <c r="AL903" s="184"/>
      <c r="AM903" s="184"/>
      <c r="AN903" s="184"/>
      <c r="AO903" s="184"/>
      <c r="AP903" s="184"/>
      <c r="AQ903" s="184"/>
    </row>
    <row r="904" ht="15.75" hidden="1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4"/>
      <c r="AI904" s="184"/>
      <c r="AJ904" s="184"/>
      <c r="AK904" s="184"/>
      <c r="AL904" s="184"/>
      <c r="AM904" s="184"/>
      <c r="AN904" s="184"/>
      <c r="AO904" s="184"/>
      <c r="AP904" s="184"/>
      <c r="AQ904" s="184"/>
    </row>
    <row r="905" ht="15.75" hidden="1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4"/>
      <c r="AI905" s="184"/>
      <c r="AJ905" s="184"/>
      <c r="AK905" s="184"/>
      <c r="AL905" s="184"/>
      <c r="AM905" s="184"/>
      <c r="AN905" s="184"/>
      <c r="AO905" s="184"/>
      <c r="AP905" s="184"/>
      <c r="AQ905" s="184"/>
    </row>
    <row r="906" ht="15.75" hidden="1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  <c r="AQ906" s="184"/>
    </row>
    <row r="907" ht="15.75" hidden="1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  <c r="AQ907" s="184"/>
    </row>
    <row r="908" ht="15.75" hidden="1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  <c r="AQ908" s="184"/>
    </row>
    <row r="909" ht="15.75" hidden="1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</row>
    <row r="910" ht="15.75" hidden="1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</row>
    <row r="911" ht="15.75" hidden="1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  <c r="AQ911" s="184"/>
    </row>
    <row r="912" ht="15.75" hidden="1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  <c r="AQ912" s="184"/>
    </row>
    <row r="913" ht="15.75" hidden="1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  <c r="AQ913" s="184"/>
    </row>
    <row r="914" ht="15.75" hidden="1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</row>
    <row r="915" ht="15.75" hidden="1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  <c r="AI915" s="184"/>
      <c r="AJ915" s="184"/>
      <c r="AK915" s="184"/>
      <c r="AL915" s="184"/>
      <c r="AM915" s="184"/>
      <c r="AN915" s="184"/>
      <c r="AO915" s="184"/>
      <c r="AP915" s="184"/>
      <c r="AQ915" s="184"/>
    </row>
    <row r="916" ht="15.75" hidden="1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  <c r="AI916" s="184"/>
      <c r="AJ916" s="184"/>
      <c r="AK916" s="184"/>
      <c r="AL916" s="184"/>
      <c r="AM916" s="184"/>
      <c r="AN916" s="184"/>
      <c r="AO916" s="184"/>
      <c r="AP916" s="184"/>
      <c r="AQ916" s="184"/>
    </row>
    <row r="917" ht="15.75" hidden="1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  <c r="AI917" s="184"/>
      <c r="AJ917" s="184"/>
      <c r="AK917" s="184"/>
      <c r="AL917" s="184"/>
      <c r="AM917" s="184"/>
      <c r="AN917" s="184"/>
      <c r="AO917" s="184"/>
      <c r="AP917" s="184"/>
      <c r="AQ917" s="184"/>
    </row>
    <row r="918" ht="15.75" hidden="1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  <c r="AI918" s="184"/>
      <c r="AJ918" s="184"/>
      <c r="AK918" s="184"/>
      <c r="AL918" s="184"/>
      <c r="AM918" s="184"/>
      <c r="AN918" s="184"/>
      <c r="AO918" s="184"/>
      <c r="AP918" s="184"/>
      <c r="AQ918" s="184"/>
    </row>
    <row r="919" ht="15.75" hidden="1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  <c r="AI919" s="184"/>
      <c r="AJ919" s="184"/>
      <c r="AK919" s="184"/>
      <c r="AL919" s="184"/>
      <c r="AM919" s="184"/>
      <c r="AN919" s="184"/>
      <c r="AO919" s="184"/>
      <c r="AP919" s="184"/>
      <c r="AQ919" s="184"/>
    </row>
    <row r="920" ht="15.75" hidden="1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  <c r="AI920" s="184"/>
      <c r="AJ920" s="184"/>
      <c r="AK920" s="184"/>
      <c r="AL920" s="184"/>
      <c r="AM920" s="184"/>
      <c r="AN920" s="184"/>
      <c r="AO920" s="184"/>
      <c r="AP920" s="184"/>
      <c r="AQ920" s="184"/>
    </row>
    <row r="921" ht="15.75" hidden="1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  <c r="AO921" s="184"/>
      <c r="AP921" s="184"/>
      <c r="AQ921" s="184"/>
    </row>
    <row r="922" ht="15.75" hidden="1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  <c r="AQ922" s="184"/>
    </row>
    <row r="923" ht="15.75" hidden="1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  <c r="AO923" s="184"/>
      <c r="AP923" s="184"/>
      <c r="AQ923" s="184"/>
    </row>
    <row r="924" ht="15.75" hidden="1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</row>
    <row r="925" ht="15.75" hidden="1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</row>
    <row r="926" ht="15.75" hidden="1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</row>
    <row r="927" ht="15.75" hidden="1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</row>
    <row r="928" ht="15.75" hidden="1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</row>
    <row r="929" ht="15.75" hidden="1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</row>
    <row r="930" ht="15.75" hidden="1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</row>
    <row r="931" ht="15.75" hidden="1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</row>
    <row r="932" ht="15.75" hidden="1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</row>
    <row r="933" ht="15.75" hidden="1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  <c r="AO933" s="184"/>
      <c r="AP933" s="184"/>
      <c r="AQ933" s="184"/>
    </row>
    <row r="934" ht="15.75" hidden="1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  <c r="AQ934" s="184"/>
    </row>
    <row r="935" ht="15.75" hidden="1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  <c r="AQ935" s="184"/>
    </row>
    <row r="936" ht="15.75" hidden="1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  <c r="AO936" s="184"/>
      <c r="AP936" s="184"/>
      <c r="AQ936" s="184"/>
    </row>
    <row r="937" ht="15.75" hidden="1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  <c r="AQ937" s="184"/>
    </row>
    <row r="938" ht="15.75" hidden="1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</row>
    <row r="939" ht="15.75" hidden="1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</row>
    <row r="940" ht="15.75" hidden="1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</row>
    <row r="941" ht="15.75" hidden="1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</row>
    <row r="942" ht="15.75" hidden="1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</row>
    <row r="943" ht="15.75" hidden="1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</row>
    <row r="944" ht="15.75" hidden="1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</row>
    <row r="945" ht="15.75" hidden="1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</row>
    <row r="946" ht="15.75" hidden="1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</row>
    <row r="947" ht="15.75" hidden="1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</row>
    <row r="948" ht="15.75" hidden="1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</row>
    <row r="949" ht="15.75" hidden="1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</row>
    <row r="950" ht="15.75" hidden="1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</row>
    <row r="951" ht="15.75" hidden="1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  <c r="AI951" s="184"/>
      <c r="AJ951" s="184"/>
      <c r="AK951" s="184"/>
      <c r="AL951" s="184"/>
      <c r="AM951" s="184"/>
      <c r="AN951" s="184"/>
      <c r="AO951" s="184"/>
      <c r="AP951" s="184"/>
      <c r="AQ951" s="184"/>
    </row>
    <row r="952" ht="15.75" hidden="1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  <c r="AI952" s="184"/>
      <c r="AJ952" s="184"/>
      <c r="AK952" s="184"/>
      <c r="AL952" s="184"/>
      <c r="AM952" s="184"/>
      <c r="AN952" s="184"/>
      <c r="AO952" s="184"/>
      <c r="AP952" s="184"/>
      <c r="AQ952" s="184"/>
    </row>
    <row r="953" ht="15.75" hidden="1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  <c r="AI953" s="184"/>
      <c r="AJ953" s="184"/>
      <c r="AK953" s="184"/>
      <c r="AL953" s="184"/>
      <c r="AM953" s="184"/>
      <c r="AN953" s="184"/>
      <c r="AO953" s="184"/>
      <c r="AP953" s="184"/>
      <c r="AQ953" s="184"/>
    </row>
    <row r="954" ht="15.75" hidden="1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  <c r="AI954" s="184"/>
      <c r="AJ954" s="184"/>
      <c r="AK954" s="184"/>
      <c r="AL954" s="184"/>
      <c r="AM954" s="184"/>
      <c r="AN954" s="184"/>
      <c r="AO954" s="184"/>
      <c r="AP954" s="184"/>
      <c r="AQ954" s="184"/>
    </row>
    <row r="955" ht="15.75" hidden="1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  <c r="AI955" s="184"/>
      <c r="AJ955" s="184"/>
      <c r="AK955" s="184"/>
      <c r="AL955" s="184"/>
      <c r="AM955" s="184"/>
      <c r="AN955" s="184"/>
      <c r="AO955" s="184"/>
      <c r="AP955" s="184"/>
      <c r="AQ955" s="184"/>
    </row>
    <row r="956" ht="15.75" hidden="1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  <c r="AO956" s="184"/>
      <c r="AP956" s="184"/>
      <c r="AQ956" s="184"/>
    </row>
    <row r="957" ht="15.75" hidden="1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  <c r="AO957" s="184"/>
      <c r="AP957" s="184"/>
      <c r="AQ957" s="184"/>
    </row>
    <row r="958" ht="15.75" hidden="1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  <c r="AO958" s="184"/>
      <c r="AP958" s="184"/>
      <c r="AQ958" s="184"/>
    </row>
    <row r="959" ht="15.75" hidden="1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  <c r="AI959" s="184"/>
      <c r="AJ959" s="184"/>
      <c r="AK959" s="184"/>
      <c r="AL959" s="184"/>
      <c r="AM959" s="184"/>
      <c r="AN959" s="184"/>
      <c r="AO959" s="184"/>
      <c r="AP959" s="184"/>
      <c r="AQ959" s="184"/>
    </row>
    <row r="960" ht="15.75" hidden="1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</row>
    <row r="961" ht="15.75" hidden="1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  <c r="AQ961" s="184"/>
    </row>
    <row r="962" ht="15.75" hidden="1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  <c r="AQ962" s="184"/>
    </row>
    <row r="963" ht="15.75" hidden="1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</row>
    <row r="964" ht="15.75" hidden="1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</row>
    <row r="965" ht="15.75" hidden="1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</row>
    <row r="966" ht="15.75" hidden="1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  <c r="AQ966" s="184"/>
    </row>
    <row r="967" ht="15.75" hidden="1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  <c r="AQ967" s="184"/>
    </row>
    <row r="968" ht="15.75" hidden="1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</row>
    <row r="969" ht="15.75" hidden="1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  <c r="AI969" s="184"/>
      <c r="AJ969" s="184"/>
      <c r="AK969" s="184"/>
      <c r="AL969" s="184"/>
      <c r="AM969" s="184"/>
      <c r="AN969" s="184"/>
      <c r="AO969" s="184"/>
      <c r="AP969" s="184"/>
      <c r="AQ969" s="184"/>
    </row>
    <row r="970" ht="15.75" hidden="1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  <c r="AI970" s="184"/>
      <c r="AJ970" s="184"/>
      <c r="AK970" s="184"/>
      <c r="AL970" s="184"/>
      <c r="AM970" s="184"/>
      <c r="AN970" s="184"/>
      <c r="AO970" s="184"/>
      <c r="AP970" s="184"/>
      <c r="AQ970" s="184"/>
    </row>
    <row r="971" ht="15.75" hidden="1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  <c r="AI971" s="184"/>
      <c r="AJ971" s="184"/>
      <c r="AK971" s="184"/>
      <c r="AL971" s="184"/>
      <c r="AM971" s="184"/>
      <c r="AN971" s="184"/>
      <c r="AO971" s="184"/>
      <c r="AP971" s="184"/>
      <c r="AQ971" s="184"/>
    </row>
    <row r="972" ht="15.75" hidden="1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4"/>
      <c r="AI972" s="184"/>
      <c r="AJ972" s="184"/>
      <c r="AK972" s="184"/>
      <c r="AL972" s="184"/>
      <c r="AM972" s="184"/>
      <c r="AN972" s="184"/>
      <c r="AO972" s="184"/>
      <c r="AP972" s="184"/>
      <c r="AQ972" s="184"/>
    </row>
    <row r="973" ht="15.75" hidden="1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4"/>
      <c r="AI973" s="184"/>
      <c r="AJ973" s="184"/>
      <c r="AK973" s="184"/>
      <c r="AL973" s="184"/>
      <c r="AM973" s="184"/>
      <c r="AN973" s="184"/>
      <c r="AO973" s="184"/>
      <c r="AP973" s="184"/>
      <c r="AQ973" s="184"/>
    </row>
    <row r="974" ht="15.75" hidden="1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  <c r="AI974" s="184"/>
      <c r="AJ974" s="184"/>
      <c r="AK974" s="184"/>
      <c r="AL974" s="184"/>
      <c r="AM974" s="184"/>
      <c r="AN974" s="184"/>
      <c r="AO974" s="184"/>
      <c r="AP974" s="184"/>
      <c r="AQ974" s="184"/>
    </row>
    <row r="975" ht="15.75" hidden="1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  <c r="AI975" s="184"/>
      <c r="AJ975" s="184"/>
      <c r="AK975" s="184"/>
      <c r="AL975" s="184"/>
      <c r="AM975" s="184"/>
      <c r="AN975" s="184"/>
      <c r="AO975" s="184"/>
      <c r="AP975" s="184"/>
      <c r="AQ975" s="184"/>
    </row>
    <row r="976" ht="15.75" hidden="1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  <c r="AO976" s="184"/>
      <c r="AP976" s="184"/>
      <c r="AQ976" s="184"/>
    </row>
    <row r="977" ht="15.75" hidden="1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  <c r="AO977" s="184"/>
      <c r="AP977" s="184"/>
      <c r="AQ977" s="184"/>
    </row>
    <row r="978" ht="15.75" hidden="1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  <c r="AO978" s="184"/>
      <c r="AP978" s="184"/>
      <c r="AQ978" s="184"/>
    </row>
    <row r="979" ht="15.75" hidden="1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  <c r="AO979" s="184"/>
      <c r="AP979" s="184"/>
      <c r="AQ979" s="184"/>
    </row>
    <row r="980" ht="15.75" hidden="1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  <c r="AO980" s="184"/>
      <c r="AP980" s="184"/>
      <c r="AQ980" s="184"/>
    </row>
    <row r="981" ht="15.75" hidden="1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  <c r="AO981" s="184"/>
      <c r="AP981" s="184"/>
      <c r="AQ981" s="184"/>
    </row>
    <row r="982" ht="15.75" hidden="1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  <c r="AO982" s="184"/>
      <c r="AP982" s="184"/>
      <c r="AQ982" s="184"/>
    </row>
    <row r="983" ht="15.75" hidden="1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  <c r="AI983" s="184"/>
      <c r="AJ983" s="184"/>
      <c r="AK983" s="184"/>
      <c r="AL983" s="184"/>
      <c r="AM983" s="184"/>
      <c r="AN983" s="184"/>
      <c r="AO983" s="184"/>
      <c r="AP983" s="184"/>
      <c r="AQ983" s="184"/>
    </row>
    <row r="984" ht="15.75" hidden="1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  <c r="AO984" s="184"/>
      <c r="AP984" s="184"/>
      <c r="AQ984" s="184"/>
    </row>
    <row r="985" ht="15.75" hidden="1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  <c r="AI985" s="184"/>
      <c r="AJ985" s="184"/>
      <c r="AK985" s="184"/>
      <c r="AL985" s="184"/>
      <c r="AM985" s="184"/>
      <c r="AN985" s="184"/>
      <c r="AO985" s="184"/>
      <c r="AP985" s="184"/>
      <c r="AQ985" s="184"/>
    </row>
    <row r="986" ht="15.75" hidden="1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</row>
    <row r="987" ht="15.75" hidden="1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4"/>
      <c r="AI987" s="184"/>
      <c r="AJ987" s="184"/>
      <c r="AK987" s="184"/>
      <c r="AL987" s="184"/>
      <c r="AM987" s="184"/>
      <c r="AN987" s="184"/>
      <c r="AO987" s="184"/>
      <c r="AP987" s="184"/>
      <c r="AQ987" s="184"/>
    </row>
    <row r="988" ht="15.75" hidden="1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184"/>
      <c r="AH988" s="184"/>
      <c r="AI988" s="184"/>
      <c r="AJ988" s="184"/>
      <c r="AK988" s="184"/>
      <c r="AL988" s="184"/>
      <c r="AM988" s="184"/>
      <c r="AN988" s="184"/>
      <c r="AO988" s="184"/>
      <c r="AP988" s="184"/>
      <c r="AQ988" s="184"/>
    </row>
    <row r="989" ht="15.75" hidden="1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  <c r="AD989" s="184"/>
      <c r="AE989" s="184"/>
      <c r="AF989" s="184"/>
      <c r="AG989" s="184"/>
      <c r="AH989" s="184"/>
      <c r="AI989" s="184"/>
      <c r="AJ989" s="184"/>
      <c r="AK989" s="184"/>
      <c r="AL989" s="184"/>
      <c r="AM989" s="184"/>
      <c r="AN989" s="184"/>
      <c r="AO989" s="184"/>
      <c r="AP989" s="184"/>
      <c r="AQ989" s="184"/>
    </row>
    <row r="990" ht="15.75" hidden="1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  <c r="AD990" s="184"/>
      <c r="AE990" s="184"/>
      <c r="AF990" s="184"/>
      <c r="AG990" s="184"/>
      <c r="AH990" s="184"/>
      <c r="AI990" s="184"/>
      <c r="AJ990" s="184"/>
      <c r="AK990" s="184"/>
      <c r="AL990" s="184"/>
      <c r="AM990" s="184"/>
      <c r="AN990" s="184"/>
      <c r="AO990" s="184"/>
      <c r="AP990" s="184"/>
      <c r="AQ990" s="184"/>
    </row>
    <row r="991" ht="15.75" hidden="1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  <c r="AD991" s="184"/>
      <c r="AE991" s="184"/>
      <c r="AF991" s="184"/>
      <c r="AG991" s="184"/>
      <c r="AH991" s="184"/>
      <c r="AI991" s="184"/>
      <c r="AJ991" s="184"/>
      <c r="AK991" s="184"/>
      <c r="AL991" s="184"/>
      <c r="AM991" s="184"/>
      <c r="AN991" s="184"/>
      <c r="AO991" s="184"/>
      <c r="AP991" s="184"/>
      <c r="AQ991" s="184"/>
    </row>
    <row r="992" ht="15.75" hidden="1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  <c r="AD992" s="184"/>
      <c r="AE992" s="184"/>
      <c r="AF992" s="184"/>
      <c r="AG992" s="184"/>
      <c r="AH992" s="184"/>
      <c r="AI992" s="184"/>
      <c r="AJ992" s="184"/>
      <c r="AK992" s="184"/>
      <c r="AL992" s="184"/>
      <c r="AM992" s="184"/>
      <c r="AN992" s="184"/>
      <c r="AO992" s="184"/>
      <c r="AP992" s="184"/>
      <c r="AQ992" s="184"/>
    </row>
    <row r="993" ht="15.75" hidden="1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  <c r="AD993" s="184"/>
      <c r="AE993" s="184"/>
      <c r="AF993" s="184"/>
      <c r="AG993" s="184"/>
      <c r="AH993" s="184"/>
      <c r="AI993" s="184"/>
      <c r="AJ993" s="184"/>
      <c r="AK993" s="184"/>
      <c r="AL993" s="184"/>
      <c r="AM993" s="184"/>
      <c r="AN993" s="184"/>
      <c r="AO993" s="184"/>
      <c r="AP993" s="184"/>
      <c r="AQ993" s="184"/>
    </row>
    <row r="994" ht="15.75" hidden="1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  <c r="AD994" s="184"/>
      <c r="AE994" s="184"/>
      <c r="AF994" s="184"/>
      <c r="AG994" s="184"/>
      <c r="AH994" s="184"/>
      <c r="AI994" s="184"/>
      <c r="AJ994" s="184"/>
      <c r="AK994" s="184"/>
      <c r="AL994" s="184"/>
      <c r="AM994" s="184"/>
      <c r="AN994" s="184"/>
      <c r="AO994" s="184"/>
      <c r="AP994" s="184"/>
      <c r="AQ994" s="184"/>
    </row>
    <row r="995" ht="15.75" hidden="1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  <c r="AD995" s="184"/>
      <c r="AE995" s="184"/>
      <c r="AF995" s="184"/>
      <c r="AG995" s="184"/>
      <c r="AH995" s="184"/>
      <c r="AI995" s="184"/>
      <c r="AJ995" s="184"/>
      <c r="AK995" s="184"/>
      <c r="AL995" s="184"/>
      <c r="AM995" s="184"/>
      <c r="AN995" s="184"/>
      <c r="AO995" s="184"/>
      <c r="AP995" s="184"/>
      <c r="AQ995" s="184"/>
    </row>
    <row r="996" ht="15.75" hidden="1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  <c r="AQ996" s="184"/>
    </row>
    <row r="997" ht="15.75" hidden="1" customHeight="1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  <c r="AC997" s="184"/>
      <c r="AD997" s="184"/>
      <c r="AE997" s="184"/>
      <c r="AF997" s="184"/>
      <c r="AG997" s="184"/>
      <c r="AH997" s="184"/>
      <c r="AI997" s="184"/>
      <c r="AJ997" s="184"/>
      <c r="AK997" s="184"/>
      <c r="AL997" s="184"/>
      <c r="AM997" s="184"/>
      <c r="AN997" s="184"/>
      <c r="AO997" s="184"/>
      <c r="AP997" s="184"/>
      <c r="AQ997" s="184"/>
    </row>
    <row r="998" ht="15.75" hidden="1" customHeight="1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  <c r="AC998" s="184"/>
      <c r="AD998" s="184"/>
      <c r="AE998" s="184"/>
      <c r="AF998" s="184"/>
      <c r="AG998" s="184"/>
      <c r="AH998" s="184"/>
      <c r="AI998" s="184"/>
      <c r="AJ998" s="184"/>
      <c r="AK998" s="184"/>
      <c r="AL998" s="184"/>
      <c r="AM998" s="184"/>
      <c r="AN998" s="184"/>
      <c r="AO998" s="184"/>
      <c r="AP998" s="184"/>
      <c r="AQ998" s="184"/>
    </row>
    <row r="999" ht="15.75" hidden="1" customHeight="1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  <c r="AC999" s="184"/>
      <c r="AD999" s="184"/>
      <c r="AE999" s="184"/>
      <c r="AF999" s="184"/>
      <c r="AG999" s="184"/>
      <c r="AH999" s="184"/>
      <c r="AI999" s="184"/>
      <c r="AJ999" s="184"/>
      <c r="AK999" s="184"/>
      <c r="AL999" s="184"/>
      <c r="AM999" s="184"/>
      <c r="AN999" s="184"/>
      <c r="AO999" s="184"/>
      <c r="AP999" s="184"/>
      <c r="AQ999" s="184"/>
    </row>
  </sheetData>
  <mergeCells count="57">
    <mergeCell ref="Q7:Q9"/>
    <mergeCell ref="N8:N9"/>
    <mergeCell ref="P8:P9"/>
    <mergeCell ref="D7:G8"/>
    <mergeCell ref="H7:M8"/>
    <mergeCell ref="R7:U8"/>
    <mergeCell ref="V7:Y8"/>
    <mergeCell ref="A8:A9"/>
    <mergeCell ref="B8:C9"/>
    <mergeCell ref="Z8:Z9"/>
    <mergeCell ref="U9:U44"/>
    <mergeCell ref="U45:U49"/>
    <mergeCell ref="N7:O7"/>
    <mergeCell ref="Z7:AA7"/>
    <mergeCell ref="AA8:AA44"/>
    <mergeCell ref="G9:G44"/>
    <mergeCell ref="O9:O44"/>
    <mergeCell ref="G45:G49"/>
    <mergeCell ref="O45:O49"/>
    <mergeCell ref="AA45:AA49"/>
    <mergeCell ref="D6:Q6"/>
    <mergeCell ref="R6:AC6"/>
    <mergeCell ref="E5:F5"/>
    <mergeCell ref="H5:Y5"/>
    <mergeCell ref="A46:B49"/>
    <mergeCell ref="A50:C50"/>
    <mergeCell ref="D50:Q50"/>
    <mergeCell ref="R50:AC50"/>
    <mergeCell ref="A51:B60"/>
    <mergeCell ref="H4:R4"/>
    <mergeCell ref="S4:Y4"/>
    <mergeCell ref="A1:C7"/>
    <mergeCell ref="D1:AQ1"/>
    <mergeCell ref="H2:Y2"/>
    <mergeCell ref="D3:D5"/>
    <mergeCell ref="E3:F3"/>
    <mergeCell ref="H3:Y3"/>
    <mergeCell ref="E4:F4"/>
    <mergeCell ref="AC7:AC9"/>
    <mergeCell ref="AB8:AB9"/>
    <mergeCell ref="AM8:AM44"/>
    <mergeCell ref="AG45:AG49"/>
    <mergeCell ref="AM45:AM49"/>
    <mergeCell ref="AD50:AQ50"/>
    <mergeCell ref="AO7:AO9"/>
    <mergeCell ref="AN8:AN9"/>
    <mergeCell ref="AD6:AO6"/>
    <mergeCell ref="AP6:AP7"/>
    <mergeCell ref="AQ6:AQ8"/>
    <mergeCell ref="AD7:AG8"/>
    <mergeCell ref="AH7:AK8"/>
    <mergeCell ref="AL7:AM7"/>
    <mergeCell ref="AL8:AL9"/>
    <mergeCell ref="C51:C52"/>
    <mergeCell ref="C53:C54"/>
    <mergeCell ref="C55:C57"/>
    <mergeCell ref="C58:C59"/>
  </mergeCells>
  <conditionalFormatting sqref="D10:F44 H10:N44 P10:T44 V10:Z44 AB10:AL44 AN10:AQ44">
    <cfRule type="expression" dxfId="10" priority="1">
      <formula>$A10="REP"</formula>
    </cfRule>
  </conditionalFormatting>
  <conditionalFormatting sqref="D10:F44 H10:N44 P10:T44 V10:Z44 AB10:AL44 AN10:AQ44">
    <cfRule type="expression" dxfId="2" priority="2">
      <formula>$A10="BAJA"</formula>
    </cfRule>
  </conditionalFormatting>
  <conditionalFormatting sqref="D10:F44 H10:N44 P10:T44 V10:Z44 AB10:AL44 AN10:AQ44">
    <cfRule type="expression" dxfId="4" priority="3">
      <formula>$A10="CO"</formula>
    </cfRule>
  </conditionalFormatting>
  <conditionalFormatting sqref="D10:F44 H10:N44 P10:T44 V10:Z44 AB10:AL44 AN10:AQ44">
    <cfRule type="expression" dxfId="4" priority="4">
      <formula>$A10="RC"</formula>
    </cfRule>
  </conditionalFormatting>
  <conditionalFormatting sqref="D10:F44 H10:N44 P10:T44 V10:Z44 AB10:AL44 AN10:AQ44">
    <cfRule type="expression" dxfId="4" priority="5">
      <formula>$A10="AA"</formula>
    </cfRule>
  </conditionalFormatting>
  <conditionalFormatting sqref="D10:F44 H10:N44 P10:T44 V10:Z44 AB10:AL44 AN10:AQ44">
    <cfRule type="expression" dxfId="9" priority="6">
      <formula>$AQ10="CO"</formula>
    </cfRule>
  </conditionalFormatting>
  <conditionalFormatting sqref="D10:F44 H10:N44 P10:T44 V10:Z44 AB10:AL44 AN10:AQ44">
    <cfRule type="expression" dxfId="9" priority="7">
      <formula>$AQ10="AA"</formula>
    </cfRule>
  </conditionalFormatting>
  <conditionalFormatting sqref="D10:F44 H10:N44 P10:T44 V10:Z44 AB10:AL44 AN10:AQ44">
    <cfRule type="expression" dxfId="4" priority="8">
      <formula>$A10="RPO"</formula>
    </cfRule>
  </conditionalFormatting>
  <conditionalFormatting sqref="D10:F44 H10:N44 P10:T44 V10:Z44 AB10:AL44 AN10:AQ44">
    <cfRule type="expression" dxfId="4" priority="9">
      <formula>$A10="RPE"</formula>
    </cfRule>
  </conditionalFormatting>
  <conditionalFormatting sqref="H10:N44 P10:P44">
    <cfRule type="cellIs" dxfId="8" priority="10" operator="lessThan">
      <formula>5</formula>
    </cfRule>
  </conditionalFormatting>
  <conditionalFormatting sqref="E10:E44">
    <cfRule type="expression" dxfId="14" priority="11">
      <formula>$D10&gt;0</formula>
    </cfRule>
  </conditionalFormatting>
  <conditionalFormatting sqref="E10:F44 T10:T44">
    <cfRule type="cellIs" dxfId="8" priority="12" operator="lessThan">
      <formula>4.5</formula>
    </cfRule>
  </conditionalFormatting>
  <conditionalFormatting sqref="E10:F44 T10:T44">
    <cfRule type="containsBlanks" dxfId="5" priority="13">
      <formula>LEN(TRIM(E10))=0</formula>
    </cfRule>
  </conditionalFormatting>
  <conditionalFormatting sqref="AQ11:AQ44">
    <cfRule type="cellIs" dxfId="24" priority="14" operator="greaterThan">
      <formula>5</formula>
    </cfRule>
  </conditionalFormatting>
  <conditionalFormatting sqref="AQ11:AQ44">
    <cfRule type="cellIs" dxfId="0" priority="15" operator="lessThan">
      <formula>5</formula>
    </cfRule>
  </conditionalFormatting>
  <conditionalFormatting sqref="Q7">
    <cfRule type="cellIs" dxfId="25" priority="16" operator="equal">
      <formula>1</formula>
    </cfRule>
  </conditionalFormatting>
  <conditionalFormatting sqref="Q10:Q44">
    <cfRule type="cellIs" dxfId="0" priority="17" operator="lessThan">
      <formula>5</formula>
    </cfRule>
  </conditionalFormatting>
  <conditionalFormatting sqref="AQ10:AQ44">
    <cfRule type="cellIs" dxfId="24" priority="18" operator="greaterThan">
      <formula>5</formula>
    </cfRule>
  </conditionalFormatting>
  <conditionalFormatting sqref="AQ10:AQ44">
    <cfRule type="cellIs" dxfId="0" priority="19" operator="lessThan">
      <formula>5</formula>
    </cfRule>
  </conditionalFormatting>
  <conditionalFormatting sqref="AC7">
    <cfRule type="cellIs" dxfId="25" priority="20" operator="equal">
      <formula>1</formula>
    </cfRule>
  </conditionalFormatting>
  <conditionalFormatting sqref="AO7">
    <cfRule type="cellIs" dxfId="25" priority="21" operator="equal">
      <formula>1</formula>
    </cfRule>
  </conditionalFormatting>
  <conditionalFormatting sqref="D45:E45">
    <cfRule type="cellIs" dxfId="0" priority="22" operator="notEqual">
      <formula>14</formula>
    </cfRule>
  </conditionalFormatting>
  <conditionalFormatting sqref="D45:E45">
    <cfRule type="cellIs" dxfId="0" priority="23" operator="equal">
      <formula>14</formula>
    </cfRule>
  </conditionalFormatting>
  <conditionalFormatting sqref="H45:AQ45 H47:N49 P47:R49">
    <cfRule type="cellIs" dxfId="0" priority="24" operator="notEqual">
      <formula>14</formula>
    </cfRule>
  </conditionalFormatting>
  <conditionalFormatting sqref="F45">
    <cfRule type="cellIs" dxfId="0" priority="25" operator="notEqual">
      <formula>14</formula>
    </cfRule>
  </conditionalFormatting>
  <conditionalFormatting sqref="D46:F46 H46:N46 P46:R46">
    <cfRule type="cellIs" dxfId="0" priority="26" operator="notEqual">
      <formula>44</formula>
    </cfRule>
  </conditionalFormatting>
  <conditionalFormatting sqref="S46:T46 V46:Z46 AB46:AF46 AH46:AL46 AN46:AQ46">
    <cfRule type="cellIs" dxfId="0" priority="27" operator="notEqual">
      <formula>44</formula>
    </cfRule>
  </conditionalFormatting>
  <conditionalFormatting sqref="D47:F49">
    <cfRule type="cellIs" dxfId="0" priority="28" operator="notEqual">
      <formula>14</formula>
    </cfRule>
  </conditionalFormatting>
  <conditionalFormatting sqref="S47:T49 V47:Z49 AB47:AF49 AH47:AL49 AN47:AQ49">
    <cfRule type="cellIs" dxfId="0" priority="29" operator="notEqual">
      <formula>14</formula>
    </cfRule>
  </conditionalFormatting>
  <conditionalFormatting sqref="AO10:AP44">
    <cfRule type="cellIs" dxfId="24" priority="30" operator="greaterThan">
      <formula>5</formula>
    </cfRule>
  </conditionalFormatting>
  <conditionalFormatting sqref="AO10:AP44">
    <cfRule type="cellIs" dxfId="0" priority="31" operator="lessThan">
      <formula>5</formula>
    </cfRule>
  </conditionalFormatting>
  <conditionalFormatting sqref="AC10:AC44">
    <cfRule type="cellIs" dxfId="24" priority="32" operator="greaterThan">
      <formula>5</formula>
    </cfRule>
  </conditionalFormatting>
  <conditionalFormatting sqref="AC10:AC44">
    <cfRule type="cellIs" dxfId="0" priority="33" operator="lessThan">
      <formula>5</formula>
    </cfRule>
  </conditionalFormatting>
  <conditionalFormatting sqref="H10:M44">
    <cfRule type="containsBlanks" dxfId="14" priority="34">
      <formula>LEN(TRIM(H10))=0</formula>
    </cfRule>
  </conditionalFormatting>
  <conditionalFormatting sqref="D10:D44 R10:R44 AD10:AD44">
    <cfRule type="cellIs" dxfId="7" priority="35" operator="equal">
      <formula>"NE"</formula>
    </cfRule>
  </conditionalFormatting>
  <conditionalFormatting sqref="D10:D44 R10:R44 AD10:AD44">
    <cfRule type="cellIs" dxfId="8" priority="36" operator="lessThan">
      <formula>4.5</formula>
    </cfRule>
  </conditionalFormatting>
  <conditionalFormatting sqref="D10:D44 R10:R44 AD10:AD44">
    <cfRule type="containsBlanks" dxfId="5" priority="37">
      <formula>LEN(TRIM(D10))=0</formula>
    </cfRule>
  </conditionalFormatting>
  <conditionalFormatting sqref="V10:Y44">
    <cfRule type="containsBlanks" dxfId="14" priority="38">
      <formula>LEN(TRIM(V10))=0</formula>
    </cfRule>
  </conditionalFormatting>
  <conditionalFormatting sqref="R10:R44">
    <cfRule type="cellIs" dxfId="8" priority="39" operator="lessThan">
      <formula>4.5</formula>
    </cfRule>
  </conditionalFormatting>
  <conditionalFormatting sqref="R10:R44">
    <cfRule type="containsBlanks" dxfId="5" priority="40">
      <formula>LEN(TRIM(R10))=0</formula>
    </cfRule>
  </conditionalFormatting>
  <conditionalFormatting sqref="V10:Z44 AB10:AB44">
    <cfRule type="cellIs" dxfId="8" priority="41" operator="lessThan">
      <formula>5</formula>
    </cfRule>
  </conditionalFormatting>
  <conditionalFormatting sqref="S10:S44">
    <cfRule type="expression" dxfId="14" priority="42">
      <formula>$R10&gt;0</formula>
    </cfRule>
  </conditionalFormatting>
  <conditionalFormatting sqref="S10:T44">
    <cfRule type="cellIs" dxfId="8" priority="43" operator="lessThan">
      <formula>4.5</formula>
    </cfRule>
  </conditionalFormatting>
  <conditionalFormatting sqref="S10:T44">
    <cfRule type="containsBlanks" dxfId="5" priority="44">
      <formula>LEN(TRIM(S10))=0</formula>
    </cfRule>
  </conditionalFormatting>
  <conditionalFormatting sqref="AH10:AL44 AN10:AN44">
    <cfRule type="cellIs" dxfId="8" priority="45" operator="lessThan">
      <formula>5</formula>
    </cfRule>
  </conditionalFormatting>
  <conditionalFormatting sqref="AG10:AG44">
    <cfRule type="cellIs" dxfId="8" priority="46" operator="lessThan">
      <formula>5</formula>
    </cfRule>
  </conditionalFormatting>
  <conditionalFormatting sqref="AE10:AE44">
    <cfRule type="expression" dxfId="14" priority="47">
      <formula>$AD10&gt;0</formula>
    </cfRule>
  </conditionalFormatting>
  <conditionalFormatting sqref="AE10:AF44">
    <cfRule type="cellIs" dxfId="8" priority="48" operator="lessThan">
      <formula>4.5</formula>
    </cfRule>
  </conditionalFormatting>
  <conditionalFormatting sqref="AE10:AF44">
    <cfRule type="containsBlanks" dxfId="5" priority="49">
      <formula>LEN(TRIM(AE10))=0</formula>
    </cfRule>
  </conditionalFormatting>
  <conditionalFormatting sqref="AG10:AG44">
    <cfRule type="containsText" dxfId="5" priority="50" operator="containsText" text="NO APTO">
      <formula>NOT(ISERROR(SEARCH(("NO APTO"),(AG10))))</formula>
    </cfRule>
  </conditionalFormatting>
  <conditionalFormatting sqref="AH10:AK44">
    <cfRule type="containsBlanks" dxfId="14" priority="51">
      <formula>LEN(TRIM(AH10))=0</formula>
    </cfRule>
  </conditionalFormatting>
  <conditionalFormatting sqref="AD10:AD44">
    <cfRule type="cellIs" dxfId="8" priority="52" operator="lessThan">
      <formula>4.5</formula>
    </cfRule>
  </conditionalFormatting>
  <conditionalFormatting sqref="AD10:AD44">
    <cfRule type="containsBlanks" dxfId="5" priority="53">
      <formula>LEN(TRIM(AD10))=0</formula>
    </cfRule>
  </conditionalFormatting>
  <conditionalFormatting sqref="A10:C44">
    <cfRule type="expression" dxfId="10" priority="54">
      <formula>$A10="REP"</formula>
    </cfRule>
  </conditionalFormatting>
  <conditionalFormatting sqref="A10:C44">
    <cfRule type="expression" dxfId="11" priority="55">
      <formula>$A10="BAJA"</formula>
    </cfRule>
  </conditionalFormatting>
  <conditionalFormatting sqref="A10:C44">
    <cfRule type="expression" dxfId="3" priority="56">
      <formula>$A10="ACT"</formula>
    </cfRule>
  </conditionalFormatting>
  <conditionalFormatting sqref="A10:C44">
    <cfRule type="expression" dxfId="12" priority="57">
      <formula>$A10="CO"</formula>
    </cfRule>
  </conditionalFormatting>
  <conditionalFormatting sqref="A10:C44">
    <cfRule type="expression" dxfId="12" priority="58">
      <formula>$A10="AA"</formula>
    </cfRule>
  </conditionalFormatting>
  <conditionalFormatting sqref="A10:C44">
    <cfRule type="expression" dxfId="15" priority="59">
      <formula>$A10="RC"</formula>
    </cfRule>
  </conditionalFormatting>
  <conditionalFormatting sqref="A10:C44">
    <cfRule type="expression" dxfId="12" priority="60">
      <formula>$A10="RPE"</formula>
    </cfRule>
  </conditionalFormatting>
  <conditionalFormatting sqref="A10:C44">
    <cfRule type="expression" dxfId="12" priority="61">
      <formula>$A10="RPO"</formula>
    </cfRule>
  </conditionalFormatting>
  <conditionalFormatting sqref="R10:R44">
    <cfRule type="cellIs" dxfId="7" priority="62" operator="equal">
      <formula>"NE"</formula>
    </cfRule>
  </conditionalFormatting>
  <conditionalFormatting sqref="AD10:AD44">
    <cfRule type="cellIs" dxfId="7" priority="63" operator="equal">
      <formula>"NE"</formula>
    </cfRule>
  </conditionalFormatting>
  <dataValidations>
    <dataValidation type="list" allowBlank="1" sqref="P10:P44 AB10:AB44 AN10:AN44">
      <formula1>"0,1,2,3,4,5,6,7,8,9,10"</formula1>
    </dataValidation>
    <dataValidation type="list" allowBlank="1" sqref="AP10:AP44">
      <formula1>"SUPERADO,NO SUPERADO,SUPERADO - 5,SUPERADO - 6,SUPERADO - 7,SUPERADO - 8,SUPERADO - 9,SUPERADO - 10"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0.1" defaultRowHeight="15.0"/>
  <cols>
    <col customWidth="1" min="1" max="1" width="7.3"/>
    <col customWidth="1" min="2" max="2" width="6.0"/>
    <col customWidth="1" min="3" max="3" width="57.5"/>
    <col customWidth="1" min="4" max="4" width="16.3"/>
    <col customWidth="1" min="5" max="5" width="11.7"/>
    <col customWidth="1" min="6" max="7" width="14.7"/>
    <col customWidth="1" min="8" max="8" width="15.5"/>
    <col customWidth="1" min="9" max="9" width="15.3"/>
    <col customWidth="1" min="10" max="11" width="14.1"/>
    <col customWidth="1" min="12" max="12" width="16.7"/>
    <col customWidth="1" min="13" max="13" width="14.3"/>
    <col customWidth="1" min="14" max="15" width="14.7"/>
  </cols>
  <sheetData>
    <row r="1" ht="27.0" customHeight="1">
      <c r="A1" s="44"/>
      <c r="B1" s="45"/>
      <c r="C1" s="45"/>
      <c r="D1" s="431" t="s">
        <v>116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432"/>
    </row>
    <row r="2" ht="15.75" customHeight="1">
      <c r="D2" s="47" t="s">
        <v>19</v>
      </c>
      <c r="E2" s="433" t="str">
        <f>'EVALUACIÓN'!E2</f>
        <v>2024-25</v>
      </c>
      <c r="F2" s="51"/>
      <c r="G2" s="433"/>
      <c r="H2" s="315" t="s">
        <v>20</v>
      </c>
      <c r="I2" s="434" t="str">
        <f>'EVALUACIÓN'!H2</f>
        <v>SEVILLA ESTE</v>
      </c>
      <c r="J2" s="12"/>
      <c r="K2" s="12"/>
      <c r="L2" s="12"/>
      <c r="M2" s="12"/>
      <c r="N2" s="12"/>
      <c r="O2" s="13"/>
    </row>
    <row r="3" ht="15.75" customHeight="1">
      <c r="D3" s="320" t="s">
        <v>22</v>
      </c>
      <c r="E3" s="58"/>
      <c r="F3" s="58"/>
      <c r="G3" s="58"/>
      <c r="H3" s="43"/>
      <c r="I3" s="434" t="str">
        <f>'EVALUACIÓN'!H3</f>
        <v>1º A SISTEMAS MICROINFORMÁTICOS Y REDES</v>
      </c>
      <c r="J3" s="12"/>
      <c r="K3" s="12"/>
      <c r="L3" s="12"/>
      <c r="M3" s="12"/>
      <c r="N3" s="12"/>
      <c r="O3" s="13"/>
    </row>
    <row r="4" ht="15.75" customHeight="1">
      <c r="D4" s="326" t="s">
        <v>23</v>
      </c>
      <c r="E4" s="51"/>
      <c r="F4" s="51"/>
      <c r="G4" s="51"/>
      <c r="H4" s="52"/>
      <c r="I4" s="434" t="str">
        <f>'EVALUACIÓN'!H4</f>
        <v>OSKAR MUÑOZ GALIANEZ</v>
      </c>
      <c r="J4" s="12"/>
      <c r="K4" s="13"/>
      <c r="L4" s="434"/>
      <c r="M4" s="12"/>
      <c r="N4" s="12"/>
      <c r="O4" s="13"/>
    </row>
    <row r="5" ht="15.75" customHeight="1">
      <c r="D5" s="334" t="s">
        <v>24</v>
      </c>
      <c r="E5" s="68"/>
      <c r="F5" s="68"/>
      <c r="G5" s="68"/>
      <c r="H5" s="39"/>
      <c r="I5" s="435" t="str">
        <f>'EVALUACIÓN'!H5</f>
        <v>SISTEMAS OPERATIVOS MONOPUESTO</v>
      </c>
      <c r="J5" s="2"/>
      <c r="K5" s="2"/>
      <c r="L5" s="2"/>
      <c r="M5" s="2"/>
      <c r="N5" s="2"/>
      <c r="O5" s="3"/>
    </row>
    <row r="6" ht="21.0" customHeight="1">
      <c r="D6" s="436" t="s">
        <v>25</v>
      </c>
      <c r="E6" s="72"/>
      <c r="F6" s="437" t="s">
        <v>26</v>
      </c>
      <c r="G6" s="342"/>
      <c r="H6" s="438" t="s">
        <v>27</v>
      </c>
      <c r="I6" s="343"/>
      <c r="J6" s="436" t="s">
        <v>25</v>
      </c>
      <c r="K6" s="72"/>
      <c r="L6" s="437" t="s">
        <v>26</v>
      </c>
      <c r="M6" s="342"/>
      <c r="N6" s="438" t="s">
        <v>27</v>
      </c>
      <c r="O6" s="343"/>
    </row>
    <row r="7" ht="42.0" customHeight="1">
      <c r="D7" s="439" t="s">
        <v>93</v>
      </c>
      <c r="E7" s="12"/>
      <c r="F7" s="12"/>
      <c r="G7" s="12"/>
      <c r="H7" s="12"/>
      <c r="I7" s="440"/>
      <c r="J7" s="441" t="s">
        <v>56</v>
      </c>
      <c r="K7" s="12"/>
      <c r="L7" s="12"/>
      <c r="M7" s="12"/>
      <c r="N7" s="12"/>
      <c r="O7" s="440"/>
    </row>
    <row r="8" ht="16.5" customHeight="1">
      <c r="A8" s="364" t="s">
        <v>29</v>
      </c>
      <c r="B8" s="175" t="s">
        <v>30</v>
      </c>
      <c r="C8" s="227"/>
      <c r="D8" s="442" t="s">
        <v>117</v>
      </c>
      <c r="E8" s="443" t="s">
        <v>118</v>
      </c>
      <c r="F8" s="444" t="str">
        <f t="shared" ref="F8:G8" si="1">D8</f>
        <v>TOTAL CELDAS</v>
      </c>
      <c r="G8" s="444" t="str">
        <f t="shared" si="1"/>
        <v>TAREAS EVALUADAS</v>
      </c>
      <c r="H8" s="445" t="str">
        <f t="shared" ref="H8:I8" si="2">D8</f>
        <v>TOTAL CELDAS</v>
      </c>
      <c r="I8" s="446" t="str">
        <f t="shared" si="2"/>
        <v>TAREAS EVALUADAS</v>
      </c>
      <c r="J8" s="447" t="s">
        <v>119</v>
      </c>
      <c r="K8" s="443" t="s">
        <v>120</v>
      </c>
      <c r="L8" s="444" t="str">
        <f>J8</f>
        <v>% TAREAS EVALUADAS</v>
      </c>
      <c r="M8" s="448" t="s">
        <v>120</v>
      </c>
      <c r="N8" s="445" t="str">
        <f>J8</f>
        <v>% TAREAS EVALUADAS</v>
      </c>
      <c r="O8" s="449" t="s">
        <v>120</v>
      </c>
    </row>
    <row r="9" ht="21.75" customHeight="1">
      <c r="A9" s="155"/>
      <c r="B9" s="117"/>
      <c r="C9" s="374"/>
      <c r="D9" s="121"/>
      <c r="E9" s="35"/>
      <c r="F9" s="35"/>
      <c r="G9" s="35"/>
      <c r="H9" s="35"/>
      <c r="I9" s="122"/>
      <c r="J9" s="10"/>
      <c r="K9" s="35"/>
      <c r="L9" s="35"/>
      <c r="M9" s="35"/>
      <c r="N9" s="35"/>
      <c r="O9" s="35"/>
    </row>
    <row r="10" ht="15.75" customHeight="1">
      <c r="A10" s="263" t="str">
        <f>INSTITUTO!A10</f>
        <v>ACT</v>
      </c>
      <c r="B10" s="264">
        <f>INSTITUTO!B10</f>
        <v>1</v>
      </c>
      <c r="C10" s="391" t="str">
        <f>INSTITUTO!C10</f>
        <v>Aragón Garcia, Gonzalo</v>
      </c>
      <c r="D10" s="450">
        <f>COUNTA('EVALUACIÓN'!$H$9:$M$9)</f>
        <v>6</v>
      </c>
      <c r="E10" s="451">
        <f>COUNT('EVALUACIÓN'!H10:M10)</f>
        <v>6</v>
      </c>
      <c r="F10" s="452">
        <f>COUNTA('EVALUACIÓN'!$V$9:$Y$9)</f>
        <v>4</v>
      </c>
      <c r="G10" s="452">
        <f>COUNT('EVALUACIÓN'!V10:Y10)</f>
        <v>4</v>
      </c>
      <c r="H10" s="453">
        <f>COUNTA('EVALUACIÓN'!$AH$9:$AK$9)</f>
        <v>4</v>
      </c>
      <c r="I10" s="454">
        <f>COUNT('EVALUACIÓN'!AH10:AK10)</f>
        <v>4</v>
      </c>
      <c r="J10" s="455">
        <f t="shared" ref="J10:J44" si="3">E10/D10</f>
        <v>1</v>
      </c>
      <c r="K10" s="456">
        <f>'EVALUACIÓN'!N10</f>
        <v>7.666666667</v>
      </c>
      <c r="L10" s="457">
        <f t="shared" ref="L10:L44" si="4">G10/F10</f>
        <v>1</v>
      </c>
      <c r="M10" s="458">
        <f>'EVALUACIÓN'!Z10</f>
        <v>6.65</v>
      </c>
      <c r="N10" s="459">
        <f t="shared" ref="N10:N44" si="5">I10/H10</f>
        <v>1</v>
      </c>
      <c r="O10" s="460">
        <f>'EVALUACIÓN'!AL10</f>
        <v>7.625</v>
      </c>
    </row>
    <row r="11" ht="15.75" customHeight="1">
      <c r="A11" s="263" t="str">
        <f>INSTITUTO!A11</f>
        <v>ACT</v>
      </c>
      <c r="B11" s="264">
        <f>INSTITUTO!B11</f>
        <v>2</v>
      </c>
      <c r="C11" s="391" t="str">
        <f>INSTITUTO!C11</f>
        <v>Ariza Criado, Guillermo</v>
      </c>
      <c r="D11" s="450">
        <f>COUNTA('EVALUACIÓN'!$H$9:$M$9)</f>
        <v>6</v>
      </c>
      <c r="E11" s="451">
        <f>COUNT('EVALUACIÓN'!H11:M11)</f>
        <v>6</v>
      </c>
      <c r="F11" s="452">
        <f>COUNTA('EVALUACIÓN'!$V$9:$Y$9)</f>
        <v>4</v>
      </c>
      <c r="G11" s="452">
        <f>COUNT('EVALUACIÓN'!V11:Y11)</f>
        <v>4</v>
      </c>
      <c r="H11" s="453">
        <f>COUNTA('EVALUACIÓN'!$AH$9:$AK$9)</f>
        <v>4</v>
      </c>
      <c r="I11" s="454">
        <f>COUNT('EVALUACIÓN'!AH11:AK11)</f>
        <v>4</v>
      </c>
      <c r="J11" s="455">
        <f t="shared" si="3"/>
        <v>1</v>
      </c>
      <c r="K11" s="456">
        <f>'EVALUACIÓN'!N11</f>
        <v>8.7</v>
      </c>
      <c r="L11" s="457">
        <f t="shared" si="4"/>
        <v>1</v>
      </c>
      <c r="M11" s="458">
        <f>'EVALUACIÓN'!Z11</f>
        <v>6.8</v>
      </c>
      <c r="N11" s="459">
        <f t="shared" si="5"/>
        <v>1</v>
      </c>
      <c r="O11" s="460">
        <f>'EVALUACIÓN'!AL11</f>
        <v>9.625</v>
      </c>
    </row>
    <row r="12" ht="15.75" customHeight="1">
      <c r="A12" s="263" t="str">
        <f>INSTITUTO!A12</f>
        <v>ACT</v>
      </c>
      <c r="B12" s="264">
        <f>INSTITUTO!B12</f>
        <v>3</v>
      </c>
      <c r="C12" s="391" t="str">
        <f>INSTITUTO!C12</f>
        <v>Barrera Cifuentes, Javier</v>
      </c>
      <c r="D12" s="450">
        <f>COUNTA('EVALUACIÓN'!$H$9:$M$9)</f>
        <v>6</v>
      </c>
      <c r="E12" s="451">
        <f>COUNT('EVALUACIÓN'!H12:M12)</f>
        <v>6</v>
      </c>
      <c r="F12" s="452">
        <f>COUNTA('EVALUACIÓN'!$V$9:$Y$9)</f>
        <v>4</v>
      </c>
      <c r="G12" s="452">
        <f>COUNT('EVALUACIÓN'!V12:Y12)</f>
        <v>4</v>
      </c>
      <c r="H12" s="453">
        <f>COUNTA('EVALUACIÓN'!$AH$9:$AK$9)</f>
        <v>4</v>
      </c>
      <c r="I12" s="454">
        <f>COUNT('EVALUACIÓN'!AH12:AK12)</f>
        <v>4</v>
      </c>
      <c r="J12" s="455">
        <f t="shared" si="3"/>
        <v>1</v>
      </c>
      <c r="K12" s="456">
        <f>'EVALUACIÓN'!N12</f>
        <v>7.716666667</v>
      </c>
      <c r="L12" s="457">
        <f t="shared" si="4"/>
        <v>1</v>
      </c>
      <c r="M12" s="458">
        <f>'EVALUACIÓN'!Z12</f>
        <v>5.975</v>
      </c>
      <c r="N12" s="459">
        <f t="shared" si="5"/>
        <v>1</v>
      </c>
      <c r="O12" s="460">
        <f>'EVALUACIÓN'!AL12</f>
        <v>6.5</v>
      </c>
    </row>
    <row r="13" ht="15.75" customHeight="1">
      <c r="A13" s="263" t="str">
        <f>INSTITUTO!A13</f>
        <v>ACT</v>
      </c>
      <c r="B13" s="264">
        <f>INSTITUTO!B13</f>
        <v>4</v>
      </c>
      <c r="C13" s="391" t="str">
        <f>INSTITUTO!C13</f>
        <v>Bautista Gahona, Santiago María</v>
      </c>
      <c r="D13" s="450">
        <f>COUNTA('EVALUACIÓN'!$H$9:$M$9)</f>
        <v>6</v>
      </c>
      <c r="E13" s="451">
        <f>COUNT('EVALUACIÓN'!H13:M13)</f>
        <v>6</v>
      </c>
      <c r="F13" s="452">
        <f>COUNTA('EVALUACIÓN'!$V$9:$Y$9)</f>
        <v>4</v>
      </c>
      <c r="G13" s="452">
        <f>COUNT('EVALUACIÓN'!V13:Y13)</f>
        <v>4</v>
      </c>
      <c r="H13" s="453">
        <f>COUNTA('EVALUACIÓN'!$AH$9:$AK$9)</f>
        <v>4</v>
      </c>
      <c r="I13" s="454">
        <f>COUNT('EVALUACIÓN'!AH13:AK13)</f>
        <v>4</v>
      </c>
      <c r="J13" s="455">
        <f t="shared" si="3"/>
        <v>1</v>
      </c>
      <c r="K13" s="456">
        <f>'EVALUACIÓN'!N13</f>
        <v>7.816666667</v>
      </c>
      <c r="L13" s="457">
        <f t="shared" si="4"/>
        <v>1</v>
      </c>
      <c r="M13" s="458">
        <f>'EVALUACIÓN'!Z13</f>
        <v>5.025</v>
      </c>
      <c r="N13" s="459">
        <f t="shared" si="5"/>
        <v>1</v>
      </c>
      <c r="O13" s="460">
        <f>'EVALUACIÓN'!AL13</f>
        <v>0</v>
      </c>
    </row>
    <row r="14" ht="15.75" customHeight="1">
      <c r="A14" s="263" t="str">
        <f>INSTITUTO!A14</f>
        <v>ACT</v>
      </c>
      <c r="B14" s="264">
        <f>INSTITUTO!B14</f>
        <v>5</v>
      </c>
      <c r="C14" s="391" t="str">
        <f>INSTITUTO!C14</f>
        <v>Bautista Molina, Alejandro</v>
      </c>
      <c r="D14" s="450">
        <f>COUNTA('EVALUACIÓN'!$H$9:$M$9)</f>
        <v>6</v>
      </c>
      <c r="E14" s="451">
        <f>COUNT('EVALUACIÓN'!H14:M14)</f>
        <v>6</v>
      </c>
      <c r="F14" s="452">
        <f>COUNTA('EVALUACIÓN'!$V$9:$Y$9)</f>
        <v>4</v>
      </c>
      <c r="G14" s="452">
        <f>COUNT('EVALUACIÓN'!V14:Y14)</f>
        <v>4</v>
      </c>
      <c r="H14" s="453">
        <f>COUNTA('EVALUACIÓN'!$AH$9:$AK$9)</f>
        <v>4</v>
      </c>
      <c r="I14" s="454">
        <f>COUNT('EVALUACIÓN'!AH14:AK14)</f>
        <v>4</v>
      </c>
      <c r="J14" s="455">
        <f t="shared" si="3"/>
        <v>1</v>
      </c>
      <c r="K14" s="456">
        <f>'EVALUACIÓN'!N14</f>
        <v>8.333333333</v>
      </c>
      <c r="L14" s="457">
        <f t="shared" si="4"/>
        <v>1</v>
      </c>
      <c r="M14" s="458">
        <f>'EVALUACIÓN'!Z14</f>
        <v>5.9</v>
      </c>
      <c r="N14" s="459">
        <f t="shared" si="5"/>
        <v>1</v>
      </c>
      <c r="O14" s="460">
        <f>'EVALUACIÓN'!AL14</f>
        <v>7.875</v>
      </c>
    </row>
    <row r="15" ht="15.75" customHeight="1">
      <c r="A15" s="263" t="str">
        <f>INSTITUTO!A15</f>
        <v>ACT</v>
      </c>
      <c r="B15" s="264">
        <f>INSTITUTO!B15</f>
        <v>6</v>
      </c>
      <c r="C15" s="391" t="str">
        <f>INSTITUTO!C15</f>
        <v>Bustamante Navarro, Carlos de</v>
      </c>
      <c r="D15" s="450">
        <f>COUNTA('EVALUACIÓN'!$H$9:$M$9)</f>
        <v>6</v>
      </c>
      <c r="E15" s="451">
        <f>COUNT('EVALUACIÓN'!H15:M15)</f>
        <v>6</v>
      </c>
      <c r="F15" s="452">
        <f>COUNTA('EVALUACIÓN'!$V$9:$Y$9)</f>
        <v>4</v>
      </c>
      <c r="G15" s="452">
        <f>COUNT('EVALUACIÓN'!V15:Y15)</f>
        <v>4</v>
      </c>
      <c r="H15" s="453">
        <f>COUNTA('EVALUACIÓN'!$AH$9:$AK$9)</f>
        <v>4</v>
      </c>
      <c r="I15" s="454">
        <f>COUNT('EVALUACIÓN'!AH15:AK15)</f>
        <v>4</v>
      </c>
      <c r="J15" s="455">
        <f t="shared" si="3"/>
        <v>1</v>
      </c>
      <c r="K15" s="456">
        <f>'EVALUACIÓN'!N15</f>
        <v>6.7</v>
      </c>
      <c r="L15" s="457">
        <f t="shared" si="4"/>
        <v>1</v>
      </c>
      <c r="M15" s="458">
        <f>'EVALUACIÓN'!Z15</f>
        <v>5.85</v>
      </c>
      <c r="N15" s="459">
        <f t="shared" si="5"/>
        <v>1</v>
      </c>
      <c r="O15" s="460">
        <f>'EVALUACIÓN'!AL15</f>
        <v>8.375</v>
      </c>
    </row>
    <row r="16" ht="15.75" customHeight="1">
      <c r="A16" s="263" t="str">
        <f>INSTITUTO!A16</f>
        <v>ACT</v>
      </c>
      <c r="B16" s="264">
        <f>INSTITUTO!B16</f>
        <v>7</v>
      </c>
      <c r="C16" s="391" t="str">
        <f>INSTITUTO!C16</f>
        <v>Caldera Pinto, Miguel Ángel</v>
      </c>
      <c r="D16" s="450">
        <f>COUNTA('EVALUACIÓN'!$H$9:$M$9)</f>
        <v>6</v>
      </c>
      <c r="E16" s="451">
        <f>COUNT('EVALUACIÓN'!H16:M16)</f>
        <v>6</v>
      </c>
      <c r="F16" s="452">
        <f>COUNTA('EVALUACIÓN'!$V$9:$Y$9)</f>
        <v>4</v>
      </c>
      <c r="G16" s="452">
        <f>COUNT('EVALUACIÓN'!V16:Y16)</f>
        <v>4</v>
      </c>
      <c r="H16" s="453">
        <f>COUNTA('EVALUACIÓN'!$AH$9:$AK$9)</f>
        <v>4</v>
      </c>
      <c r="I16" s="454">
        <f>COUNT('EVALUACIÓN'!AH16:AK16)</f>
        <v>4</v>
      </c>
      <c r="J16" s="455">
        <f t="shared" si="3"/>
        <v>1</v>
      </c>
      <c r="K16" s="456">
        <f>'EVALUACIÓN'!N16</f>
        <v>8.4</v>
      </c>
      <c r="L16" s="457">
        <f t="shared" si="4"/>
        <v>1</v>
      </c>
      <c r="M16" s="458">
        <f>'EVALUACIÓN'!Z16</f>
        <v>7.775</v>
      </c>
      <c r="N16" s="459">
        <f t="shared" si="5"/>
        <v>1</v>
      </c>
      <c r="O16" s="460">
        <f>'EVALUACIÓN'!AL16</f>
        <v>9.25</v>
      </c>
    </row>
    <row r="17" ht="15.75" customHeight="1">
      <c r="A17" s="263" t="str">
        <f>INSTITUTO!A17</f>
        <v>ACT</v>
      </c>
      <c r="B17" s="264">
        <f>INSTITUTO!B17</f>
        <v>8</v>
      </c>
      <c r="C17" s="391" t="str">
        <f>INSTITUTO!C17</f>
        <v>Camúñez Hidalgo, José Antonio</v>
      </c>
      <c r="D17" s="450">
        <f>COUNTA('EVALUACIÓN'!$H$9:$M$9)</f>
        <v>6</v>
      </c>
      <c r="E17" s="451">
        <f>COUNT('EVALUACIÓN'!H17:M17)</f>
        <v>6</v>
      </c>
      <c r="F17" s="452">
        <f>COUNTA('EVALUACIÓN'!$V$9:$Y$9)</f>
        <v>4</v>
      </c>
      <c r="G17" s="452">
        <f>COUNT('EVALUACIÓN'!V17:Y17)</f>
        <v>4</v>
      </c>
      <c r="H17" s="453">
        <f>COUNTA('EVALUACIÓN'!$AH$9:$AK$9)</f>
        <v>4</v>
      </c>
      <c r="I17" s="454">
        <f>COUNT('EVALUACIÓN'!AH17:AK17)</f>
        <v>4</v>
      </c>
      <c r="J17" s="455">
        <f t="shared" si="3"/>
        <v>1</v>
      </c>
      <c r="K17" s="456">
        <f>'EVALUACIÓN'!N17</f>
        <v>7.15</v>
      </c>
      <c r="L17" s="457">
        <f t="shared" si="4"/>
        <v>1</v>
      </c>
      <c r="M17" s="458">
        <f>'EVALUACIÓN'!Z17</f>
        <v>6.525</v>
      </c>
      <c r="N17" s="459">
        <f t="shared" si="5"/>
        <v>1</v>
      </c>
      <c r="O17" s="460">
        <f>'EVALUACIÓN'!AL17</f>
        <v>8.575</v>
      </c>
    </row>
    <row r="18" ht="15.75" customHeight="1">
      <c r="A18" s="263" t="str">
        <f>INSTITUTO!A18</f>
        <v>ACT</v>
      </c>
      <c r="B18" s="264">
        <f>INSTITUTO!B18</f>
        <v>9</v>
      </c>
      <c r="C18" s="391" t="str">
        <f>INSTITUTO!C18</f>
        <v>Cano Ortega, Javier</v>
      </c>
      <c r="D18" s="450">
        <f>COUNTA('EVALUACIÓN'!$H$9:$M$9)</f>
        <v>6</v>
      </c>
      <c r="E18" s="451">
        <f>COUNT('EVALUACIÓN'!H18:M18)</f>
        <v>6</v>
      </c>
      <c r="F18" s="452">
        <f>COUNTA('EVALUACIÓN'!$V$9:$Y$9)</f>
        <v>4</v>
      </c>
      <c r="G18" s="452">
        <f>COUNT('EVALUACIÓN'!V18:Y18)</f>
        <v>4</v>
      </c>
      <c r="H18" s="453">
        <f>COUNTA('EVALUACIÓN'!$AH$9:$AK$9)</f>
        <v>4</v>
      </c>
      <c r="I18" s="454">
        <f>COUNT('EVALUACIÓN'!AH18:AK18)</f>
        <v>4</v>
      </c>
      <c r="J18" s="455">
        <f t="shared" si="3"/>
        <v>1</v>
      </c>
      <c r="K18" s="456">
        <f>'EVALUACIÓN'!N18</f>
        <v>7.233333333</v>
      </c>
      <c r="L18" s="457">
        <f t="shared" si="4"/>
        <v>1</v>
      </c>
      <c r="M18" s="458">
        <f>'EVALUACIÓN'!Z18</f>
        <v>7.25</v>
      </c>
      <c r="N18" s="459">
        <f t="shared" si="5"/>
        <v>1</v>
      </c>
      <c r="O18" s="460">
        <f>'EVALUACIÓN'!AL18</f>
        <v>8.375</v>
      </c>
    </row>
    <row r="19" ht="15.75" customHeight="1">
      <c r="A19" s="263" t="str">
        <f>INSTITUTO!A19</f>
        <v>ACT</v>
      </c>
      <c r="B19" s="264">
        <f>INSTITUTO!B19</f>
        <v>10</v>
      </c>
      <c r="C19" s="391" t="str">
        <f>INSTITUTO!C19</f>
        <v>Córdova Milani, Bruno</v>
      </c>
      <c r="D19" s="450">
        <f>COUNTA('EVALUACIÓN'!$H$9:$M$9)</f>
        <v>6</v>
      </c>
      <c r="E19" s="451">
        <f>COUNT('EVALUACIÓN'!H19:M19)</f>
        <v>6</v>
      </c>
      <c r="F19" s="452">
        <f>COUNTA('EVALUACIÓN'!$V$9:$Y$9)</f>
        <v>4</v>
      </c>
      <c r="G19" s="452">
        <f>COUNT('EVALUACIÓN'!V19:Y19)</f>
        <v>4</v>
      </c>
      <c r="H19" s="453">
        <f>COUNTA('EVALUACIÓN'!$AH$9:$AK$9)</f>
        <v>4</v>
      </c>
      <c r="I19" s="454">
        <f>COUNT('EVALUACIÓN'!AH19:AK19)</f>
        <v>4</v>
      </c>
      <c r="J19" s="455">
        <f t="shared" si="3"/>
        <v>1</v>
      </c>
      <c r="K19" s="456">
        <f>'EVALUACIÓN'!N19</f>
        <v>7.15</v>
      </c>
      <c r="L19" s="457">
        <f t="shared" si="4"/>
        <v>1</v>
      </c>
      <c r="M19" s="458">
        <f>'EVALUACIÓN'!Z19</f>
        <v>4.325</v>
      </c>
      <c r="N19" s="459">
        <f t="shared" si="5"/>
        <v>1</v>
      </c>
      <c r="O19" s="460">
        <f>'EVALUACIÓN'!AL19</f>
        <v>6.25</v>
      </c>
    </row>
    <row r="20" ht="15.75" customHeight="1">
      <c r="A20" s="263" t="str">
        <f>INSTITUTO!A20</f>
        <v>ACT</v>
      </c>
      <c r="B20" s="264">
        <f>INSTITUTO!B20</f>
        <v>11</v>
      </c>
      <c r="C20" s="391" t="str">
        <f>INSTITUTO!C20</f>
        <v>Cuenca Trasmonte, Daniel</v>
      </c>
      <c r="D20" s="450">
        <f>COUNTA('EVALUACIÓN'!$H$9:$M$9)</f>
        <v>6</v>
      </c>
      <c r="E20" s="451">
        <f>COUNT('EVALUACIÓN'!H20:M20)</f>
        <v>6</v>
      </c>
      <c r="F20" s="452">
        <f>COUNTA('EVALUACIÓN'!$V$9:$Y$9)</f>
        <v>4</v>
      </c>
      <c r="G20" s="452">
        <f>COUNT('EVALUACIÓN'!V20:Y20)</f>
        <v>4</v>
      </c>
      <c r="H20" s="453">
        <f>COUNTA('EVALUACIÓN'!$AH$9:$AK$9)</f>
        <v>4</v>
      </c>
      <c r="I20" s="454">
        <f>COUNT('EVALUACIÓN'!AH20:AK20)</f>
        <v>4</v>
      </c>
      <c r="J20" s="455">
        <f t="shared" si="3"/>
        <v>1</v>
      </c>
      <c r="K20" s="456">
        <f>'EVALUACIÓN'!N20</f>
        <v>8.366666667</v>
      </c>
      <c r="L20" s="457">
        <f t="shared" si="4"/>
        <v>1</v>
      </c>
      <c r="M20" s="458">
        <f>'EVALUACIÓN'!Z20</f>
        <v>9.65</v>
      </c>
      <c r="N20" s="459">
        <f t="shared" si="5"/>
        <v>1</v>
      </c>
      <c r="O20" s="460">
        <f>'EVALUACIÓN'!AL20</f>
        <v>8.75</v>
      </c>
    </row>
    <row r="21" ht="15.75" customHeight="1">
      <c r="A21" s="263" t="str">
        <f>INSTITUTO!A21</f>
        <v>ACT</v>
      </c>
      <c r="B21" s="264">
        <f>INSTITUTO!B21</f>
        <v>12</v>
      </c>
      <c r="C21" s="391" t="str">
        <f>INSTITUTO!C21</f>
        <v>Esteve Martínez, Jaime</v>
      </c>
      <c r="D21" s="450">
        <f>COUNTA('EVALUACIÓN'!$H$9:$M$9)</f>
        <v>6</v>
      </c>
      <c r="E21" s="451">
        <f>COUNT('EVALUACIÓN'!H21:M21)</f>
        <v>6</v>
      </c>
      <c r="F21" s="452">
        <f>COUNTA('EVALUACIÓN'!$V$9:$Y$9)</f>
        <v>4</v>
      </c>
      <c r="G21" s="452">
        <f>COUNT('EVALUACIÓN'!V21:Y21)</f>
        <v>4</v>
      </c>
      <c r="H21" s="453">
        <f>COUNTA('EVALUACIÓN'!$AH$9:$AK$9)</f>
        <v>4</v>
      </c>
      <c r="I21" s="454">
        <f>COUNT('EVALUACIÓN'!AH21:AK21)</f>
        <v>4</v>
      </c>
      <c r="J21" s="455">
        <f t="shared" si="3"/>
        <v>1</v>
      </c>
      <c r="K21" s="456">
        <f>'EVALUACIÓN'!N21</f>
        <v>7.283333333</v>
      </c>
      <c r="L21" s="457">
        <f t="shared" si="4"/>
        <v>1</v>
      </c>
      <c r="M21" s="458">
        <f>'EVALUACIÓN'!Z21</f>
        <v>6.1</v>
      </c>
      <c r="N21" s="459">
        <f t="shared" si="5"/>
        <v>1</v>
      </c>
      <c r="O21" s="460">
        <f>'EVALUACIÓN'!AL21</f>
        <v>7.15</v>
      </c>
    </row>
    <row r="22" ht="15.75" customHeight="1">
      <c r="A22" s="263" t="str">
        <f>INSTITUTO!A22</f>
        <v>ACT</v>
      </c>
      <c r="B22" s="264">
        <f>INSTITUTO!B22</f>
        <v>13</v>
      </c>
      <c r="C22" s="391" t="str">
        <f>INSTITUTO!C22</f>
        <v>Ferreira Casero, Gonzalo</v>
      </c>
      <c r="D22" s="450">
        <f>COUNTA('EVALUACIÓN'!$H$9:$M$9)</f>
        <v>6</v>
      </c>
      <c r="E22" s="451">
        <f>COUNT('EVALUACIÓN'!H22:M22)</f>
        <v>6</v>
      </c>
      <c r="F22" s="452">
        <f>COUNTA('EVALUACIÓN'!$V$9:$Y$9)</f>
        <v>4</v>
      </c>
      <c r="G22" s="452">
        <f>COUNT('EVALUACIÓN'!V22:Y22)</f>
        <v>4</v>
      </c>
      <c r="H22" s="453">
        <f>COUNTA('EVALUACIÓN'!$AH$9:$AK$9)</f>
        <v>4</v>
      </c>
      <c r="I22" s="454">
        <f>COUNT('EVALUACIÓN'!AH22:AK22)</f>
        <v>4</v>
      </c>
      <c r="J22" s="455">
        <f t="shared" si="3"/>
        <v>1</v>
      </c>
      <c r="K22" s="456">
        <f>'EVALUACIÓN'!N22</f>
        <v>8.6</v>
      </c>
      <c r="L22" s="457">
        <f t="shared" si="4"/>
        <v>1</v>
      </c>
      <c r="M22" s="458">
        <f>'EVALUACIÓN'!Z22</f>
        <v>9.225</v>
      </c>
      <c r="N22" s="459">
        <f t="shared" si="5"/>
        <v>1</v>
      </c>
      <c r="O22" s="460">
        <f>'EVALUACIÓN'!AL22</f>
        <v>7.75</v>
      </c>
    </row>
    <row r="23" ht="15.75" customHeight="1">
      <c r="A23" s="263" t="str">
        <f>INSTITUTO!A23</f>
        <v>ACT</v>
      </c>
      <c r="B23" s="264">
        <f>INSTITUTO!B23</f>
        <v>14</v>
      </c>
      <c r="C23" s="391" t="str">
        <f>INSTITUTO!C23</f>
        <v>Florencio Pliego, Francisco</v>
      </c>
      <c r="D23" s="450">
        <f>COUNTA('EVALUACIÓN'!$H$9:$M$9)</f>
        <v>6</v>
      </c>
      <c r="E23" s="451">
        <f>COUNT('EVALUACIÓN'!H23:M23)</f>
        <v>6</v>
      </c>
      <c r="F23" s="452">
        <f>COUNTA('EVALUACIÓN'!$V$9:$Y$9)</f>
        <v>4</v>
      </c>
      <c r="G23" s="452">
        <f>COUNT('EVALUACIÓN'!V23:Y23)</f>
        <v>4</v>
      </c>
      <c r="H23" s="453">
        <f>COUNTA('EVALUACIÓN'!$AH$9:$AK$9)</f>
        <v>4</v>
      </c>
      <c r="I23" s="454">
        <f>COUNT('EVALUACIÓN'!AH23:AK23)</f>
        <v>4</v>
      </c>
      <c r="J23" s="455">
        <f t="shared" si="3"/>
        <v>1</v>
      </c>
      <c r="K23" s="456">
        <f>'EVALUACIÓN'!N23</f>
        <v>7.533333333</v>
      </c>
      <c r="L23" s="457">
        <f t="shared" si="4"/>
        <v>1</v>
      </c>
      <c r="M23" s="458">
        <f>'EVALUACIÓN'!Z23</f>
        <v>5.55</v>
      </c>
      <c r="N23" s="459">
        <f t="shared" si="5"/>
        <v>1</v>
      </c>
      <c r="O23" s="460">
        <f>'EVALUACIÓN'!AL23</f>
        <v>6.75</v>
      </c>
    </row>
    <row r="24" ht="15.75" customHeight="1">
      <c r="A24" s="263" t="str">
        <f>INSTITUTO!A24</f>
        <v>ACT</v>
      </c>
      <c r="B24" s="264">
        <f>INSTITUTO!B24</f>
        <v>15</v>
      </c>
      <c r="C24" s="391" t="str">
        <f>INSTITUTO!C24</f>
        <v>Gómez García, Irene</v>
      </c>
      <c r="D24" s="450">
        <f>COUNTA('EVALUACIÓN'!$H$9:$M$9)</f>
        <v>6</v>
      </c>
      <c r="E24" s="451">
        <f>COUNT('EVALUACIÓN'!H24:M24)</f>
        <v>6</v>
      </c>
      <c r="F24" s="452">
        <f>COUNTA('EVALUACIÓN'!$V$9:$Y$9)</f>
        <v>4</v>
      </c>
      <c r="G24" s="452">
        <f>COUNT('EVALUACIÓN'!V24:Y24)</f>
        <v>4</v>
      </c>
      <c r="H24" s="453">
        <f>COUNTA('EVALUACIÓN'!$AH$9:$AK$9)</f>
        <v>4</v>
      </c>
      <c r="I24" s="454">
        <f>COUNT('EVALUACIÓN'!AH24:AK24)</f>
        <v>4</v>
      </c>
      <c r="J24" s="455">
        <f t="shared" si="3"/>
        <v>1</v>
      </c>
      <c r="K24" s="456">
        <f>'EVALUACIÓN'!N24</f>
        <v>7.65</v>
      </c>
      <c r="L24" s="457">
        <f t="shared" si="4"/>
        <v>1</v>
      </c>
      <c r="M24" s="458">
        <f>'EVALUACIÓN'!Z24</f>
        <v>8.275</v>
      </c>
      <c r="N24" s="459">
        <f t="shared" si="5"/>
        <v>1</v>
      </c>
      <c r="O24" s="460">
        <f>'EVALUACIÓN'!AL24</f>
        <v>9.25</v>
      </c>
    </row>
    <row r="25" ht="15.75" customHeight="1">
      <c r="A25" s="263" t="str">
        <f>INSTITUTO!A25</f>
        <v>ACT</v>
      </c>
      <c r="B25" s="264">
        <f>INSTITUTO!B25</f>
        <v>16</v>
      </c>
      <c r="C25" s="391" t="str">
        <f>INSTITUTO!C25</f>
        <v>González Perdomo, Jonathan Vladimir</v>
      </c>
      <c r="D25" s="450">
        <f>COUNTA('EVALUACIÓN'!$H$9:$M$9)</f>
        <v>6</v>
      </c>
      <c r="E25" s="451">
        <f>COUNT('EVALUACIÓN'!H25:M25)</f>
        <v>6</v>
      </c>
      <c r="F25" s="452">
        <f>COUNTA('EVALUACIÓN'!$V$9:$Y$9)</f>
        <v>4</v>
      </c>
      <c r="G25" s="452">
        <f>COUNT('EVALUACIÓN'!V25:Y25)</f>
        <v>4</v>
      </c>
      <c r="H25" s="453">
        <f>COUNTA('EVALUACIÓN'!$AH$9:$AK$9)</f>
        <v>4</v>
      </c>
      <c r="I25" s="454">
        <f>COUNT('EVALUACIÓN'!AH25:AK25)</f>
        <v>4</v>
      </c>
      <c r="J25" s="455">
        <f t="shared" si="3"/>
        <v>1</v>
      </c>
      <c r="K25" s="456">
        <f>'EVALUACIÓN'!N25</f>
        <v>7.583333333</v>
      </c>
      <c r="L25" s="457">
        <f t="shared" si="4"/>
        <v>1</v>
      </c>
      <c r="M25" s="458">
        <f>'EVALUACIÓN'!Z25</f>
        <v>6.75</v>
      </c>
      <c r="N25" s="459">
        <f t="shared" si="5"/>
        <v>1</v>
      </c>
      <c r="O25" s="460">
        <f>'EVALUACIÓN'!AL25</f>
        <v>7.5</v>
      </c>
    </row>
    <row r="26" ht="15.75" customHeight="1">
      <c r="A26" s="263" t="str">
        <f>INSTITUTO!A26</f>
        <v>ACT</v>
      </c>
      <c r="B26" s="264">
        <f>INSTITUTO!B26</f>
        <v>17</v>
      </c>
      <c r="C26" s="391" t="str">
        <f>INSTITUTO!C26</f>
        <v>Jiménez Hernández, Jesús</v>
      </c>
      <c r="D26" s="450">
        <f>COUNTA('EVALUACIÓN'!$H$9:$M$9)</f>
        <v>6</v>
      </c>
      <c r="E26" s="451">
        <f>COUNT('EVALUACIÓN'!H26:M26)</f>
        <v>6</v>
      </c>
      <c r="F26" s="452">
        <f>COUNTA('EVALUACIÓN'!$V$9:$Y$9)</f>
        <v>4</v>
      </c>
      <c r="G26" s="452">
        <f>COUNT('EVALUACIÓN'!V26:Y26)</f>
        <v>4</v>
      </c>
      <c r="H26" s="453">
        <f>COUNTA('EVALUACIÓN'!$AH$9:$AK$9)</f>
        <v>4</v>
      </c>
      <c r="I26" s="454">
        <f>COUNT('EVALUACIÓN'!AH26:AK26)</f>
        <v>4</v>
      </c>
      <c r="J26" s="455">
        <f t="shared" si="3"/>
        <v>1</v>
      </c>
      <c r="K26" s="456">
        <f>'EVALUACIÓN'!N26</f>
        <v>7.5</v>
      </c>
      <c r="L26" s="457">
        <f t="shared" si="4"/>
        <v>1</v>
      </c>
      <c r="M26" s="458">
        <f>'EVALUACIÓN'!Z26</f>
        <v>6.775</v>
      </c>
      <c r="N26" s="459">
        <f t="shared" si="5"/>
        <v>1</v>
      </c>
      <c r="O26" s="460">
        <f>'EVALUACIÓN'!AL26</f>
        <v>5.6</v>
      </c>
    </row>
    <row r="27" ht="15.75" customHeight="1">
      <c r="A27" s="263" t="str">
        <f>INSTITUTO!A27</f>
        <v>ACT</v>
      </c>
      <c r="B27" s="264">
        <f>INSTITUTO!B27</f>
        <v>18</v>
      </c>
      <c r="C27" s="391" t="str">
        <f>INSTITUTO!C27</f>
        <v>Martel León, Antonio</v>
      </c>
      <c r="D27" s="450">
        <f>COUNTA('EVALUACIÓN'!$H$9:$M$9)</f>
        <v>6</v>
      </c>
      <c r="E27" s="451">
        <f>COUNT('EVALUACIÓN'!H27:M27)</f>
        <v>6</v>
      </c>
      <c r="F27" s="452">
        <f>COUNTA('EVALUACIÓN'!$V$9:$Y$9)</f>
        <v>4</v>
      </c>
      <c r="G27" s="452">
        <f>COUNT('EVALUACIÓN'!V27:Y27)</f>
        <v>4</v>
      </c>
      <c r="H27" s="453">
        <f>COUNTA('EVALUACIÓN'!$AH$9:$AK$9)</f>
        <v>4</v>
      </c>
      <c r="I27" s="454">
        <f>COUNT('EVALUACIÓN'!AH27:AK27)</f>
        <v>4</v>
      </c>
      <c r="J27" s="455">
        <f t="shared" si="3"/>
        <v>1</v>
      </c>
      <c r="K27" s="456">
        <f>'EVALUACIÓN'!N27</f>
        <v>5.433333333</v>
      </c>
      <c r="L27" s="457">
        <f t="shared" si="4"/>
        <v>1</v>
      </c>
      <c r="M27" s="458">
        <f>'EVALUACIÓN'!Z27</f>
        <v>5.75</v>
      </c>
      <c r="N27" s="459">
        <f t="shared" si="5"/>
        <v>1</v>
      </c>
      <c r="O27" s="460">
        <f>'EVALUACIÓN'!AL27</f>
        <v>7.375</v>
      </c>
    </row>
    <row r="28" ht="15.75" customHeight="1">
      <c r="A28" s="263" t="str">
        <f>INSTITUTO!A28</f>
        <v>ACT</v>
      </c>
      <c r="B28" s="264">
        <f>INSTITUTO!B28</f>
        <v>19</v>
      </c>
      <c r="C28" s="391" t="str">
        <f>INSTITUTO!C28</f>
        <v>Montero Gutiérrez, Sergio</v>
      </c>
      <c r="D28" s="450">
        <f>COUNTA('EVALUACIÓN'!$H$9:$M$9)</f>
        <v>6</v>
      </c>
      <c r="E28" s="451">
        <f>COUNT('EVALUACIÓN'!H28:M28)</f>
        <v>6</v>
      </c>
      <c r="F28" s="452">
        <f>COUNTA('EVALUACIÓN'!$V$9:$Y$9)</f>
        <v>4</v>
      </c>
      <c r="G28" s="452">
        <f>COUNT('EVALUACIÓN'!V28:Y28)</f>
        <v>4</v>
      </c>
      <c r="H28" s="453">
        <f>COUNTA('EVALUACIÓN'!$AH$9:$AK$9)</f>
        <v>4</v>
      </c>
      <c r="I28" s="454">
        <f>COUNT('EVALUACIÓN'!AH28:AK28)</f>
        <v>4</v>
      </c>
      <c r="J28" s="455">
        <f t="shared" si="3"/>
        <v>1</v>
      </c>
      <c r="K28" s="456">
        <f>'EVALUACIÓN'!N28</f>
        <v>9.016666667</v>
      </c>
      <c r="L28" s="457">
        <f t="shared" si="4"/>
        <v>1</v>
      </c>
      <c r="M28" s="458">
        <f>'EVALUACIÓN'!Z28</f>
        <v>7.85</v>
      </c>
      <c r="N28" s="459">
        <f t="shared" si="5"/>
        <v>1</v>
      </c>
      <c r="O28" s="460">
        <f>'EVALUACIÓN'!AL28</f>
        <v>8.25</v>
      </c>
    </row>
    <row r="29" ht="15.75" customHeight="1">
      <c r="A29" s="263" t="str">
        <f>INSTITUTO!A29</f>
        <v>ACT</v>
      </c>
      <c r="B29" s="264">
        <f>INSTITUTO!B29</f>
        <v>20</v>
      </c>
      <c r="C29" s="391" t="str">
        <f>INSTITUTO!C29</f>
        <v>Montero Ramos, Manuel</v>
      </c>
      <c r="D29" s="450">
        <f>COUNTA('EVALUACIÓN'!$H$9:$M$9)</f>
        <v>6</v>
      </c>
      <c r="E29" s="451">
        <f>COUNT('EVALUACIÓN'!H29:M29)</f>
        <v>6</v>
      </c>
      <c r="F29" s="452">
        <f>COUNTA('EVALUACIÓN'!$V$9:$Y$9)</f>
        <v>4</v>
      </c>
      <c r="G29" s="452">
        <f>COUNT('EVALUACIÓN'!V29:Y29)</f>
        <v>4</v>
      </c>
      <c r="H29" s="453">
        <f>COUNTA('EVALUACIÓN'!$AH$9:$AK$9)</f>
        <v>4</v>
      </c>
      <c r="I29" s="454">
        <f>COUNT('EVALUACIÓN'!AH29:AK29)</f>
        <v>4</v>
      </c>
      <c r="J29" s="455">
        <f t="shared" si="3"/>
        <v>1</v>
      </c>
      <c r="K29" s="456">
        <f>'EVALUACIÓN'!N29</f>
        <v>8.316666667</v>
      </c>
      <c r="L29" s="457">
        <f t="shared" si="4"/>
        <v>1</v>
      </c>
      <c r="M29" s="458">
        <f>'EVALUACIÓN'!Z29</f>
        <v>8.25</v>
      </c>
      <c r="N29" s="459">
        <f t="shared" si="5"/>
        <v>1</v>
      </c>
      <c r="O29" s="460">
        <f>'EVALUACIÓN'!AL29</f>
        <v>8.55</v>
      </c>
    </row>
    <row r="30" ht="15.75" customHeight="1">
      <c r="A30" s="263" t="str">
        <f>INSTITUTO!A30</f>
        <v>ACT</v>
      </c>
      <c r="B30" s="264">
        <f>INSTITUTO!B30</f>
        <v>21</v>
      </c>
      <c r="C30" s="391" t="str">
        <f>INSTITUTO!C30</f>
        <v>Murillo Villar, Javier</v>
      </c>
      <c r="D30" s="450">
        <f>COUNTA('EVALUACIÓN'!$H$9:$M$9)</f>
        <v>6</v>
      </c>
      <c r="E30" s="451">
        <f>COUNT('EVALUACIÓN'!H30:M30)</f>
        <v>6</v>
      </c>
      <c r="F30" s="452">
        <f>COUNTA('EVALUACIÓN'!$V$9:$Y$9)</f>
        <v>4</v>
      </c>
      <c r="G30" s="452">
        <f>COUNT('EVALUACIÓN'!V30:Y30)</f>
        <v>4</v>
      </c>
      <c r="H30" s="453">
        <f>COUNTA('EVALUACIÓN'!$AH$9:$AK$9)</f>
        <v>4</v>
      </c>
      <c r="I30" s="454">
        <f>COUNT('EVALUACIÓN'!AH30:AK30)</f>
        <v>4</v>
      </c>
      <c r="J30" s="455">
        <f t="shared" si="3"/>
        <v>1</v>
      </c>
      <c r="K30" s="456">
        <f>'EVALUACIÓN'!N30</f>
        <v>8.25</v>
      </c>
      <c r="L30" s="457">
        <f t="shared" si="4"/>
        <v>1</v>
      </c>
      <c r="M30" s="458">
        <f>'EVALUACIÓN'!Z30</f>
        <v>7.85</v>
      </c>
      <c r="N30" s="459">
        <f t="shared" si="5"/>
        <v>1</v>
      </c>
      <c r="O30" s="460">
        <f>'EVALUACIÓN'!AL30</f>
        <v>8.2</v>
      </c>
    </row>
    <row r="31" ht="15.75" customHeight="1">
      <c r="A31" s="263" t="str">
        <f>INSTITUTO!A31</f>
        <v>ACT</v>
      </c>
      <c r="B31" s="264">
        <f>INSTITUTO!B31</f>
        <v>22</v>
      </c>
      <c r="C31" s="391" t="str">
        <f>INSTITUTO!C31</f>
        <v>Pérez del Saz, Juan Ángel</v>
      </c>
      <c r="D31" s="450">
        <f>COUNTA('EVALUACIÓN'!$H$9:$M$9)</f>
        <v>6</v>
      </c>
      <c r="E31" s="451">
        <f>COUNT('EVALUACIÓN'!H31:M31)</f>
        <v>6</v>
      </c>
      <c r="F31" s="452">
        <f>COUNTA('EVALUACIÓN'!$V$9:$Y$9)</f>
        <v>4</v>
      </c>
      <c r="G31" s="452">
        <f>COUNT('EVALUACIÓN'!V31:Y31)</f>
        <v>4</v>
      </c>
      <c r="H31" s="453">
        <f>COUNTA('EVALUACIÓN'!$AH$9:$AK$9)</f>
        <v>4</v>
      </c>
      <c r="I31" s="454">
        <f>COUNT('EVALUACIÓN'!AH31:AK31)</f>
        <v>4</v>
      </c>
      <c r="J31" s="455">
        <f t="shared" si="3"/>
        <v>1</v>
      </c>
      <c r="K31" s="456">
        <f>'EVALUACIÓN'!N31</f>
        <v>5.266666667</v>
      </c>
      <c r="L31" s="457">
        <f t="shared" si="4"/>
        <v>1</v>
      </c>
      <c r="M31" s="458">
        <f>'EVALUACIÓN'!Z31</f>
        <v>6.75</v>
      </c>
      <c r="N31" s="459">
        <f t="shared" si="5"/>
        <v>1</v>
      </c>
      <c r="O31" s="460">
        <f>'EVALUACIÓN'!AL31</f>
        <v>5.15</v>
      </c>
    </row>
    <row r="32" ht="15.75" customHeight="1">
      <c r="A32" s="263" t="str">
        <f>INSTITUTO!A32</f>
        <v>ACT</v>
      </c>
      <c r="B32" s="264">
        <f>INSTITUTO!B32</f>
        <v>23</v>
      </c>
      <c r="C32" s="391" t="str">
        <f>INSTITUTO!C32</f>
        <v>Ramírez Pérez, Daniel</v>
      </c>
      <c r="D32" s="450">
        <f>COUNTA('EVALUACIÓN'!$H$9:$M$9)</f>
        <v>6</v>
      </c>
      <c r="E32" s="451">
        <f>COUNT('EVALUACIÓN'!H32:M32)</f>
        <v>6</v>
      </c>
      <c r="F32" s="452">
        <f>COUNTA('EVALUACIÓN'!$V$9:$Y$9)</f>
        <v>4</v>
      </c>
      <c r="G32" s="452">
        <f>COUNT('EVALUACIÓN'!V32:Y32)</f>
        <v>4</v>
      </c>
      <c r="H32" s="453">
        <f>COUNTA('EVALUACIÓN'!$AH$9:$AK$9)</f>
        <v>4</v>
      </c>
      <c r="I32" s="454">
        <f>COUNT('EVALUACIÓN'!AH32:AK32)</f>
        <v>4</v>
      </c>
      <c r="J32" s="455">
        <f t="shared" si="3"/>
        <v>1</v>
      </c>
      <c r="K32" s="456">
        <f>'EVALUACIÓN'!N32</f>
        <v>6.166666667</v>
      </c>
      <c r="L32" s="457">
        <f t="shared" si="4"/>
        <v>1</v>
      </c>
      <c r="M32" s="458">
        <f>'EVALUACIÓN'!Z32</f>
        <v>4.3</v>
      </c>
      <c r="N32" s="459">
        <f t="shared" si="5"/>
        <v>1</v>
      </c>
      <c r="O32" s="460">
        <f>'EVALUACIÓN'!AL32</f>
        <v>8</v>
      </c>
    </row>
    <row r="33" ht="15.75" customHeight="1">
      <c r="A33" s="263" t="str">
        <f>INSTITUTO!A33</f>
        <v>ACT</v>
      </c>
      <c r="B33" s="264">
        <f>INSTITUTO!B33</f>
        <v>24</v>
      </c>
      <c r="C33" s="391" t="str">
        <f>INSTITUTO!C33</f>
        <v>Ramos De la Rosa, Rafael</v>
      </c>
      <c r="D33" s="450">
        <f>COUNTA('EVALUACIÓN'!$H$9:$M$9)</f>
        <v>6</v>
      </c>
      <c r="E33" s="451">
        <f>COUNT('EVALUACIÓN'!H33:M33)</f>
        <v>6</v>
      </c>
      <c r="F33" s="452">
        <f>COUNTA('EVALUACIÓN'!$V$9:$Y$9)</f>
        <v>4</v>
      </c>
      <c r="G33" s="452">
        <f>COUNT('EVALUACIÓN'!V33:Y33)</f>
        <v>4</v>
      </c>
      <c r="H33" s="453">
        <f>COUNTA('EVALUACIÓN'!$AH$9:$AK$9)</f>
        <v>4</v>
      </c>
      <c r="I33" s="454">
        <f>COUNT('EVALUACIÓN'!AH33:AK33)</f>
        <v>4</v>
      </c>
      <c r="J33" s="455">
        <f t="shared" si="3"/>
        <v>1</v>
      </c>
      <c r="K33" s="456">
        <f>'EVALUACIÓN'!N33</f>
        <v>7.15</v>
      </c>
      <c r="L33" s="457">
        <f t="shared" si="4"/>
        <v>1</v>
      </c>
      <c r="M33" s="458">
        <f>'EVALUACIÓN'!Z33</f>
        <v>6.3</v>
      </c>
      <c r="N33" s="459">
        <f t="shared" si="5"/>
        <v>1</v>
      </c>
      <c r="O33" s="460">
        <f>'EVALUACIÓN'!AL33</f>
        <v>8.25</v>
      </c>
    </row>
    <row r="34" ht="15.75" customHeight="1">
      <c r="A34" s="263" t="str">
        <f>INSTITUTO!A34</f>
        <v>ACT</v>
      </c>
      <c r="B34" s="264">
        <f>INSTITUTO!B34</f>
        <v>25</v>
      </c>
      <c r="C34" s="391" t="str">
        <f>INSTITUTO!C34</f>
        <v>Rodríguez Barrios, Manuel</v>
      </c>
      <c r="D34" s="450">
        <f>COUNTA('EVALUACIÓN'!$H$9:$M$9)</f>
        <v>6</v>
      </c>
      <c r="E34" s="451">
        <f>COUNT('EVALUACIÓN'!H34:M34)</f>
        <v>6</v>
      </c>
      <c r="F34" s="452">
        <f>COUNTA('EVALUACIÓN'!$V$9:$Y$9)</f>
        <v>4</v>
      </c>
      <c r="G34" s="452">
        <f>COUNT('EVALUACIÓN'!V34:Y34)</f>
        <v>4</v>
      </c>
      <c r="H34" s="453">
        <f>COUNTA('EVALUACIÓN'!$AH$9:$AK$9)</f>
        <v>4</v>
      </c>
      <c r="I34" s="454">
        <f>COUNT('EVALUACIÓN'!AH34:AK34)</f>
        <v>4</v>
      </c>
      <c r="J34" s="455">
        <f t="shared" si="3"/>
        <v>1</v>
      </c>
      <c r="K34" s="456">
        <f>'EVALUACIÓN'!N34</f>
        <v>8.35</v>
      </c>
      <c r="L34" s="457">
        <f t="shared" si="4"/>
        <v>1</v>
      </c>
      <c r="M34" s="458">
        <f>'EVALUACIÓN'!Z34</f>
        <v>10</v>
      </c>
      <c r="N34" s="459">
        <f t="shared" si="5"/>
        <v>1</v>
      </c>
      <c r="O34" s="460">
        <f>'EVALUACIÓN'!AL34</f>
        <v>10</v>
      </c>
    </row>
    <row r="35" ht="15.75" customHeight="1">
      <c r="A35" s="263" t="str">
        <f>INSTITUTO!A35</f>
        <v>ACT</v>
      </c>
      <c r="B35" s="264">
        <f>INSTITUTO!B35</f>
        <v>26</v>
      </c>
      <c r="C35" s="391" t="str">
        <f>INSTITUTO!C35</f>
        <v>Ruiz Franco, Arturo</v>
      </c>
      <c r="D35" s="450">
        <f>COUNTA('EVALUACIÓN'!$H$9:$M$9)</f>
        <v>6</v>
      </c>
      <c r="E35" s="451">
        <f>COUNT('EVALUACIÓN'!H35:M35)</f>
        <v>6</v>
      </c>
      <c r="F35" s="452">
        <f>COUNTA('EVALUACIÓN'!$V$9:$Y$9)</f>
        <v>4</v>
      </c>
      <c r="G35" s="452">
        <f>COUNT('EVALUACIÓN'!V35:Y35)</f>
        <v>4</v>
      </c>
      <c r="H35" s="453">
        <f>COUNTA('EVALUACIÓN'!$AH$9:$AK$9)</f>
        <v>4</v>
      </c>
      <c r="I35" s="454">
        <f>COUNT('EVALUACIÓN'!AH35:AK35)</f>
        <v>4</v>
      </c>
      <c r="J35" s="455">
        <f t="shared" si="3"/>
        <v>1</v>
      </c>
      <c r="K35" s="456">
        <f>'EVALUACIÓN'!N35</f>
        <v>7.716666667</v>
      </c>
      <c r="L35" s="457">
        <f t="shared" si="4"/>
        <v>1</v>
      </c>
      <c r="M35" s="458">
        <f>'EVALUACIÓN'!Z35</f>
        <v>6.525</v>
      </c>
      <c r="N35" s="459">
        <f t="shared" si="5"/>
        <v>1</v>
      </c>
      <c r="O35" s="460">
        <f>'EVALUACIÓN'!AL35</f>
        <v>8.5</v>
      </c>
    </row>
    <row r="36" ht="15.75" customHeight="1">
      <c r="A36" s="263" t="str">
        <f>INSTITUTO!A36</f>
        <v>ACT</v>
      </c>
      <c r="B36" s="264">
        <f>INSTITUTO!B36</f>
        <v>27</v>
      </c>
      <c r="C36" s="391" t="str">
        <f>INSTITUTO!C36</f>
        <v>Ruiz Ridao, Cristina</v>
      </c>
      <c r="D36" s="450">
        <f>COUNTA('EVALUACIÓN'!$H$9:$M$9)</f>
        <v>6</v>
      </c>
      <c r="E36" s="451">
        <f>COUNT('EVALUACIÓN'!H36:M36)</f>
        <v>6</v>
      </c>
      <c r="F36" s="452">
        <f>COUNTA('EVALUACIÓN'!$V$9:$Y$9)</f>
        <v>4</v>
      </c>
      <c r="G36" s="452">
        <f>COUNT('EVALUACIÓN'!V36:Y36)</f>
        <v>4</v>
      </c>
      <c r="H36" s="453">
        <f>COUNTA('EVALUACIÓN'!$AH$9:$AK$9)</f>
        <v>4</v>
      </c>
      <c r="I36" s="454">
        <f>COUNT('EVALUACIÓN'!AH36:AK36)</f>
        <v>4</v>
      </c>
      <c r="J36" s="455">
        <f t="shared" si="3"/>
        <v>1</v>
      </c>
      <c r="K36" s="456">
        <f>'EVALUACIÓN'!N36</f>
        <v>8.05</v>
      </c>
      <c r="L36" s="457">
        <f t="shared" si="4"/>
        <v>1</v>
      </c>
      <c r="M36" s="458">
        <f>'EVALUACIÓN'!Z36</f>
        <v>8</v>
      </c>
      <c r="N36" s="459">
        <f t="shared" si="5"/>
        <v>1</v>
      </c>
      <c r="O36" s="460">
        <f>'EVALUACIÓN'!AL36</f>
        <v>8.875</v>
      </c>
    </row>
    <row r="37" ht="15.75" customHeight="1">
      <c r="A37" s="263" t="str">
        <f>INSTITUTO!A37</f>
        <v>ACT</v>
      </c>
      <c r="B37" s="264">
        <f>INSTITUTO!B37</f>
        <v>28</v>
      </c>
      <c r="C37" s="391" t="str">
        <f>INSTITUTO!C37</f>
        <v>Salcedo Peñalosa, Pablo</v>
      </c>
      <c r="D37" s="450">
        <f>COUNTA('EVALUACIÓN'!$H$9:$M$9)</f>
        <v>6</v>
      </c>
      <c r="E37" s="451">
        <f>COUNT('EVALUACIÓN'!H37:M37)</f>
        <v>6</v>
      </c>
      <c r="F37" s="452">
        <f>COUNTA('EVALUACIÓN'!$V$9:$Y$9)</f>
        <v>4</v>
      </c>
      <c r="G37" s="452">
        <f>COUNT('EVALUACIÓN'!V37:Y37)</f>
        <v>4</v>
      </c>
      <c r="H37" s="453">
        <f>COUNTA('EVALUACIÓN'!$AH$9:$AK$9)</f>
        <v>4</v>
      </c>
      <c r="I37" s="454">
        <f>COUNT('EVALUACIÓN'!AH37:AK37)</f>
        <v>4</v>
      </c>
      <c r="J37" s="455">
        <f t="shared" si="3"/>
        <v>1</v>
      </c>
      <c r="K37" s="456">
        <f>'EVALUACIÓN'!N37</f>
        <v>7.95</v>
      </c>
      <c r="L37" s="457">
        <f t="shared" si="4"/>
        <v>1</v>
      </c>
      <c r="M37" s="458">
        <f>'EVALUACIÓN'!Z37</f>
        <v>5.775</v>
      </c>
      <c r="N37" s="459">
        <f t="shared" si="5"/>
        <v>1</v>
      </c>
      <c r="O37" s="460">
        <f>'EVALUACIÓN'!AL37</f>
        <v>7.625</v>
      </c>
    </row>
    <row r="38" ht="15.75" customHeight="1">
      <c r="A38" s="263" t="str">
        <f>INSTITUTO!A38</f>
        <v>ACT</v>
      </c>
      <c r="B38" s="264">
        <f>INSTITUTO!B38</f>
        <v>29</v>
      </c>
      <c r="C38" s="391" t="str">
        <f>INSTITUTO!C38</f>
        <v>Segura Díaz, Esteban</v>
      </c>
      <c r="D38" s="450">
        <f>COUNTA('EVALUACIÓN'!$H$9:$M$9)</f>
        <v>6</v>
      </c>
      <c r="E38" s="451">
        <f>COUNT('EVALUACIÓN'!H38:M38)</f>
        <v>6</v>
      </c>
      <c r="F38" s="452">
        <f>COUNTA('EVALUACIÓN'!$V$9:$Y$9)</f>
        <v>4</v>
      </c>
      <c r="G38" s="452">
        <f>COUNT('EVALUACIÓN'!V38:Y38)</f>
        <v>4</v>
      </c>
      <c r="H38" s="453">
        <f>COUNTA('EVALUACIÓN'!$AH$9:$AK$9)</f>
        <v>4</v>
      </c>
      <c r="I38" s="454">
        <f>COUNT('EVALUACIÓN'!AH38:AK38)</f>
        <v>4</v>
      </c>
      <c r="J38" s="455">
        <f t="shared" si="3"/>
        <v>1</v>
      </c>
      <c r="K38" s="456">
        <f>'EVALUACIÓN'!N38</f>
        <v>8.283333333</v>
      </c>
      <c r="L38" s="457">
        <f t="shared" si="4"/>
        <v>1</v>
      </c>
      <c r="M38" s="458">
        <f>'EVALUACIÓN'!Z38</f>
        <v>6.8</v>
      </c>
      <c r="N38" s="459">
        <f t="shared" si="5"/>
        <v>1</v>
      </c>
      <c r="O38" s="460">
        <f>'EVALUACIÓN'!AL38</f>
        <v>7.125</v>
      </c>
    </row>
    <row r="39" ht="15.75" customHeight="1">
      <c r="A39" s="263" t="str">
        <f>INSTITUTO!A39</f>
        <v>ACT</v>
      </c>
      <c r="B39" s="264">
        <f>INSTITUTO!B39</f>
        <v>30</v>
      </c>
      <c r="C39" s="391" t="str">
        <f>INSTITUTO!C39</f>
        <v/>
      </c>
      <c r="D39" s="450">
        <f>COUNTA('EVALUACIÓN'!$H$9:$M$9)</f>
        <v>6</v>
      </c>
      <c r="E39" s="451">
        <f>COUNT('EVALUACIÓN'!H39:M39)</f>
        <v>0</v>
      </c>
      <c r="F39" s="452">
        <f>COUNTA('EVALUACIÓN'!$V$9:$Y$9)</f>
        <v>4</v>
      </c>
      <c r="G39" s="452">
        <f>COUNT('EVALUACIÓN'!V39:Y39)</f>
        <v>1</v>
      </c>
      <c r="H39" s="453">
        <f>COUNTA('EVALUACIÓN'!$AH$9:$AK$9)</f>
        <v>4</v>
      </c>
      <c r="I39" s="454">
        <f>COUNT('EVALUACIÓN'!AH39:AK39)</f>
        <v>0</v>
      </c>
      <c r="J39" s="455">
        <f t="shared" si="3"/>
        <v>0</v>
      </c>
      <c r="K39" s="456" t="str">
        <f>'EVALUACIÓN'!N39</f>
        <v>#DIV/0!</v>
      </c>
      <c r="L39" s="457">
        <f t="shared" si="4"/>
        <v>0.25</v>
      </c>
      <c r="M39" s="458">
        <f>'EVALUACIÓN'!Z39</f>
        <v>10</v>
      </c>
      <c r="N39" s="459">
        <f t="shared" si="5"/>
        <v>0</v>
      </c>
      <c r="O39" s="460" t="str">
        <f>'EVALUACIÓN'!AL39</f>
        <v>#DIV/0!</v>
      </c>
    </row>
    <row r="40" ht="15.75" customHeight="1">
      <c r="A40" s="263" t="str">
        <f>INSTITUTO!A40</f>
        <v>ACT</v>
      </c>
      <c r="B40" s="264">
        <f>INSTITUTO!B40</f>
        <v>31</v>
      </c>
      <c r="C40" s="391" t="str">
        <f>INSTITUTO!C40</f>
        <v/>
      </c>
      <c r="D40" s="450">
        <f>COUNTA('EVALUACIÓN'!$H$9:$M$9)</f>
        <v>6</v>
      </c>
      <c r="E40" s="451">
        <f>COUNT('EVALUACIÓN'!H40:M40)</f>
        <v>0</v>
      </c>
      <c r="F40" s="452">
        <f>COUNTA('EVALUACIÓN'!$V$9:$Y$9)</f>
        <v>4</v>
      </c>
      <c r="G40" s="452">
        <f>COUNT('EVALUACIÓN'!V40:Y40)</f>
        <v>0</v>
      </c>
      <c r="H40" s="453">
        <f>COUNTA('EVALUACIÓN'!$AH$9:$AK$9)</f>
        <v>4</v>
      </c>
      <c r="I40" s="454">
        <f>COUNT('EVALUACIÓN'!AH40:AK40)</f>
        <v>0</v>
      </c>
      <c r="J40" s="455">
        <f t="shared" si="3"/>
        <v>0</v>
      </c>
      <c r="K40" s="456" t="str">
        <f>'EVALUACIÓN'!N40</f>
        <v>#DIV/0!</v>
      </c>
      <c r="L40" s="457">
        <f t="shared" si="4"/>
        <v>0</v>
      </c>
      <c r="M40" s="458" t="str">
        <f>'EVALUACIÓN'!Z40</f>
        <v>#DIV/0!</v>
      </c>
      <c r="N40" s="459">
        <f t="shared" si="5"/>
        <v>0</v>
      </c>
      <c r="O40" s="460" t="str">
        <f>'EVALUACIÓN'!AL40</f>
        <v>#DIV/0!</v>
      </c>
    </row>
    <row r="41" ht="15.75" customHeight="1">
      <c r="A41" s="263" t="str">
        <f>INSTITUTO!A41</f>
        <v>ACT</v>
      </c>
      <c r="B41" s="264">
        <f>INSTITUTO!B41</f>
        <v>32</v>
      </c>
      <c r="C41" s="391" t="str">
        <f>INSTITUTO!C41</f>
        <v/>
      </c>
      <c r="D41" s="450">
        <f>COUNTA('EVALUACIÓN'!$H$9:$M$9)</f>
        <v>6</v>
      </c>
      <c r="E41" s="451">
        <f>COUNT('EVALUACIÓN'!H41:M41)</f>
        <v>0</v>
      </c>
      <c r="F41" s="452">
        <f>COUNTA('EVALUACIÓN'!$V$9:$Y$9)</f>
        <v>4</v>
      </c>
      <c r="G41" s="452">
        <f>COUNT('EVALUACIÓN'!V41:Y41)</f>
        <v>0</v>
      </c>
      <c r="H41" s="453">
        <f>COUNTA('EVALUACIÓN'!$AH$9:$AK$9)</f>
        <v>4</v>
      </c>
      <c r="I41" s="454">
        <f>COUNT('EVALUACIÓN'!AH41:AK41)</f>
        <v>0</v>
      </c>
      <c r="J41" s="455">
        <f t="shared" si="3"/>
        <v>0</v>
      </c>
      <c r="K41" s="456" t="str">
        <f>'EVALUACIÓN'!N41</f>
        <v>#DIV/0!</v>
      </c>
      <c r="L41" s="457">
        <f t="shared" si="4"/>
        <v>0</v>
      </c>
      <c r="M41" s="458" t="str">
        <f>'EVALUACIÓN'!Z41</f>
        <v>#DIV/0!</v>
      </c>
      <c r="N41" s="459">
        <f t="shared" si="5"/>
        <v>0</v>
      </c>
      <c r="O41" s="460" t="str">
        <f>'EVALUACIÓN'!AL41</f>
        <v>#DIV/0!</v>
      </c>
    </row>
    <row r="42" ht="15.75" customHeight="1">
      <c r="A42" s="263" t="str">
        <f>INSTITUTO!A42</f>
        <v>ACT</v>
      </c>
      <c r="B42" s="264">
        <f>INSTITUTO!B42</f>
        <v>33</v>
      </c>
      <c r="C42" s="391" t="str">
        <f>INSTITUTO!C42</f>
        <v/>
      </c>
      <c r="D42" s="450">
        <f>COUNTA('EVALUACIÓN'!$H$9:$M$9)</f>
        <v>6</v>
      </c>
      <c r="E42" s="451">
        <f>COUNT('EVALUACIÓN'!H42:M42)</f>
        <v>0</v>
      </c>
      <c r="F42" s="452">
        <f>COUNTA('EVALUACIÓN'!$V$9:$Y$9)</f>
        <v>4</v>
      </c>
      <c r="G42" s="452">
        <f>COUNT('EVALUACIÓN'!V42:Y42)</f>
        <v>0</v>
      </c>
      <c r="H42" s="453">
        <f>COUNTA('EVALUACIÓN'!$AH$9:$AK$9)</f>
        <v>4</v>
      </c>
      <c r="I42" s="454">
        <f>COUNT('EVALUACIÓN'!AH42:AK42)</f>
        <v>0</v>
      </c>
      <c r="J42" s="455">
        <f t="shared" si="3"/>
        <v>0</v>
      </c>
      <c r="K42" s="456" t="str">
        <f>'EVALUACIÓN'!N42</f>
        <v>#DIV/0!</v>
      </c>
      <c r="L42" s="457">
        <f t="shared" si="4"/>
        <v>0</v>
      </c>
      <c r="M42" s="458" t="str">
        <f>'EVALUACIÓN'!Z42</f>
        <v>#DIV/0!</v>
      </c>
      <c r="N42" s="459">
        <f t="shared" si="5"/>
        <v>0</v>
      </c>
      <c r="O42" s="460" t="str">
        <f>'EVALUACIÓN'!AL42</f>
        <v>#DIV/0!</v>
      </c>
    </row>
    <row r="43" ht="15.75" customHeight="1">
      <c r="A43" s="263" t="str">
        <f>INSTITUTO!A43</f>
        <v>ACT</v>
      </c>
      <c r="B43" s="264">
        <f>INSTITUTO!B43</f>
        <v>34</v>
      </c>
      <c r="C43" s="391" t="str">
        <f>INSTITUTO!C43</f>
        <v/>
      </c>
      <c r="D43" s="450">
        <f>COUNTA('EVALUACIÓN'!$H$9:$M$9)</f>
        <v>6</v>
      </c>
      <c r="E43" s="451">
        <f>COUNT('EVALUACIÓN'!H43:M43)</f>
        <v>0</v>
      </c>
      <c r="F43" s="452">
        <f>COUNTA('EVALUACIÓN'!$V$9:$Y$9)</f>
        <v>4</v>
      </c>
      <c r="G43" s="452">
        <f>COUNT('EVALUACIÓN'!V43:Y43)</f>
        <v>0</v>
      </c>
      <c r="H43" s="453">
        <f>COUNTA('EVALUACIÓN'!$AH$9:$AK$9)</f>
        <v>4</v>
      </c>
      <c r="I43" s="454">
        <f>COUNT('EVALUACIÓN'!AH43:AK43)</f>
        <v>0</v>
      </c>
      <c r="J43" s="455">
        <f t="shared" si="3"/>
        <v>0</v>
      </c>
      <c r="K43" s="456" t="str">
        <f>'EVALUACIÓN'!N43</f>
        <v>#DIV/0!</v>
      </c>
      <c r="L43" s="457">
        <f t="shared" si="4"/>
        <v>0</v>
      </c>
      <c r="M43" s="458" t="str">
        <f>'EVALUACIÓN'!Z43</f>
        <v>#DIV/0!</v>
      </c>
      <c r="N43" s="459">
        <f t="shared" si="5"/>
        <v>0</v>
      </c>
      <c r="O43" s="460" t="str">
        <f>'EVALUACIÓN'!AL43</f>
        <v>#DIV/0!</v>
      </c>
    </row>
    <row r="44" ht="15.75" customHeight="1">
      <c r="A44" s="263" t="str">
        <f>INSTITUTO!A44</f>
        <v>ACT</v>
      </c>
      <c r="B44" s="264">
        <f>INSTITUTO!B44</f>
        <v>35</v>
      </c>
      <c r="C44" s="391" t="str">
        <f>INSTITUTO!C44</f>
        <v/>
      </c>
      <c r="D44" s="450">
        <f>COUNTA('EVALUACIÓN'!$H$9:$M$9)</f>
        <v>6</v>
      </c>
      <c r="E44" s="451">
        <f>COUNT('EVALUACIÓN'!H44:M44)</f>
        <v>0</v>
      </c>
      <c r="F44" s="452">
        <f>COUNTA('EVALUACIÓN'!$V$9:$Y$9)</f>
        <v>4</v>
      </c>
      <c r="G44" s="452">
        <f>COUNT('EVALUACIÓN'!V44:Y44)</f>
        <v>0</v>
      </c>
      <c r="H44" s="461">
        <f>COUNTA('EVALUACIÓN'!$AH$9:$AK$9)</f>
        <v>4</v>
      </c>
      <c r="I44" s="462">
        <f>COUNT('EVALUACIÓN'!AH44:AK44)</f>
        <v>0</v>
      </c>
      <c r="J44" s="463">
        <f t="shared" si="3"/>
        <v>0</v>
      </c>
      <c r="K44" s="464" t="str">
        <f>'EVALUACIÓN'!N44</f>
        <v>#DIV/0!</v>
      </c>
      <c r="L44" s="465">
        <f t="shared" si="4"/>
        <v>0</v>
      </c>
      <c r="M44" s="466" t="str">
        <f>'EVALUACIÓN'!Z44</f>
        <v>#DIV/0!</v>
      </c>
      <c r="N44" s="467">
        <f t="shared" si="5"/>
        <v>0</v>
      </c>
      <c r="O44" s="468" t="str">
        <f>'EVALUACIÓN'!AL44</f>
        <v>#DIV/0!</v>
      </c>
    </row>
    <row r="45" ht="15.75" customHeight="1">
      <c r="A45" s="184"/>
      <c r="B45" s="184"/>
      <c r="D45" s="184"/>
      <c r="E45" s="184"/>
      <c r="F45" s="184"/>
      <c r="G45" s="184"/>
      <c r="H45" s="469" t="s">
        <v>121</v>
      </c>
      <c r="I45" s="470"/>
      <c r="J45" s="471">
        <f>100%-K45</f>
        <v>1</v>
      </c>
      <c r="K45" s="472" t="str">
        <f>'EVALUACIÓN'!M8</f>
        <v/>
      </c>
      <c r="L45" s="472" t="str">
        <f>100%-M45</f>
        <v>#REF!</v>
      </c>
      <c r="M45" s="472" t="str">
        <f>#REF!</f>
        <v>#REF!</v>
      </c>
      <c r="N45" s="472" t="str">
        <f>100%-O45</f>
        <v>#REF!</v>
      </c>
      <c r="O45" s="473" t="str">
        <f>#REF!</f>
        <v>#REF!</v>
      </c>
    </row>
    <row r="46" ht="15.75" customHeight="1">
      <c r="A46" s="474" t="s">
        <v>122</v>
      </c>
      <c r="B46" s="12"/>
      <c r="C46" s="1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</row>
    <row r="47" ht="15.75" customHeight="1">
      <c r="A47" s="475" t="s">
        <v>123</v>
      </c>
      <c r="B47" s="476" t="s">
        <v>124</v>
      </c>
      <c r="C47" s="1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</row>
    <row r="48" ht="15.75" customHeight="1">
      <c r="A48" s="184"/>
      <c r="B48" s="184"/>
      <c r="C48" s="184"/>
      <c r="D48" s="184"/>
      <c r="E48" s="184"/>
      <c r="F48" s="184"/>
      <c r="G48" s="184"/>
      <c r="H48" s="184"/>
      <c r="I48" s="184"/>
      <c r="O48" s="184"/>
    </row>
    <row r="49" ht="15.75" hidden="1" customHeight="1">
      <c r="A49" s="184"/>
      <c r="B49" s="184"/>
      <c r="C49" s="184"/>
      <c r="D49" s="184"/>
      <c r="E49" s="184"/>
      <c r="F49" s="184"/>
      <c r="G49" s="184"/>
      <c r="H49" s="184"/>
      <c r="I49" s="184"/>
      <c r="O49" s="184"/>
    </row>
    <row r="50" ht="15.75" hidden="1" customHeight="1">
      <c r="A50" s="184"/>
      <c r="B50" s="184"/>
      <c r="C50" s="184"/>
      <c r="D50" s="184"/>
      <c r="E50" s="184"/>
      <c r="F50" s="184"/>
      <c r="G50" s="184"/>
      <c r="H50" s="184"/>
      <c r="I50" s="184"/>
      <c r="O50" s="184"/>
    </row>
    <row r="51" ht="15.75" hidden="1" customHeight="1">
      <c r="A51" s="184"/>
      <c r="B51" s="184"/>
      <c r="O51" s="184"/>
    </row>
    <row r="52" ht="15.75" hidden="1" customHeight="1">
      <c r="A52" s="184"/>
      <c r="B52" s="184"/>
      <c r="C52" s="184"/>
      <c r="D52" s="184"/>
      <c r="E52" s="184"/>
      <c r="F52" s="184"/>
      <c r="G52" s="184"/>
      <c r="H52" s="184"/>
      <c r="I52" s="184"/>
      <c r="O52" s="184"/>
    </row>
    <row r="53" ht="15.75" hidden="1" customHeight="1">
      <c r="A53" s="184"/>
      <c r="B53" s="184"/>
      <c r="C53" s="184"/>
      <c r="D53" s="184"/>
      <c r="E53" s="184"/>
      <c r="F53" s="184"/>
      <c r="G53" s="184"/>
      <c r="H53" s="184"/>
      <c r="I53" s="184"/>
      <c r="O53" s="184"/>
    </row>
    <row r="54" ht="15.75" hidden="1" customHeight="1">
      <c r="A54" s="184"/>
      <c r="B54" s="184"/>
      <c r="C54" s="184"/>
      <c r="D54" s="184"/>
      <c r="E54" s="184"/>
      <c r="F54" s="184"/>
      <c r="G54" s="184"/>
      <c r="H54" s="184"/>
      <c r="I54" s="184"/>
      <c r="O54" s="184"/>
    </row>
    <row r="55" ht="15.75" hidden="1" customHeight="1">
      <c r="A55" s="184"/>
      <c r="B55" s="184"/>
      <c r="C55" s="184"/>
      <c r="D55" s="184"/>
      <c r="E55" s="184"/>
      <c r="F55" s="184"/>
      <c r="G55" s="184"/>
      <c r="H55" s="184"/>
      <c r="I55" s="184"/>
      <c r="O55" s="184"/>
    </row>
    <row r="56" ht="15.75" hidden="1" customHeight="1">
      <c r="A56" s="184"/>
      <c r="B56" s="184"/>
      <c r="C56" s="184"/>
      <c r="D56" s="184"/>
      <c r="E56" s="184"/>
      <c r="F56" s="184"/>
      <c r="G56" s="184"/>
      <c r="H56" s="184"/>
      <c r="I56" s="184"/>
      <c r="O56" s="184"/>
    </row>
    <row r="57" ht="15.75" hidden="1" customHeight="1">
      <c r="A57" s="184"/>
      <c r="B57" s="184"/>
      <c r="C57" s="184"/>
      <c r="D57" s="184"/>
      <c r="E57" s="184"/>
      <c r="F57" s="184"/>
      <c r="G57" s="184"/>
      <c r="H57" s="184"/>
      <c r="I57" s="184"/>
      <c r="O57" s="184"/>
    </row>
    <row r="58" ht="15.75" hidden="1" customHeight="1">
      <c r="A58" s="184"/>
      <c r="B58" s="184"/>
      <c r="C58" s="184"/>
      <c r="D58" s="184"/>
      <c r="E58" s="184"/>
      <c r="F58" s="184"/>
      <c r="G58" s="184"/>
      <c r="H58" s="184"/>
      <c r="I58" s="184"/>
      <c r="O58" s="184"/>
    </row>
    <row r="59" ht="15.75" hidden="1" customHeight="1">
      <c r="A59" s="184"/>
      <c r="B59" s="184"/>
      <c r="C59" s="184"/>
      <c r="D59" s="184"/>
      <c r="E59" s="184"/>
      <c r="F59" s="184"/>
      <c r="G59" s="184"/>
      <c r="H59" s="184"/>
      <c r="I59" s="184"/>
      <c r="O59" s="184"/>
    </row>
    <row r="60" ht="15.75" hidden="1" customHeight="1">
      <c r="A60" s="184"/>
      <c r="B60" s="184"/>
      <c r="C60" s="184"/>
      <c r="D60" s="184"/>
      <c r="E60" s="184"/>
      <c r="F60" s="184"/>
      <c r="G60" s="184"/>
      <c r="H60" s="184"/>
      <c r="I60" s="184"/>
      <c r="O60" s="184"/>
    </row>
    <row r="61" ht="15.75" hidden="1" customHeight="1">
      <c r="A61" s="184"/>
      <c r="B61" s="184"/>
      <c r="C61" s="184"/>
      <c r="D61" s="184"/>
      <c r="E61" s="184"/>
      <c r="F61" s="184"/>
      <c r="G61" s="184"/>
      <c r="H61" s="184"/>
      <c r="I61" s="184"/>
      <c r="O61" s="184"/>
    </row>
    <row r="62" ht="15.75" hidden="1" customHeight="1">
      <c r="A62" s="184"/>
      <c r="B62" s="184"/>
      <c r="C62" s="184"/>
      <c r="D62" s="184"/>
      <c r="E62" s="184"/>
      <c r="F62" s="184"/>
      <c r="G62" s="184"/>
      <c r="H62" s="184"/>
      <c r="I62" s="184"/>
      <c r="O62" s="184"/>
    </row>
    <row r="63" ht="15.75" hidden="1" customHeight="1">
      <c r="A63" s="184"/>
      <c r="B63" s="184"/>
      <c r="C63" s="184"/>
      <c r="D63" s="184"/>
      <c r="E63" s="184"/>
      <c r="F63" s="184"/>
      <c r="G63" s="184"/>
      <c r="H63" s="184"/>
      <c r="I63" s="184"/>
      <c r="O63" s="184"/>
    </row>
    <row r="64" ht="15.75" hidden="1" customHeight="1">
      <c r="A64" s="184"/>
      <c r="B64" s="184"/>
      <c r="C64" s="184"/>
      <c r="D64" s="184"/>
      <c r="E64" s="184"/>
      <c r="F64" s="184"/>
      <c r="G64" s="184"/>
      <c r="H64" s="184"/>
      <c r="I64" s="184"/>
      <c r="O64" s="184"/>
    </row>
    <row r="65" ht="15.75" hidden="1" customHeight="1">
      <c r="A65" s="184"/>
      <c r="B65" s="184"/>
      <c r="C65" s="184"/>
      <c r="D65" s="184"/>
      <c r="E65" s="184"/>
      <c r="F65" s="184"/>
      <c r="G65" s="184"/>
      <c r="H65" s="184"/>
      <c r="I65" s="184"/>
      <c r="O65" s="184"/>
    </row>
    <row r="66" ht="15.75" hidden="1" customHeight="1">
      <c r="A66" s="184"/>
      <c r="B66" s="184"/>
      <c r="C66" s="184"/>
      <c r="D66" s="184"/>
      <c r="E66" s="184"/>
      <c r="F66" s="184"/>
      <c r="G66" s="184"/>
      <c r="H66" s="184"/>
      <c r="I66" s="184"/>
      <c r="O66" s="184"/>
    </row>
    <row r="67" ht="15.75" hidden="1" customHeight="1">
      <c r="A67" s="184"/>
      <c r="B67" s="184"/>
      <c r="C67" s="184"/>
      <c r="D67" s="184"/>
      <c r="E67" s="184"/>
      <c r="F67" s="184"/>
      <c r="G67" s="184"/>
      <c r="H67" s="184"/>
      <c r="I67" s="184"/>
      <c r="O67" s="184"/>
    </row>
    <row r="68" ht="15.75" hidden="1" customHeight="1">
      <c r="A68" s="184"/>
      <c r="B68" s="184"/>
      <c r="C68" s="184"/>
      <c r="D68" s="184"/>
      <c r="E68" s="184"/>
      <c r="F68" s="184"/>
      <c r="G68" s="184"/>
      <c r="H68" s="184"/>
      <c r="I68" s="184"/>
      <c r="O68" s="184"/>
    </row>
    <row r="69" ht="15.75" hidden="1" customHeight="1">
      <c r="A69" s="184"/>
      <c r="B69" s="184"/>
      <c r="C69" s="184"/>
      <c r="D69" s="184"/>
      <c r="E69" s="184"/>
      <c r="F69" s="184"/>
      <c r="G69" s="184"/>
      <c r="H69" s="184"/>
      <c r="I69" s="184"/>
      <c r="O69" s="184"/>
    </row>
    <row r="70" ht="15.75" hidden="1" customHeight="1">
      <c r="A70" s="184"/>
      <c r="B70" s="184"/>
      <c r="C70" s="184"/>
      <c r="D70" s="184"/>
      <c r="E70" s="184"/>
      <c r="F70" s="184"/>
      <c r="G70" s="184"/>
      <c r="H70" s="184"/>
      <c r="I70" s="184"/>
      <c r="O70" s="184"/>
    </row>
    <row r="71" ht="15.75" hidden="1" customHeight="1">
      <c r="A71" s="184"/>
      <c r="B71" s="184"/>
      <c r="C71" s="184"/>
      <c r="D71" s="184"/>
      <c r="E71" s="184"/>
      <c r="F71" s="184"/>
      <c r="G71" s="184"/>
      <c r="H71" s="184"/>
      <c r="I71" s="184"/>
      <c r="O71" s="184"/>
    </row>
    <row r="72" ht="15.75" hidden="1" customHeight="1">
      <c r="A72" s="184"/>
      <c r="B72" s="184"/>
      <c r="C72" s="184"/>
      <c r="D72" s="184"/>
      <c r="E72" s="184"/>
      <c r="F72" s="184"/>
      <c r="G72" s="184"/>
      <c r="H72" s="184"/>
      <c r="I72" s="184"/>
      <c r="O72" s="184"/>
    </row>
    <row r="73" ht="15.75" hidden="1" customHeight="1">
      <c r="A73" s="184"/>
      <c r="B73" s="184"/>
      <c r="C73" s="184"/>
      <c r="D73" s="184"/>
      <c r="E73" s="184"/>
      <c r="F73" s="184"/>
      <c r="G73" s="184"/>
      <c r="H73" s="184"/>
      <c r="I73" s="184"/>
      <c r="O73" s="184"/>
    </row>
    <row r="74" ht="15.75" hidden="1" customHeight="1">
      <c r="A74" s="184"/>
      <c r="B74" s="184"/>
      <c r="C74" s="184"/>
      <c r="D74" s="184"/>
      <c r="E74" s="184"/>
      <c r="F74" s="184"/>
      <c r="G74" s="184"/>
      <c r="H74" s="184"/>
      <c r="I74" s="184"/>
      <c r="O74" s="184"/>
    </row>
    <row r="75" ht="15.75" hidden="1" customHeight="1">
      <c r="A75" s="184"/>
      <c r="B75" s="184"/>
      <c r="C75" s="184"/>
      <c r="D75" s="184"/>
      <c r="E75" s="184"/>
      <c r="F75" s="184"/>
      <c r="G75" s="184"/>
      <c r="H75" s="184"/>
      <c r="I75" s="184"/>
      <c r="O75" s="184"/>
    </row>
    <row r="76" ht="15.75" hidden="1" customHeight="1">
      <c r="A76" s="184"/>
      <c r="B76" s="184"/>
      <c r="C76" s="184"/>
      <c r="D76" s="184"/>
      <c r="E76" s="184"/>
      <c r="F76" s="184"/>
      <c r="G76" s="184"/>
      <c r="H76" s="184"/>
      <c r="I76" s="184"/>
      <c r="O76" s="184"/>
    </row>
    <row r="77" ht="15.75" hidden="1" customHeight="1">
      <c r="A77" s="184"/>
      <c r="B77" s="184"/>
      <c r="C77" s="184"/>
      <c r="D77" s="184"/>
      <c r="E77" s="184"/>
      <c r="F77" s="184"/>
      <c r="G77" s="184"/>
      <c r="H77" s="184"/>
      <c r="I77" s="184"/>
      <c r="O77" s="184"/>
    </row>
    <row r="78" ht="15.75" hidden="1" customHeight="1">
      <c r="A78" s="184"/>
      <c r="B78" s="184"/>
      <c r="C78" s="184"/>
      <c r="D78" s="184"/>
      <c r="E78" s="184"/>
      <c r="F78" s="184"/>
      <c r="G78" s="184"/>
      <c r="H78" s="184"/>
      <c r="I78" s="184"/>
      <c r="O78" s="184"/>
    </row>
    <row r="79" ht="15.75" hidden="1" customHeight="1">
      <c r="A79" s="184"/>
      <c r="B79" s="184"/>
      <c r="C79" s="184"/>
      <c r="D79" s="184"/>
      <c r="E79" s="184"/>
      <c r="F79" s="184"/>
      <c r="G79" s="184"/>
      <c r="H79" s="184"/>
      <c r="I79" s="184"/>
      <c r="O79" s="184"/>
    </row>
    <row r="80" ht="15.75" hidden="1" customHeight="1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</row>
    <row r="81" ht="15.75" hidden="1" customHeight="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</row>
    <row r="82" ht="15.75" hidden="1" customHeight="1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</row>
    <row r="83" ht="15.75" hidden="1" customHeight="1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</row>
    <row r="84" ht="15.75" hidden="1" customHeight="1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</row>
    <row r="85" ht="15.75" hidden="1" customHeigh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</row>
    <row r="86" ht="15.75" hidden="1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</row>
    <row r="87" ht="15.75" hidden="1" customHeight="1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</row>
    <row r="88" ht="15.75" hidden="1" customHeight="1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</row>
    <row r="89" ht="15.75" hidden="1" customHeight="1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</row>
    <row r="90" ht="15.75" hidden="1" customHeight="1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</row>
    <row r="91" ht="15.75" hidden="1" customHeight="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</row>
    <row r="92" ht="15.75" hidden="1" customHeight="1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</row>
    <row r="93" ht="15.75" hidden="1" customHeight="1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</row>
    <row r="94" ht="15.75" hidden="1" customHeigh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</row>
    <row r="95" ht="15.75" hidden="1" customHeight="1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</row>
    <row r="96" ht="15.75" hidden="1" customHeight="1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</row>
    <row r="97" ht="15.75" hidden="1" customHeight="1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</row>
    <row r="98" ht="15.75" hidden="1" customHeight="1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</row>
    <row r="99" ht="15.75" hidden="1" customHeight="1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</row>
    <row r="100" ht="15.75" hidden="1" customHeight="1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</row>
    <row r="101" ht="15.75" hidden="1" customHeight="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</row>
    <row r="102" ht="15.75" hidden="1" customHeight="1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</row>
    <row r="103" ht="15.75" hidden="1" customHeight="1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</row>
    <row r="104" ht="15.75" hidden="1" customHeight="1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</row>
    <row r="105" ht="15.75" hidden="1" customHeight="1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</row>
    <row r="106" ht="15.75" hidden="1" customHeight="1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</row>
    <row r="107" ht="15.75" hidden="1" customHeight="1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</row>
    <row r="108" ht="15.75" hidden="1" customHeight="1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</row>
    <row r="109" ht="15.75" hidden="1" customHeight="1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</row>
    <row r="110" ht="15.75" hidden="1" customHeight="1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</row>
    <row r="111" ht="15.75" hidden="1" customHeight="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</row>
    <row r="112" ht="15.75" hidden="1" customHeight="1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</row>
    <row r="113" ht="15.75" hidden="1" customHeight="1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</row>
    <row r="114" ht="15.75" hidden="1" customHeight="1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</row>
    <row r="115" ht="15.75" hidden="1" customHeight="1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</row>
    <row r="116" ht="15.75" hidden="1" customHeight="1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</row>
    <row r="117" ht="15.75" hidden="1" customHeight="1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</row>
    <row r="118" ht="15.75" hidden="1" customHeight="1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</row>
    <row r="119" ht="15.75" hidden="1" customHeight="1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</row>
    <row r="120" ht="15.75" hidden="1" customHeight="1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</row>
    <row r="121" ht="15.75" hidden="1" customHeight="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</row>
    <row r="122" ht="15.75" hidden="1" customHeight="1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</row>
    <row r="123" ht="15.75" hidden="1" customHeight="1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</row>
    <row r="124" ht="15.75" hidden="1" customHeight="1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</row>
    <row r="125" ht="15.75" hidden="1" customHeight="1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</row>
    <row r="126" ht="15.75" hidden="1" customHeight="1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</row>
    <row r="127" ht="15.75" hidden="1" customHeight="1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</row>
    <row r="128" ht="15.75" hidden="1" customHeight="1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</row>
    <row r="129" ht="15.75" hidden="1" customHeight="1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</row>
    <row r="130" ht="15.75" hidden="1" customHeight="1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</row>
    <row r="131" ht="15.75" hidden="1" customHeight="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</row>
    <row r="132" ht="15.75" hidden="1" customHeight="1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</row>
    <row r="133" ht="15.75" hidden="1" customHeight="1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</row>
    <row r="134" ht="15.75" hidden="1" customHeight="1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</row>
    <row r="135" ht="15.75" hidden="1" customHeight="1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</row>
    <row r="136" ht="15.75" hidden="1" customHeight="1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</row>
    <row r="137" ht="15.75" hidden="1" customHeight="1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</row>
    <row r="138" ht="15.75" hidden="1" customHeight="1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</row>
    <row r="139" ht="15.75" hidden="1" customHeight="1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</row>
    <row r="140" ht="15.75" hidden="1" customHeight="1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</row>
    <row r="141" ht="15.75" hidden="1" customHeight="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</row>
    <row r="142" ht="15.75" hidden="1" customHeight="1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</row>
    <row r="143" ht="15.75" hidden="1" customHeight="1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</row>
    <row r="144" ht="15.75" hidden="1" customHeight="1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</row>
    <row r="145" ht="15.75" hidden="1" customHeight="1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</row>
    <row r="146" ht="15.75" hidden="1" customHeight="1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</row>
    <row r="147" ht="15.75" hidden="1" customHeight="1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</row>
    <row r="148" ht="15.75" hidden="1" customHeight="1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</row>
    <row r="149" ht="15.75" hidden="1" customHeight="1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</row>
    <row r="150" ht="15.75" hidden="1" customHeight="1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</row>
    <row r="151" ht="15.75" hidden="1" customHeight="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</row>
    <row r="152" ht="15.75" hidden="1" customHeight="1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</row>
    <row r="153" ht="15.75" hidden="1" customHeight="1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</row>
    <row r="154" ht="15.75" hidden="1" customHeight="1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</row>
    <row r="155" ht="15.75" hidden="1" customHeight="1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</row>
    <row r="156" ht="15.75" hidden="1" customHeight="1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</row>
    <row r="157" ht="15.75" hidden="1" customHeight="1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</row>
    <row r="158" ht="15.75" hidden="1" customHeight="1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</row>
    <row r="159" ht="15.75" hidden="1" customHeight="1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</row>
    <row r="160" ht="15.75" hidden="1" customHeight="1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</row>
    <row r="161" ht="15.75" hidden="1" customHeight="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</row>
    <row r="162" ht="15.75" hidden="1" customHeight="1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</row>
    <row r="163" ht="15.75" hidden="1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</row>
    <row r="164" ht="15.75" hidden="1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</row>
    <row r="165" ht="15.75" hidden="1" customHeight="1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</row>
    <row r="166" ht="15.75" hidden="1" customHeight="1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</row>
    <row r="167" ht="15.75" hidden="1" customHeight="1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</row>
    <row r="168" ht="15.75" hidden="1" customHeight="1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</row>
    <row r="169" ht="15.75" hidden="1" customHeight="1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</row>
    <row r="170" ht="15.75" hidden="1" customHeight="1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</row>
    <row r="171" ht="15.75" hidden="1" customHeight="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</row>
    <row r="172" ht="15.75" hidden="1" customHeight="1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</row>
    <row r="173" ht="15.75" hidden="1" customHeight="1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</row>
    <row r="174" ht="15.75" hidden="1" customHeight="1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</row>
    <row r="175" ht="15.75" hidden="1" customHeight="1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</row>
    <row r="176" ht="15.75" hidden="1" customHeight="1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</row>
    <row r="177" ht="15.75" hidden="1" customHeight="1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</row>
    <row r="178" ht="15.75" hidden="1" customHeight="1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</row>
    <row r="179" ht="15.75" hidden="1" customHeight="1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</row>
    <row r="180" ht="15.75" hidden="1" customHeight="1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</row>
    <row r="181" ht="15.75" hidden="1" customHeight="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</row>
    <row r="182" ht="15.75" hidden="1" customHeight="1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</row>
    <row r="183" ht="15.75" hidden="1" customHeight="1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</row>
    <row r="184" ht="15.75" hidden="1" customHeight="1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</row>
    <row r="185" ht="15.75" hidden="1" customHeight="1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</row>
    <row r="186" ht="15.75" hidden="1" customHeight="1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</row>
    <row r="187" ht="15.75" hidden="1" customHeight="1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</row>
    <row r="188" ht="15.75" hidden="1" customHeight="1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</row>
    <row r="189" ht="15.75" hidden="1" customHeight="1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</row>
    <row r="190" ht="15.75" hidden="1" customHeight="1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</row>
    <row r="191" ht="15.75" hidden="1" customHeight="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</row>
    <row r="192" ht="15.75" hidden="1" customHeight="1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</row>
    <row r="193" ht="15.75" hidden="1" customHeight="1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</row>
    <row r="194" ht="15.75" hidden="1" customHeight="1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</row>
    <row r="195" ht="15.75" hidden="1" customHeight="1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</row>
    <row r="196" ht="15.75" hidden="1" customHeight="1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</row>
    <row r="197" ht="15.75" hidden="1" customHeight="1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</row>
    <row r="198" ht="15.75" hidden="1" customHeight="1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</row>
    <row r="199" ht="15.75" hidden="1" customHeight="1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</row>
    <row r="200" ht="15.75" hidden="1" customHeight="1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</row>
    <row r="201" ht="15.75" hidden="1" customHeight="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</row>
    <row r="202" ht="15.75" hidden="1" customHeight="1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</row>
    <row r="203" ht="15.75" hidden="1" customHeight="1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</row>
    <row r="204" ht="15.75" hidden="1" customHeight="1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</row>
    <row r="205" ht="15.75" hidden="1" customHeight="1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</row>
    <row r="206" ht="15.75" hidden="1" customHeight="1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</row>
    <row r="207" ht="15.75" hidden="1" customHeight="1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</row>
    <row r="208" ht="15.75" hidden="1" customHeight="1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</row>
    <row r="209" ht="15.75" hidden="1" customHeight="1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</row>
    <row r="210" ht="15.75" hidden="1" customHeight="1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</row>
    <row r="211" ht="15.75" hidden="1" customHeight="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</row>
    <row r="212" ht="15.75" hidden="1" customHeight="1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</row>
    <row r="213" ht="15.75" hidden="1" customHeight="1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</row>
    <row r="214" ht="15.75" hidden="1" customHeight="1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</row>
    <row r="215" ht="15.75" hidden="1" customHeight="1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</row>
    <row r="216" ht="15.75" hidden="1" customHeight="1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</row>
    <row r="217" ht="15.75" hidden="1" customHeight="1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</row>
    <row r="218" ht="15.75" hidden="1" customHeight="1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</row>
    <row r="219" ht="15.75" hidden="1" customHeight="1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</row>
    <row r="220" ht="15.75" hidden="1" customHeight="1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</row>
    <row r="221" ht="15.75" hidden="1" customHeight="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</row>
    <row r="222" ht="15.75" hidden="1" customHeight="1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</row>
    <row r="223" ht="15.75" hidden="1" customHeight="1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</row>
    <row r="224" ht="15.75" hidden="1" customHeight="1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</row>
    <row r="225" ht="15.75" hidden="1" customHeight="1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</row>
    <row r="226" ht="15.75" hidden="1" customHeight="1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</row>
    <row r="227" ht="15.75" hidden="1" customHeight="1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</row>
    <row r="228" ht="15.75" hidden="1" customHeight="1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</row>
    <row r="229" ht="15.75" hidden="1" customHeight="1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</row>
    <row r="230" ht="15.75" hidden="1" customHeight="1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</row>
    <row r="231" ht="15.75" hidden="1" customHeight="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</row>
    <row r="232" ht="15.75" hidden="1" customHeight="1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</row>
    <row r="233" ht="15.75" hidden="1" customHeight="1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</row>
    <row r="234" ht="15.75" hidden="1" customHeight="1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</row>
    <row r="235" ht="15.75" hidden="1" customHeight="1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</row>
    <row r="236" ht="15.75" hidden="1" customHeight="1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</row>
    <row r="237" ht="15.75" hidden="1" customHeight="1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</row>
    <row r="238" ht="15.75" hidden="1" customHeight="1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</row>
    <row r="239" ht="15.75" hidden="1" customHeight="1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</row>
    <row r="240" ht="15.75" hidden="1" customHeight="1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</row>
    <row r="241" ht="15.75" hidden="1" customHeight="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</row>
    <row r="242" ht="15.75" hidden="1" customHeight="1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</row>
    <row r="243" ht="15.75" hidden="1" customHeight="1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</row>
    <row r="244" ht="15.75" hidden="1" customHeight="1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</row>
    <row r="245" ht="15.75" hidden="1" customHeight="1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</row>
    <row r="246" ht="15.75" hidden="1" customHeight="1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</row>
    <row r="247" ht="15.75" hidden="1" customHeight="1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</row>
    <row r="248" ht="15.75" hidden="1" customHeight="1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</row>
    <row r="249" ht="15.75" hidden="1" customHeight="1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</row>
    <row r="250" ht="15.75" hidden="1" customHeight="1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</row>
    <row r="251" ht="15.75" hidden="1" customHeight="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</row>
    <row r="252" ht="15.75" hidden="1" customHeight="1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</row>
    <row r="253" ht="15.75" hidden="1" customHeight="1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</row>
    <row r="254" ht="15.75" hidden="1" customHeight="1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</row>
    <row r="255" ht="15.75" hidden="1" customHeight="1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</row>
    <row r="256" ht="15.75" hidden="1" customHeight="1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</row>
    <row r="257" ht="15.75" hidden="1" customHeight="1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</row>
    <row r="258" ht="15.75" hidden="1" customHeight="1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</row>
    <row r="259" ht="15.75" hidden="1" customHeight="1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</row>
    <row r="260" ht="15.75" hidden="1" customHeight="1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</row>
    <row r="261" ht="15.75" hidden="1" customHeight="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</row>
    <row r="262" ht="15.75" hidden="1" customHeight="1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</row>
    <row r="263" ht="15.75" hidden="1" customHeight="1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</row>
    <row r="264" ht="15.75" hidden="1" customHeight="1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</row>
    <row r="265" ht="15.75" hidden="1" customHeight="1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</row>
    <row r="266" ht="15.75" hidden="1" customHeight="1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</row>
    <row r="267" ht="15.75" hidden="1" customHeight="1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</row>
    <row r="268" ht="15.75" hidden="1" customHeight="1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</row>
    <row r="269" ht="15.75" hidden="1" customHeight="1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</row>
    <row r="270" ht="15.75" hidden="1" customHeight="1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</row>
    <row r="271" ht="15.75" hidden="1" customHeight="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</row>
    <row r="272" ht="15.75" hidden="1" customHeight="1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</row>
    <row r="273" ht="15.75" hidden="1" customHeight="1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</row>
    <row r="274" ht="15.75" hidden="1" customHeight="1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</row>
    <row r="275" ht="15.75" hidden="1" customHeight="1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</row>
    <row r="276" ht="15.75" hidden="1" customHeight="1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</row>
    <row r="277" ht="15.75" hidden="1" customHeight="1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</row>
    <row r="278" ht="15.75" hidden="1" customHeight="1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</row>
    <row r="279" ht="15.75" hidden="1" customHeight="1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</row>
    <row r="280" ht="15.75" hidden="1" customHeight="1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</row>
    <row r="281" ht="15.75" hidden="1" customHeight="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</row>
    <row r="282" ht="15.75" hidden="1" customHeight="1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</row>
    <row r="283" ht="15.75" hidden="1" customHeight="1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</row>
    <row r="284" ht="15.75" hidden="1" customHeight="1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</row>
    <row r="285" ht="15.75" hidden="1" customHeight="1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</row>
    <row r="286" ht="15.75" hidden="1" customHeight="1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</row>
    <row r="287" ht="15.75" hidden="1" customHeight="1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</row>
    <row r="288" ht="15.75" hidden="1" customHeight="1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</row>
    <row r="289" ht="15.75" hidden="1" customHeight="1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</row>
    <row r="290" ht="15.75" hidden="1" customHeight="1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</row>
    <row r="291" ht="15.75" hidden="1" customHeight="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</row>
    <row r="292" ht="15.75" hidden="1" customHeight="1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</row>
    <row r="293" ht="15.75" hidden="1" customHeight="1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</row>
    <row r="294" ht="15.75" hidden="1" customHeight="1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</row>
    <row r="295" ht="15.75" hidden="1" customHeight="1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</row>
    <row r="296" ht="15.75" hidden="1" customHeight="1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</row>
    <row r="297" ht="15.75" hidden="1" customHeight="1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</row>
    <row r="298" ht="15.75" hidden="1" customHeight="1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</row>
    <row r="299" ht="15.75" hidden="1" customHeight="1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</row>
    <row r="300" ht="15.75" hidden="1" customHeight="1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</row>
    <row r="301" ht="15.75" hidden="1" customHeight="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</row>
    <row r="302" ht="15.75" hidden="1" customHeight="1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</row>
    <row r="303" ht="15.75" hidden="1" customHeight="1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</row>
    <row r="304" ht="15.75" hidden="1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</row>
    <row r="305" ht="15.75" hidden="1" customHeight="1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</row>
    <row r="306" ht="15.75" hidden="1" customHeight="1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</row>
    <row r="307" ht="15.75" hidden="1" customHeight="1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</row>
    <row r="308" ht="15.75" hidden="1" customHeight="1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</row>
    <row r="309" ht="15.75" hidden="1" customHeight="1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</row>
    <row r="310" ht="15.75" hidden="1" customHeight="1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</row>
    <row r="311" ht="15.75" hidden="1" customHeight="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</row>
    <row r="312" ht="15.75" hidden="1" customHeight="1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</row>
    <row r="313" ht="15.75" hidden="1" customHeight="1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</row>
    <row r="314" ht="15.75" hidden="1" customHeight="1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</row>
    <row r="315" ht="15.75" hidden="1" customHeight="1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</row>
    <row r="316" ht="15.75" hidden="1" customHeight="1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</row>
    <row r="317" ht="15.75" hidden="1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</row>
    <row r="318" ht="15.75" hidden="1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</row>
    <row r="319" ht="15.75" hidden="1" customHeight="1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</row>
    <row r="320" ht="15.75" hidden="1" customHeight="1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</row>
    <row r="321" ht="15.75" hidden="1" customHeight="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</row>
    <row r="322" ht="15.75" hidden="1" customHeight="1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</row>
    <row r="323" ht="15.75" hidden="1" customHeight="1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</row>
    <row r="324" ht="15.75" hidden="1" customHeight="1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</row>
    <row r="325" ht="15.75" hidden="1" customHeight="1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</row>
    <row r="326" ht="15.75" hidden="1" customHeight="1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</row>
    <row r="327" ht="15.75" hidden="1" customHeight="1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</row>
    <row r="328" ht="15.75" hidden="1" customHeight="1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</row>
    <row r="329" ht="15.75" hidden="1" customHeight="1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</row>
    <row r="330" ht="15.75" hidden="1" customHeight="1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</row>
    <row r="331" ht="15.75" hidden="1" customHeight="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</row>
    <row r="332" ht="15.75" hidden="1" customHeight="1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</row>
    <row r="333" ht="15.75" hidden="1" customHeight="1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</row>
    <row r="334" ht="15.75" hidden="1" customHeight="1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</row>
    <row r="335" ht="15.75" hidden="1" customHeight="1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</row>
    <row r="336" ht="15.75" hidden="1" customHeight="1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</row>
    <row r="337" ht="15.75" hidden="1" customHeight="1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</row>
    <row r="338" ht="15.75" hidden="1" customHeight="1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</row>
    <row r="339" ht="15.75" hidden="1" customHeight="1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</row>
    <row r="340" ht="15.75" hidden="1" customHeight="1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</row>
    <row r="341" ht="15.75" hidden="1" customHeight="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</row>
    <row r="342" ht="15.75" hidden="1" customHeight="1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</row>
    <row r="343" ht="15.75" hidden="1" customHeight="1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</row>
    <row r="344" ht="15.75" hidden="1" customHeight="1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</row>
    <row r="345" ht="15.75" hidden="1" customHeight="1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</row>
    <row r="346" ht="15.75" hidden="1" customHeight="1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</row>
    <row r="347" ht="15.75" hidden="1" customHeight="1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</row>
    <row r="348" ht="15.75" hidden="1" customHeight="1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</row>
    <row r="349" ht="15.75" hidden="1" customHeight="1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</row>
    <row r="350" ht="15.75" hidden="1" customHeight="1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</row>
    <row r="351" ht="15.75" hidden="1" customHeight="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</row>
    <row r="352" ht="15.75" hidden="1" customHeight="1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</row>
    <row r="353" ht="15.75" hidden="1" customHeight="1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</row>
    <row r="354" ht="15.75" hidden="1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</row>
    <row r="355" ht="15.75" hidden="1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</row>
    <row r="356" ht="15.75" hidden="1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</row>
    <row r="357" ht="15.75" hidden="1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</row>
    <row r="358" ht="15.75" hidden="1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</row>
    <row r="359" ht="15.75" hidden="1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</row>
    <row r="360" ht="15.75" hidden="1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</row>
    <row r="361" ht="15.75" hidden="1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</row>
    <row r="362" ht="15.75" hidden="1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</row>
    <row r="363" ht="15.75" hidden="1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</row>
    <row r="364" ht="15.75" hidden="1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</row>
    <row r="365" ht="15.75" hidden="1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</row>
    <row r="366" ht="15.75" hidden="1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</row>
    <row r="367" ht="15.75" hidden="1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</row>
    <row r="368" ht="15.75" hidden="1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</row>
    <row r="369" ht="15.75" hidden="1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</row>
    <row r="370" ht="15.75" hidden="1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</row>
    <row r="371" ht="15.75" hidden="1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</row>
    <row r="372" ht="15.75" hidden="1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</row>
    <row r="373" ht="15.75" hidden="1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</row>
    <row r="374" ht="15.75" hidden="1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</row>
    <row r="375" ht="15.75" hidden="1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</row>
    <row r="376" ht="15.75" hidden="1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</row>
    <row r="377" ht="15.75" hidden="1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</row>
    <row r="378" ht="15.75" hidden="1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</row>
    <row r="379" ht="15.75" hidden="1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</row>
    <row r="380" ht="15.75" hidden="1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</row>
    <row r="381" ht="15.75" hidden="1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</row>
    <row r="382" ht="15.75" hidden="1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</row>
    <row r="383" ht="15.75" hidden="1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</row>
    <row r="384" ht="15.75" hidden="1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</row>
    <row r="385" ht="15.75" hidden="1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</row>
    <row r="386" ht="15.75" hidden="1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</row>
    <row r="387" ht="15.75" hidden="1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</row>
    <row r="388" ht="15.75" hidden="1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</row>
    <row r="389" ht="15.75" hidden="1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</row>
    <row r="390" ht="15.75" hidden="1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</row>
    <row r="391" ht="15.75" hidden="1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</row>
    <row r="392" ht="15.75" hidden="1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</row>
    <row r="393" ht="15.75" hidden="1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</row>
    <row r="394" ht="15.75" hidden="1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</row>
    <row r="395" ht="15.75" hidden="1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</row>
    <row r="396" ht="15.75" hidden="1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</row>
    <row r="397" ht="15.75" hidden="1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</row>
    <row r="398" ht="15.75" hidden="1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</row>
    <row r="399" ht="15.75" hidden="1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</row>
    <row r="400" ht="15.75" hidden="1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</row>
    <row r="401" ht="15.75" hidden="1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</row>
    <row r="402" ht="15.75" hidden="1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</row>
    <row r="403" ht="15.75" hidden="1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</row>
    <row r="404" ht="15.75" hidden="1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</row>
    <row r="405" ht="15.75" hidden="1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</row>
    <row r="406" ht="15.75" hidden="1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</row>
    <row r="407" ht="15.75" hidden="1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</row>
    <row r="408" ht="15.75" hidden="1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</row>
    <row r="409" ht="15.75" hidden="1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</row>
    <row r="410" ht="15.75" hidden="1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</row>
    <row r="411" ht="15.75" hidden="1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</row>
    <row r="412" ht="15.75" hidden="1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</row>
    <row r="413" ht="15.75" hidden="1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</row>
    <row r="414" ht="15.75" hidden="1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</row>
    <row r="415" ht="15.75" hidden="1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</row>
    <row r="416" ht="15.75" hidden="1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</row>
    <row r="417" ht="15.75" hidden="1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</row>
    <row r="418" ht="15.75" hidden="1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</row>
    <row r="419" ht="15.75" hidden="1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</row>
    <row r="420" ht="15.75" hidden="1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</row>
    <row r="421" ht="15.75" hidden="1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</row>
    <row r="422" ht="15.75" hidden="1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</row>
    <row r="423" ht="15.75" hidden="1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</row>
    <row r="424" ht="15.75" hidden="1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</row>
    <row r="425" ht="15.75" hidden="1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</row>
    <row r="426" ht="15.75" hidden="1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</row>
    <row r="427" ht="15.75" hidden="1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</row>
    <row r="428" ht="15.75" hidden="1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</row>
    <row r="429" ht="15.75" hidden="1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</row>
    <row r="430" ht="15.75" hidden="1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</row>
    <row r="431" ht="15.75" hidden="1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</row>
    <row r="432" ht="15.75" hidden="1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</row>
    <row r="433" ht="15.75" hidden="1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</row>
    <row r="434" ht="15.75" hidden="1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</row>
    <row r="435" ht="15.75" hidden="1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</row>
    <row r="436" ht="15.75" hidden="1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</row>
    <row r="437" ht="15.75" hidden="1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</row>
    <row r="438" ht="15.75" hidden="1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</row>
    <row r="439" ht="15.75" hidden="1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</row>
    <row r="440" ht="15.75" hidden="1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</row>
    <row r="441" ht="15.75" hidden="1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</row>
    <row r="442" ht="15.75" hidden="1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</row>
    <row r="443" ht="15.75" hidden="1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</row>
    <row r="444" ht="15.75" hidden="1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</row>
    <row r="445" ht="15.75" hidden="1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</row>
    <row r="446" ht="15.75" hidden="1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</row>
    <row r="447" ht="15.75" hidden="1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</row>
    <row r="448" ht="15.75" hidden="1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</row>
    <row r="449" ht="15.75" hidden="1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</row>
    <row r="450" ht="15.75" hidden="1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</row>
    <row r="451" ht="15.75" hidden="1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</row>
    <row r="452" ht="15.75" hidden="1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</row>
    <row r="453" ht="15.75" hidden="1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</row>
    <row r="454" ht="15.75" hidden="1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</row>
    <row r="455" ht="15.75" hidden="1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</row>
    <row r="456" ht="15.75" hidden="1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</row>
    <row r="457" ht="15.75" hidden="1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</row>
    <row r="458" ht="15.75" hidden="1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</row>
    <row r="459" ht="15.75" hidden="1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</row>
    <row r="460" ht="15.75" hidden="1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</row>
    <row r="461" ht="15.75" hidden="1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</row>
    <row r="462" ht="15.75" hidden="1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</row>
    <row r="463" ht="15.75" hidden="1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</row>
    <row r="464" ht="15.75" hidden="1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</row>
    <row r="465" ht="15.75" hidden="1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</row>
    <row r="466" ht="15.75" hidden="1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</row>
    <row r="467" ht="15.75" hidden="1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</row>
    <row r="468" ht="15.75" hidden="1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</row>
    <row r="469" ht="15.75" hidden="1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</row>
    <row r="470" ht="15.75" hidden="1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</row>
    <row r="471" ht="15.75" hidden="1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</row>
    <row r="472" ht="15.75" hidden="1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</row>
    <row r="473" ht="15.75" hidden="1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</row>
    <row r="474" ht="15.75" hidden="1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</row>
    <row r="475" ht="15.75" hidden="1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</row>
    <row r="476" ht="15.75" hidden="1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</row>
    <row r="477" ht="15.75" hidden="1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</row>
    <row r="478" ht="15.75" hidden="1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</row>
    <row r="479" ht="15.75" hidden="1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</row>
    <row r="480" ht="15.75" hidden="1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</row>
    <row r="481" ht="15.75" hidden="1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</row>
    <row r="482" ht="15.75" hidden="1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</row>
    <row r="483" ht="15.75" hidden="1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</row>
    <row r="484" ht="15.75" hidden="1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</row>
    <row r="485" ht="15.75" hidden="1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</row>
    <row r="486" ht="15.75" hidden="1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</row>
    <row r="487" ht="15.75" hidden="1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</row>
    <row r="488" ht="15.75" hidden="1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</row>
    <row r="489" ht="15.75" hidden="1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</row>
    <row r="490" ht="15.75" hidden="1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</row>
    <row r="491" ht="15.75" hidden="1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</row>
    <row r="492" ht="15.75" hidden="1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</row>
    <row r="493" ht="15.75" hidden="1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</row>
    <row r="494" ht="15.75" hidden="1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</row>
    <row r="495" ht="15.75" hidden="1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</row>
    <row r="496" ht="15.75" hidden="1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</row>
    <row r="497" ht="15.75" hidden="1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</row>
    <row r="498" ht="15.75" hidden="1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</row>
    <row r="499" ht="15.75" hidden="1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</row>
    <row r="500" ht="15.75" hidden="1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</row>
    <row r="501" ht="15.75" hidden="1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</row>
    <row r="502" ht="15.75" hidden="1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</row>
    <row r="503" ht="15.75" hidden="1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</row>
    <row r="504" ht="15.75" hidden="1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</row>
    <row r="505" ht="15.75" hidden="1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</row>
    <row r="506" ht="15.75" hidden="1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</row>
    <row r="507" ht="15.75" hidden="1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</row>
    <row r="508" ht="15.75" hidden="1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</row>
    <row r="509" ht="15.75" hidden="1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</row>
    <row r="510" ht="15.75" hidden="1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</row>
    <row r="511" ht="15.75" hidden="1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</row>
    <row r="512" ht="15.75" hidden="1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</row>
    <row r="513" ht="15.75" hidden="1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</row>
    <row r="514" ht="15.75" hidden="1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</row>
    <row r="515" ht="15.75" hidden="1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</row>
    <row r="516" ht="15.75" hidden="1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</row>
    <row r="517" ht="15.75" hidden="1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</row>
    <row r="518" ht="15.75" hidden="1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</row>
    <row r="519" ht="15.75" hidden="1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</row>
    <row r="520" ht="15.75" hidden="1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</row>
    <row r="521" ht="15.75" hidden="1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</row>
    <row r="522" ht="15.75" hidden="1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</row>
    <row r="523" ht="15.75" hidden="1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</row>
    <row r="524" ht="15.75" hidden="1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</row>
    <row r="525" ht="15.75" hidden="1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</row>
    <row r="526" ht="15.75" hidden="1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</row>
    <row r="527" ht="15.75" hidden="1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</row>
    <row r="528" ht="15.75" hidden="1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</row>
    <row r="529" ht="15.75" hidden="1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</row>
    <row r="530" ht="15.75" hidden="1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</row>
    <row r="531" ht="15.75" hidden="1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</row>
    <row r="532" ht="15.75" hidden="1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</row>
    <row r="533" ht="15.75" hidden="1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</row>
    <row r="534" ht="15.75" hidden="1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</row>
    <row r="535" ht="15.75" hidden="1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</row>
    <row r="536" ht="15.75" hidden="1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</row>
    <row r="537" ht="15.75" hidden="1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</row>
    <row r="538" ht="15.75" hidden="1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</row>
    <row r="539" ht="15.75" hidden="1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</row>
    <row r="540" ht="15.75" hidden="1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</row>
    <row r="541" ht="15.75" hidden="1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</row>
    <row r="542" ht="15.75" hidden="1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</row>
    <row r="543" ht="15.75" hidden="1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</row>
    <row r="544" ht="15.75" hidden="1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</row>
    <row r="545" ht="15.75" hidden="1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</row>
    <row r="546" ht="15.75" hidden="1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</row>
    <row r="547" ht="15.75" hidden="1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</row>
    <row r="548" ht="15.75" hidden="1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</row>
    <row r="549" ht="15.75" hidden="1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</row>
    <row r="550" ht="15.75" hidden="1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</row>
    <row r="551" ht="15.75" hidden="1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</row>
    <row r="552" ht="15.75" hidden="1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</row>
    <row r="553" ht="15.75" hidden="1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</row>
    <row r="554" ht="15.75" hidden="1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</row>
    <row r="555" ht="15.75" hidden="1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</row>
    <row r="556" ht="15.75" hidden="1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</row>
    <row r="557" ht="15.75" hidden="1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</row>
    <row r="558" ht="15.75" hidden="1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</row>
    <row r="559" ht="15.75" hidden="1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</row>
    <row r="560" ht="15.75" hidden="1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</row>
    <row r="561" ht="15.75" hidden="1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</row>
    <row r="562" ht="15.75" hidden="1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</row>
    <row r="563" ht="15.75" hidden="1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</row>
    <row r="564" ht="15.75" hidden="1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</row>
    <row r="565" ht="15.75" hidden="1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</row>
    <row r="566" ht="15.75" hidden="1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</row>
    <row r="567" ht="15.75" hidden="1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</row>
    <row r="568" ht="15.75" hidden="1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</row>
    <row r="569" ht="15.75" hidden="1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</row>
    <row r="570" ht="15.75" hidden="1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</row>
    <row r="571" ht="15.75" hidden="1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</row>
    <row r="572" ht="15.75" hidden="1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</row>
    <row r="573" ht="15.75" hidden="1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</row>
    <row r="574" ht="15.75" hidden="1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</row>
    <row r="575" ht="15.75" hidden="1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</row>
    <row r="576" ht="15.75" hidden="1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</row>
    <row r="577" ht="15.75" hidden="1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</row>
    <row r="578" ht="15.75" hidden="1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</row>
    <row r="579" ht="15.75" hidden="1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</row>
    <row r="580" ht="15.75" hidden="1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</row>
    <row r="581" ht="15.75" hidden="1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</row>
    <row r="582" ht="15.75" hidden="1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</row>
    <row r="583" ht="15.75" hidden="1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</row>
    <row r="584" ht="15.75" hidden="1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</row>
    <row r="585" ht="15.75" hidden="1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</row>
    <row r="586" ht="15.75" hidden="1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</row>
    <row r="587" ht="15.75" hidden="1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</row>
    <row r="588" ht="15.75" hidden="1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</row>
    <row r="589" ht="15.75" hidden="1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</row>
    <row r="590" ht="15.75" hidden="1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</row>
    <row r="591" ht="15.75" hidden="1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</row>
    <row r="592" ht="15.75" hidden="1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</row>
    <row r="593" ht="15.75" hidden="1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</row>
    <row r="594" ht="15.75" hidden="1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</row>
    <row r="595" ht="15.75" hidden="1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</row>
    <row r="596" ht="15.75" hidden="1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</row>
    <row r="597" ht="15.75" hidden="1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</row>
    <row r="598" ht="15.75" hidden="1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</row>
    <row r="599" ht="15.75" hidden="1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</row>
    <row r="600" ht="15.75" hidden="1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</row>
    <row r="601" ht="15.75" hidden="1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</row>
    <row r="602" ht="15.75" hidden="1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</row>
    <row r="603" ht="15.75" hidden="1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</row>
    <row r="604" ht="15.75" hidden="1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</row>
    <row r="605" ht="15.75" hidden="1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</row>
    <row r="606" ht="15.75" hidden="1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</row>
    <row r="607" ht="15.75" hidden="1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</row>
    <row r="608" ht="15.75" hidden="1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</row>
    <row r="609" ht="15.75" hidden="1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</row>
    <row r="610" ht="15.75" hidden="1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</row>
    <row r="611" ht="15.75" hidden="1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</row>
    <row r="612" ht="15.75" hidden="1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</row>
    <row r="613" ht="15.75" hidden="1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</row>
    <row r="614" ht="15.75" hidden="1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</row>
    <row r="615" ht="15.75" hidden="1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</row>
    <row r="616" ht="15.75" hidden="1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</row>
    <row r="617" ht="15.75" hidden="1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</row>
    <row r="618" ht="15.75" hidden="1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</row>
    <row r="619" ht="15.75" hidden="1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</row>
    <row r="620" ht="15.75" hidden="1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</row>
    <row r="621" ht="15.75" hidden="1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</row>
    <row r="622" ht="15.75" hidden="1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</row>
    <row r="623" ht="15.75" hidden="1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</row>
    <row r="624" ht="15.75" hidden="1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</row>
    <row r="625" ht="15.75" hidden="1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</row>
    <row r="626" ht="15.75" hidden="1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</row>
    <row r="627" ht="15.75" hidden="1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</row>
    <row r="628" ht="15.75" hidden="1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</row>
    <row r="629" ht="15.75" hidden="1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</row>
    <row r="630" ht="15.75" hidden="1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</row>
    <row r="631" ht="15.75" hidden="1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</row>
    <row r="632" ht="15.75" hidden="1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</row>
    <row r="633" ht="15.75" hidden="1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</row>
    <row r="634" ht="15.75" hidden="1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</row>
    <row r="635" ht="15.75" hidden="1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</row>
    <row r="636" ht="15.75" hidden="1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</row>
    <row r="637" ht="15.75" hidden="1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</row>
    <row r="638" ht="15.75" hidden="1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</row>
    <row r="639" ht="15.75" hidden="1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</row>
    <row r="640" ht="15.75" hidden="1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</row>
    <row r="641" ht="15.75" hidden="1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</row>
    <row r="642" ht="15.75" hidden="1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</row>
    <row r="643" ht="15.75" hidden="1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</row>
    <row r="644" ht="15.75" hidden="1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</row>
    <row r="645" ht="15.75" hidden="1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</row>
    <row r="646" ht="15.75" hidden="1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</row>
    <row r="647" ht="15.75" hidden="1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</row>
    <row r="648" ht="15.75" hidden="1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</row>
    <row r="649" ht="15.75" hidden="1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</row>
    <row r="650" ht="15.75" hidden="1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</row>
    <row r="651" ht="15.75" hidden="1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</row>
    <row r="652" ht="15.75" hidden="1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</row>
    <row r="653" ht="15.75" hidden="1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</row>
    <row r="654" ht="15.75" hidden="1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</row>
    <row r="655" ht="15.75" hidden="1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</row>
    <row r="656" ht="15.75" hidden="1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</row>
    <row r="657" ht="15.75" hidden="1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</row>
    <row r="658" ht="15.75" hidden="1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</row>
    <row r="659" ht="15.75" hidden="1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</row>
    <row r="660" ht="15.75" hidden="1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</row>
    <row r="661" ht="15.75" hidden="1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</row>
    <row r="662" ht="15.75" hidden="1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</row>
    <row r="663" ht="15.75" hidden="1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</row>
    <row r="664" ht="15.75" hidden="1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</row>
    <row r="665" ht="15.75" hidden="1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</row>
    <row r="666" ht="15.75" hidden="1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</row>
    <row r="667" ht="15.75" hidden="1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</row>
    <row r="668" ht="15.75" hidden="1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</row>
    <row r="669" ht="15.75" hidden="1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</row>
    <row r="670" ht="15.75" hidden="1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</row>
    <row r="671" ht="15.75" hidden="1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</row>
    <row r="672" ht="15.75" hidden="1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</row>
    <row r="673" ht="15.75" hidden="1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</row>
    <row r="674" ht="15.75" hidden="1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</row>
    <row r="675" ht="15.75" hidden="1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</row>
    <row r="676" ht="15.75" hidden="1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</row>
    <row r="677" ht="15.75" hidden="1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</row>
    <row r="678" ht="15.75" hidden="1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</row>
    <row r="679" ht="15.75" hidden="1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</row>
    <row r="680" ht="15.75" hidden="1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</row>
    <row r="681" ht="15.75" hidden="1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</row>
    <row r="682" ht="15.75" hidden="1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</row>
    <row r="683" ht="15.75" hidden="1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</row>
    <row r="684" ht="15.75" hidden="1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</row>
    <row r="685" ht="15.75" hidden="1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</row>
    <row r="686" ht="15.75" hidden="1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</row>
    <row r="687" ht="15.75" hidden="1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</row>
    <row r="688" ht="15.75" hidden="1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</row>
    <row r="689" ht="15.75" hidden="1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</row>
    <row r="690" ht="15.75" hidden="1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</row>
    <row r="691" ht="15.75" hidden="1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</row>
    <row r="692" ht="15.75" hidden="1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</row>
    <row r="693" ht="15.75" hidden="1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</row>
    <row r="694" ht="15.75" hidden="1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</row>
    <row r="695" ht="15.75" hidden="1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</row>
    <row r="696" ht="15.75" hidden="1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</row>
    <row r="697" ht="15.75" hidden="1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</row>
    <row r="698" ht="15.75" hidden="1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</row>
    <row r="699" ht="15.75" hidden="1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</row>
    <row r="700" ht="15.75" hidden="1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</row>
    <row r="701" ht="15.75" hidden="1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</row>
    <row r="702" ht="15.75" hidden="1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</row>
    <row r="703" ht="15.75" hidden="1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</row>
    <row r="704" ht="15.75" hidden="1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</row>
    <row r="705" ht="15.75" hidden="1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</row>
    <row r="706" ht="15.75" hidden="1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</row>
    <row r="707" ht="15.75" hidden="1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</row>
    <row r="708" ht="15.75" hidden="1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</row>
    <row r="709" ht="15.75" hidden="1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</row>
    <row r="710" ht="15.75" hidden="1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</row>
    <row r="711" ht="15.75" hidden="1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</row>
    <row r="712" ht="15.75" hidden="1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</row>
    <row r="713" ht="15.75" hidden="1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</row>
    <row r="714" ht="15.75" hidden="1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</row>
    <row r="715" ht="15.75" hidden="1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</row>
    <row r="716" ht="15.75" hidden="1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</row>
    <row r="717" ht="15.75" hidden="1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</row>
    <row r="718" ht="15.75" hidden="1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</row>
    <row r="719" ht="15.75" hidden="1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</row>
    <row r="720" ht="15.75" hidden="1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</row>
    <row r="721" ht="15.75" hidden="1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</row>
    <row r="722" ht="15.75" hidden="1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</row>
    <row r="723" ht="15.75" hidden="1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</row>
    <row r="724" ht="15.75" hidden="1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</row>
    <row r="725" ht="15.75" hidden="1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</row>
    <row r="726" ht="15.75" hidden="1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</row>
    <row r="727" ht="15.75" hidden="1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</row>
    <row r="728" ht="15.75" hidden="1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</row>
    <row r="729" ht="15.75" hidden="1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</row>
    <row r="730" ht="15.75" hidden="1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</row>
    <row r="731" ht="15.75" hidden="1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</row>
    <row r="732" ht="15.75" hidden="1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</row>
    <row r="733" ht="15.75" hidden="1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</row>
    <row r="734" ht="15.75" hidden="1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</row>
    <row r="735" ht="15.75" hidden="1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</row>
    <row r="736" ht="15.75" hidden="1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</row>
    <row r="737" ht="15.75" hidden="1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</row>
    <row r="738" ht="15.75" hidden="1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</row>
    <row r="739" ht="15.75" hidden="1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</row>
    <row r="740" ht="15.75" hidden="1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</row>
    <row r="741" ht="15.75" hidden="1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</row>
    <row r="742" ht="15.75" hidden="1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</row>
    <row r="743" ht="15.75" hidden="1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</row>
    <row r="744" ht="15.75" hidden="1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</row>
    <row r="745" ht="15.75" hidden="1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</row>
    <row r="746" ht="15.75" hidden="1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</row>
    <row r="747" ht="15.75" hidden="1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</row>
    <row r="748" ht="15.75" hidden="1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</row>
    <row r="749" ht="15.75" hidden="1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</row>
    <row r="750" ht="15.75" hidden="1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</row>
    <row r="751" ht="15.75" hidden="1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</row>
    <row r="752" ht="15.75" hidden="1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</row>
    <row r="753" ht="15.75" hidden="1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</row>
    <row r="754" ht="15.75" hidden="1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</row>
    <row r="755" ht="15.75" hidden="1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</row>
    <row r="756" ht="15.75" hidden="1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</row>
    <row r="757" ht="15.75" hidden="1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</row>
    <row r="758" ht="15.75" hidden="1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</row>
    <row r="759" ht="15.75" hidden="1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</row>
    <row r="760" ht="15.75" hidden="1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</row>
    <row r="761" ht="15.75" hidden="1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</row>
    <row r="762" ht="15.75" hidden="1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</row>
    <row r="763" ht="15.75" hidden="1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</row>
    <row r="764" ht="15.75" hidden="1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</row>
    <row r="765" ht="15.75" hidden="1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</row>
    <row r="766" ht="15.75" hidden="1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</row>
    <row r="767" ht="15.75" hidden="1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</row>
    <row r="768" ht="15.75" hidden="1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</row>
    <row r="769" ht="15.75" hidden="1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</row>
    <row r="770" ht="15.75" hidden="1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</row>
    <row r="771" ht="15.75" hidden="1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</row>
    <row r="772" ht="15.75" hidden="1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</row>
    <row r="773" ht="15.75" hidden="1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</row>
    <row r="774" ht="15.75" hidden="1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</row>
    <row r="775" ht="15.75" hidden="1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</row>
    <row r="776" ht="15.75" hidden="1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</row>
    <row r="777" ht="15.75" hidden="1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</row>
    <row r="778" ht="15.75" hidden="1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</row>
    <row r="779" ht="15.75" hidden="1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</row>
    <row r="780" ht="15.75" hidden="1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</row>
    <row r="781" ht="15.75" hidden="1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</row>
    <row r="782" ht="15.75" hidden="1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</row>
    <row r="783" ht="15.75" hidden="1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</row>
    <row r="784" ht="15.75" hidden="1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</row>
    <row r="785" ht="15.75" hidden="1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</row>
    <row r="786" ht="15.75" hidden="1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</row>
    <row r="787" ht="15.75" hidden="1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</row>
    <row r="788" ht="15.75" hidden="1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</row>
    <row r="789" ht="15.75" hidden="1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</row>
    <row r="790" ht="15.75" hidden="1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</row>
    <row r="791" ht="15.75" hidden="1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</row>
    <row r="792" ht="15.75" hidden="1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</row>
    <row r="793" ht="15.75" hidden="1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</row>
    <row r="794" ht="15.75" hidden="1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</row>
    <row r="795" ht="15.75" hidden="1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</row>
    <row r="796" ht="15.75" hidden="1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</row>
    <row r="797" ht="15.75" hidden="1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</row>
    <row r="798" ht="15.75" hidden="1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</row>
    <row r="799" ht="15.75" hidden="1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</row>
    <row r="800" ht="15.75" hidden="1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</row>
    <row r="801" ht="15.75" hidden="1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</row>
    <row r="802" ht="15.75" hidden="1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</row>
    <row r="803" ht="15.75" hidden="1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</row>
    <row r="804" ht="15.75" hidden="1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</row>
    <row r="805" ht="15.75" hidden="1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</row>
    <row r="806" ht="15.75" hidden="1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</row>
    <row r="807" ht="15.75" hidden="1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</row>
    <row r="808" ht="15.75" hidden="1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</row>
    <row r="809" ht="15.75" hidden="1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</row>
    <row r="810" ht="15.75" hidden="1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</row>
    <row r="811" ht="15.75" hidden="1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</row>
    <row r="812" ht="15.75" hidden="1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</row>
    <row r="813" ht="15.75" hidden="1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</row>
    <row r="814" ht="15.75" hidden="1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</row>
    <row r="815" ht="15.75" hidden="1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</row>
    <row r="816" ht="15.75" hidden="1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</row>
    <row r="817" ht="15.75" hidden="1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</row>
    <row r="818" ht="15.75" hidden="1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</row>
    <row r="819" ht="15.75" hidden="1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</row>
    <row r="820" ht="15.75" hidden="1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</row>
    <row r="821" ht="15.75" hidden="1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</row>
    <row r="822" ht="15.75" hidden="1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</row>
    <row r="823" ht="15.75" hidden="1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</row>
    <row r="824" ht="15.75" hidden="1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</row>
    <row r="825" ht="15.75" hidden="1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</row>
    <row r="826" ht="15.75" hidden="1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</row>
    <row r="827" ht="15.75" hidden="1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</row>
    <row r="828" ht="15.75" hidden="1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</row>
    <row r="829" ht="15.75" hidden="1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</row>
    <row r="830" ht="15.75" hidden="1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</row>
    <row r="831" ht="15.75" hidden="1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</row>
    <row r="832" ht="15.75" hidden="1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</row>
    <row r="833" ht="15.75" hidden="1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</row>
    <row r="834" ht="15.75" hidden="1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</row>
    <row r="835" ht="15.75" hidden="1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</row>
    <row r="836" ht="15.75" hidden="1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</row>
    <row r="837" ht="15.75" hidden="1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</row>
    <row r="838" ht="15.75" hidden="1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</row>
    <row r="839" ht="15.75" hidden="1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</row>
    <row r="840" ht="15.75" hidden="1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</row>
    <row r="841" ht="15.75" hidden="1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</row>
    <row r="842" ht="15.75" hidden="1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</row>
    <row r="843" ht="15.75" hidden="1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</row>
    <row r="844" ht="15.75" hidden="1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</row>
    <row r="845" ht="15.75" hidden="1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</row>
    <row r="846" ht="15.75" hidden="1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</row>
    <row r="847" ht="15.75" hidden="1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</row>
    <row r="848" ht="15.75" hidden="1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</row>
    <row r="849" ht="15.75" hidden="1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</row>
    <row r="850" ht="15.75" hidden="1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</row>
    <row r="851" ht="15.75" hidden="1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</row>
    <row r="852" ht="15.75" hidden="1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</row>
    <row r="853" ht="15.75" hidden="1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</row>
    <row r="854" ht="15.75" hidden="1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</row>
    <row r="855" ht="15.75" hidden="1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</row>
    <row r="856" ht="15.75" hidden="1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</row>
    <row r="857" ht="15.75" hidden="1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</row>
    <row r="858" ht="15.75" hidden="1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</row>
    <row r="859" ht="15.75" hidden="1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</row>
    <row r="860" ht="15.75" hidden="1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</row>
    <row r="861" ht="15.75" hidden="1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</row>
    <row r="862" ht="15.75" hidden="1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</row>
    <row r="863" ht="15.75" hidden="1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</row>
    <row r="864" ht="15.75" hidden="1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</row>
    <row r="865" ht="15.75" hidden="1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</row>
    <row r="866" ht="15.75" hidden="1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</row>
    <row r="867" ht="15.75" hidden="1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</row>
    <row r="868" ht="15.75" hidden="1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</row>
    <row r="869" ht="15.75" hidden="1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</row>
    <row r="870" ht="15.75" hidden="1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</row>
    <row r="871" ht="15.75" hidden="1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</row>
    <row r="872" ht="15.75" hidden="1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</row>
    <row r="873" ht="15.75" hidden="1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</row>
    <row r="874" ht="15.75" hidden="1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</row>
    <row r="875" ht="15.75" hidden="1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</row>
    <row r="876" ht="15.75" hidden="1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</row>
    <row r="877" ht="15.75" hidden="1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</row>
    <row r="878" ht="15.75" hidden="1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</row>
    <row r="879" ht="15.75" hidden="1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</row>
    <row r="880" ht="15.75" hidden="1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</row>
    <row r="881" ht="15.75" hidden="1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</row>
    <row r="882" ht="15.75" hidden="1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</row>
    <row r="883" ht="15.75" hidden="1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</row>
    <row r="884" ht="15.75" hidden="1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</row>
    <row r="885" ht="15.75" hidden="1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</row>
    <row r="886" ht="15.75" hidden="1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</row>
    <row r="887" ht="15.75" hidden="1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</row>
    <row r="888" ht="15.75" hidden="1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</row>
    <row r="889" ht="15.75" hidden="1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</row>
    <row r="890" ht="15.75" hidden="1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</row>
    <row r="891" ht="15.75" hidden="1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</row>
    <row r="892" ht="15.75" hidden="1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</row>
    <row r="893" ht="15.75" hidden="1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</row>
    <row r="894" ht="15.75" hidden="1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</row>
    <row r="895" ht="15.75" hidden="1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</row>
    <row r="896" ht="15.75" hidden="1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</row>
    <row r="897" ht="15.75" hidden="1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</row>
    <row r="898" ht="15.75" hidden="1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</row>
    <row r="899" ht="15.75" hidden="1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</row>
    <row r="900" ht="15.75" hidden="1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</row>
    <row r="901" ht="15.75" hidden="1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</row>
    <row r="902" ht="15.75" hidden="1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</row>
    <row r="903" ht="15.75" hidden="1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</row>
    <row r="904" ht="15.75" hidden="1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</row>
    <row r="905" ht="15.75" hidden="1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</row>
    <row r="906" ht="15.75" hidden="1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</row>
    <row r="907" ht="15.75" hidden="1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</row>
    <row r="908" ht="15.75" hidden="1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</row>
    <row r="909" ht="15.75" hidden="1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</row>
    <row r="910" ht="15.75" hidden="1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</row>
    <row r="911" ht="15.75" hidden="1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</row>
    <row r="912" ht="15.75" hidden="1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</row>
    <row r="913" ht="15.75" hidden="1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</row>
    <row r="914" ht="15.75" hidden="1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</row>
    <row r="915" ht="15.75" hidden="1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</row>
    <row r="916" ht="15.75" hidden="1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</row>
    <row r="917" ht="15.75" hidden="1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</row>
    <row r="918" ht="15.75" hidden="1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</row>
    <row r="919" ht="15.75" hidden="1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</row>
    <row r="920" ht="15.75" hidden="1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</row>
    <row r="921" ht="15.75" hidden="1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</row>
    <row r="922" ht="15.75" hidden="1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</row>
    <row r="923" ht="15.75" hidden="1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</row>
    <row r="924" ht="15.75" hidden="1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</row>
    <row r="925" ht="15.75" hidden="1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</row>
    <row r="926" ht="15.75" hidden="1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</row>
    <row r="927" ht="15.75" hidden="1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</row>
    <row r="928" ht="15.75" hidden="1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</row>
    <row r="929" ht="15.75" hidden="1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</row>
    <row r="930" ht="15.75" hidden="1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</row>
    <row r="931" ht="15.75" hidden="1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</row>
    <row r="932" ht="15.75" hidden="1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</row>
    <row r="933" ht="15.75" hidden="1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</row>
    <row r="934" ht="15.75" hidden="1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</row>
    <row r="935" ht="15.75" hidden="1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</row>
    <row r="936" ht="15.75" hidden="1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</row>
    <row r="937" ht="15.75" hidden="1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</row>
    <row r="938" ht="15.75" hidden="1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</row>
    <row r="939" ht="15.75" hidden="1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</row>
    <row r="940" ht="15.75" hidden="1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</row>
    <row r="941" ht="15.75" hidden="1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</row>
    <row r="942" ht="15.75" hidden="1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</row>
    <row r="943" ht="15.75" hidden="1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</row>
    <row r="944" ht="15.75" hidden="1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</row>
    <row r="945" ht="15.75" hidden="1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</row>
    <row r="946" ht="15.75" hidden="1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</row>
    <row r="947" ht="15.75" hidden="1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</row>
    <row r="948" ht="15.75" hidden="1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</row>
    <row r="949" ht="15.75" hidden="1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</row>
    <row r="950" ht="15.75" hidden="1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</row>
    <row r="951" ht="15.75" hidden="1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</row>
    <row r="952" ht="15.75" hidden="1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</row>
    <row r="953" ht="15.75" hidden="1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</row>
    <row r="954" ht="15.75" hidden="1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</row>
    <row r="955" ht="15.75" hidden="1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</row>
    <row r="956" ht="15.75" hidden="1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</row>
    <row r="957" ht="15.75" hidden="1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</row>
    <row r="958" ht="15.75" hidden="1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</row>
    <row r="959" ht="15.75" hidden="1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</row>
    <row r="960" ht="15.75" hidden="1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</row>
    <row r="961" ht="15.75" hidden="1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</row>
    <row r="962" ht="15.75" hidden="1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</row>
    <row r="963" ht="15.75" hidden="1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</row>
    <row r="964" ht="15.75" hidden="1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</row>
    <row r="965" ht="15.75" hidden="1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</row>
    <row r="966" ht="15.75" hidden="1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</row>
    <row r="967" ht="15.75" hidden="1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</row>
  </sheetData>
  <mergeCells count="36">
    <mergeCell ref="N8:N9"/>
    <mergeCell ref="O8:O9"/>
    <mergeCell ref="H45:I45"/>
    <mergeCell ref="A46:C46"/>
    <mergeCell ref="B47:C47"/>
    <mergeCell ref="G8:G9"/>
    <mergeCell ref="H8:H9"/>
    <mergeCell ref="I8:I9"/>
    <mergeCell ref="J8:J9"/>
    <mergeCell ref="K8:K9"/>
    <mergeCell ref="L8:L9"/>
    <mergeCell ref="M8:M9"/>
    <mergeCell ref="I4:K4"/>
    <mergeCell ref="L4:O4"/>
    <mergeCell ref="D5:H5"/>
    <mergeCell ref="I5:O5"/>
    <mergeCell ref="H6:I6"/>
    <mergeCell ref="J6:K6"/>
    <mergeCell ref="L6:M6"/>
    <mergeCell ref="N6:O6"/>
    <mergeCell ref="D7:I7"/>
    <mergeCell ref="J7:O7"/>
    <mergeCell ref="A1:C7"/>
    <mergeCell ref="D1:N1"/>
    <mergeCell ref="E2:F2"/>
    <mergeCell ref="I2:O2"/>
    <mergeCell ref="D3:H3"/>
    <mergeCell ref="I3:O3"/>
    <mergeCell ref="D4:H4"/>
    <mergeCell ref="D6:E6"/>
    <mergeCell ref="F6:G6"/>
    <mergeCell ref="A8:A9"/>
    <mergeCell ref="B8:C9"/>
    <mergeCell ref="D8:D9"/>
    <mergeCell ref="E8:E9"/>
    <mergeCell ref="F8:F9"/>
  </mergeCells>
  <conditionalFormatting sqref="L10:M44">
    <cfRule type="expression" dxfId="10" priority="1">
      <formula>$A10="REP"</formula>
    </cfRule>
  </conditionalFormatting>
  <conditionalFormatting sqref="L10:M44">
    <cfRule type="expression" dxfId="2" priority="2">
      <formula>$A10="BAJA"</formula>
    </cfRule>
  </conditionalFormatting>
  <conditionalFormatting sqref="L10:M44">
    <cfRule type="expression" dxfId="4" priority="3">
      <formula>$A10="CO"</formula>
    </cfRule>
  </conditionalFormatting>
  <conditionalFormatting sqref="L10:M44">
    <cfRule type="expression" dxfId="4" priority="4">
      <formula>$A10="RC"</formula>
    </cfRule>
  </conditionalFormatting>
  <conditionalFormatting sqref="L10:M44">
    <cfRule type="expression" dxfId="4" priority="5">
      <formula>$A10="AA"</formula>
    </cfRule>
  </conditionalFormatting>
  <conditionalFormatting sqref="L10:M44">
    <cfRule type="expression" dxfId="4" priority="6">
      <formula>$A10="RPO"</formula>
    </cfRule>
  </conditionalFormatting>
  <conditionalFormatting sqref="L10:M44">
    <cfRule type="expression" dxfId="4" priority="7">
      <formula>$A10="RPE"</formula>
    </cfRule>
  </conditionalFormatting>
  <conditionalFormatting sqref="N50:N79">
    <cfRule type="expression" dxfId="10" priority="8">
      <formula>$A10="REP"</formula>
    </cfRule>
  </conditionalFormatting>
  <conditionalFormatting sqref="N50:N79">
    <cfRule type="expression" dxfId="2" priority="9">
      <formula>$A10="BAJA"</formula>
    </cfRule>
  </conditionalFormatting>
  <conditionalFormatting sqref="N50:N79">
    <cfRule type="expression" dxfId="4" priority="10">
      <formula>$A10="CO"</formula>
    </cfRule>
  </conditionalFormatting>
  <conditionalFormatting sqref="N50:N79">
    <cfRule type="expression" dxfId="4" priority="11">
      <formula>$A10="RC"</formula>
    </cfRule>
  </conditionalFormatting>
  <conditionalFormatting sqref="N50:N79">
    <cfRule type="expression" dxfId="4" priority="12">
      <formula>$A10="AA"</formula>
    </cfRule>
  </conditionalFormatting>
  <conditionalFormatting sqref="N50:N79">
    <cfRule type="expression" dxfId="4" priority="13">
      <formula>$A10="RPO"</formula>
    </cfRule>
  </conditionalFormatting>
  <conditionalFormatting sqref="N50:N79">
    <cfRule type="expression" dxfId="4" priority="14">
      <formula>$A10="RPE"</formula>
    </cfRule>
  </conditionalFormatting>
  <conditionalFormatting sqref="J10:L44">
    <cfRule type="expression" dxfId="10" priority="15">
      <formula>$A10="REP"</formula>
    </cfRule>
  </conditionalFormatting>
  <conditionalFormatting sqref="J10:L44">
    <cfRule type="expression" dxfId="2" priority="16">
      <formula>$A10="BAJA"</formula>
    </cfRule>
  </conditionalFormatting>
  <conditionalFormatting sqref="J10:L44">
    <cfRule type="expression" dxfId="4" priority="17">
      <formula>$A10="CO"</formula>
    </cfRule>
  </conditionalFormatting>
  <conditionalFormatting sqref="J10:L44">
    <cfRule type="expression" dxfId="4" priority="18">
      <formula>$A10="RC"</formula>
    </cfRule>
  </conditionalFormatting>
  <conditionalFormatting sqref="J10:L44">
    <cfRule type="expression" dxfId="4" priority="19">
      <formula>$A10="AA"</formula>
    </cfRule>
  </conditionalFormatting>
  <conditionalFormatting sqref="J10:L44">
    <cfRule type="expression" dxfId="4" priority="20">
      <formula>$A10="RPO"</formula>
    </cfRule>
  </conditionalFormatting>
  <conditionalFormatting sqref="J10:L44">
    <cfRule type="expression" dxfId="4" priority="21">
      <formula>$A10="RPE"</formula>
    </cfRule>
  </conditionalFormatting>
  <conditionalFormatting sqref="D10:I44 N10:O44">
    <cfRule type="expression" dxfId="10" priority="22">
      <formula>$A10="REP"</formula>
    </cfRule>
  </conditionalFormatting>
  <conditionalFormatting sqref="D10:I44 N10:O44">
    <cfRule type="expression" dxfId="2" priority="23">
      <formula>$A10="BAJA"</formula>
    </cfRule>
  </conditionalFormatting>
  <conditionalFormatting sqref="D10:I44 N10:O44">
    <cfRule type="expression" dxfId="4" priority="24">
      <formula>$A10="CO"</formula>
    </cfRule>
  </conditionalFormatting>
  <conditionalFormatting sqref="D10:I44 N10:O44">
    <cfRule type="expression" dxfId="4" priority="25">
      <formula>$A10="RC"</formula>
    </cfRule>
  </conditionalFormatting>
  <conditionalFormatting sqref="D10:I44 N10:O44">
    <cfRule type="expression" dxfId="4" priority="26">
      <formula>$A10="AA"</formula>
    </cfRule>
  </conditionalFormatting>
  <conditionalFormatting sqref="D10:O44 N50:N79">
    <cfRule type="expression" dxfId="9" priority="27">
      <formula>#REF!="CO"</formula>
    </cfRule>
  </conditionalFormatting>
  <conditionalFormatting sqref="D10:O44 N50:N79">
    <cfRule type="expression" dxfId="9" priority="28">
      <formula>#REF!="AA"</formula>
    </cfRule>
  </conditionalFormatting>
  <conditionalFormatting sqref="D10:I44 N10:O44">
    <cfRule type="expression" dxfId="4" priority="29">
      <formula>$A10="RPO"</formula>
    </cfRule>
  </conditionalFormatting>
  <conditionalFormatting sqref="D10:I44 N10:O44">
    <cfRule type="expression" dxfId="4" priority="30">
      <formula>$A10="RPE"</formula>
    </cfRule>
  </conditionalFormatting>
  <conditionalFormatting sqref="A10:C44">
    <cfRule type="expression" dxfId="10" priority="31">
      <formula>$A10="REP"</formula>
    </cfRule>
  </conditionalFormatting>
  <conditionalFormatting sqref="A10:C44">
    <cfRule type="expression" dxfId="11" priority="32">
      <formula>$A10="BAJA"</formula>
    </cfRule>
  </conditionalFormatting>
  <conditionalFormatting sqref="A10:C44">
    <cfRule type="expression" dxfId="3" priority="33">
      <formula>$A10="ACT"</formula>
    </cfRule>
  </conditionalFormatting>
  <conditionalFormatting sqref="A10:C44">
    <cfRule type="expression" dxfId="12" priority="34">
      <formula>$A10="CO"</formula>
    </cfRule>
  </conditionalFormatting>
  <conditionalFormatting sqref="A10:C44">
    <cfRule type="expression" dxfId="12" priority="35">
      <formula>$A10="AA"</formula>
    </cfRule>
  </conditionalFormatting>
  <conditionalFormatting sqref="A10:C44">
    <cfRule type="expression" dxfId="15" priority="36">
      <formula>$A10="RC"</formula>
    </cfRule>
  </conditionalFormatting>
  <conditionalFormatting sqref="A10:C44">
    <cfRule type="expression" dxfId="12" priority="37">
      <formula>$A10="RPE"</formula>
    </cfRule>
  </conditionalFormatting>
  <conditionalFormatting sqref="A10:C44">
    <cfRule type="expression" dxfId="12" priority="38">
      <formula>$A10="RPO"</formula>
    </cfRule>
  </conditionalFormatting>
  <hyperlinks>
    <hyperlink r:id="rId1" location="gid=1244256603" ref="B47"/>
  </hyperlinks>
  <drawing r:id="rId2"/>
</worksheet>
</file>