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capital-my.sharepoint.com/personal/maksims_agcapital_onmicrosoft_com/Documents/Desktop/Projects/Apmācības/LBTU Hatch up/Darbnīca 1 Spēka ražotājs/"/>
    </mc:Choice>
  </mc:AlternateContent>
  <xr:revisionPtr revIDLastSave="355" documentId="13_ncr:1_{7CA27388-F573-46DC-B01C-A18AAF38150A}" xr6:coauthVersionLast="47" xr6:coauthVersionMax="47" xr10:uidLastSave="{6A8FB182-97D6-4EC3-B579-2D0F1F896811}"/>
  <bookViews>
    <workbookView xWindow="43102" yWindow="-98" windowWidth="28995" windowHeight="15675" tabRatio="777" firstSheet="1" activeTab="1" xr2:uid="{00000000-000D-0000-FFFF-FFFF00000000}"/>
  </bookViews>
  <sheets>
    <sheet name="Chart Helpers" sheetId="39" state="hidden" r:id="rId1"/>
    <sheet name="Pieņēmumi" sheetId="4" r:id="rId2"/>
    <sheet name="PZA" sheetId="1" r:id="rId3"/>
    <sheet name="Bilance" sheetId="2" r:id="rId4"/>
    <sheet name="NP" sheetId="3" r:id="rId5"/>
    <sheet name="Pārdošana" sheetId="9" r:id="rId6"/>
    <sheet name="Ražošana" sheetId="34" r:id="rId7"/>
    <sheet name="Algas" sheetId="37" r:id="rId8"/>
    <sheet name="Admin" sheetId="36" r:id="rId9"/>
    <sheet name="Iepirkumi" sheetId="38" r:id="rId10"/>
    <sheet name="Debitori" sheetId="16" r:id="rId11"/>
    <sheet name="Piegādātāji" sheetId="15" r:id="rId12"/>
    <sheet name="Finansēšana" sheetId="10" r:id="rId13"/>
    <sheet name="CapEx" sheetId="11" r:id="rId14"/>
  </sheets>
  <definedNames>
    <definedName name="Axis">OFFSET(#REF!,0,0,MAX(#REF!),1)</definedName>
    <definedName name="Axis1">OFFSET(#REF!,0,0,MAX(#REF!),1)</definedName>
    <definedName name="Data">OFFSET(#REF!,0,0,MAX(#REF!),1)</definedName>
    <definedName name="Data1">OFFSET(#REF!,0,0,MAX(#REF!),1)</definedName>
    <definedName name="Depreciation_Years">CapEx!$C$7:$C$15</definedName>
    <definedName name="Intangible_Depr_Years">CapEx!$C$16:$C$18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44533.4883449074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onth">"JanFebMarAprMayJunJulAugSepOctNovDecJan"</definedName>
    <definedName name="OLE_LINK5" localSheetId="2">PZA!$F$47</definedName>
    <definedName name="_xlnm.Print_Area" localSheetId="3">Bilance!$B$2:$O$28</definedName>
    <definedName name="_xlnm.Print_Area" localSheetId="13">CapEx!$B$2:$P$103</definedName>
    <definedName name="_xlnm.Print_Area" localSheetId="10">Debitori!$B$2:$O$16</definedName>
    <definedName name="_xlnm.Print_Area" localSheetId="12">Finansēšana!$A$1:$P$47</definedName>
    <definedName name="_xlnm.Print_Area" localSheetId="4">NP!$B$2:$O$30</definedName>
    <definedName name="_xlnm.Print_Area" localSheetId="5">Pārdošana!$B$2:$O$43</definedName>
    <definedName name="_xlnm.Print_Area" localSheetId="11">Piegādātāji!$B$2:$O$19</definedName>
    <definedName name="_xlnm.Print_Area" localSheetId="1">Pieņēmumi!$A$1:$J$26</definedName>
    <definedName name="_xlnm.Print_Area" localSheetId="2">PZA!$B$2:$O$45</definedName>
    <definedName name="SA1_Axis">OFFSET(#REF!,0,0,MAX(#REF!),1)</definedName>
    <definedName name="SA1_Data">OFFSET(#REF!,0,0,MAX(#REF!),1)</definedName>
    <definedName name="SA2_Axis">OFFSET(#REF!,0,0,MAX(#REF!),1)</definedName>
    <definedName name="SA2_Data">OFFSET(#REF!,0,0,MAX(#REF!),1)</definedName>
    <definedName name="SA3_Axis">OFFSET(#REF!,0,0,MAX(#REF!),1)</definedName>
    <definedName name="SA3_Data">OFFSET(#REF!,0,0,MAX(#REF!),1)</definedName>
    <definedName name="SA4_Axis">OFFSET(#REF!,0,0,MAX(#REF!),1)</definedName>
    <definedName name="SA4_Data">OFFSET(#REF!,0,0,MAX(#REF!),1)</definedName>
    <definedName name="SA5_Axis">OFFSET(#REF!,0,0,MAX(#REF!),1)</definedName>
    <definedName name="SA5_Data">OFFSET(#REF!,0,0,MAX(#REF!),1)</definedName>
    <definedName name="SA5_Data2">OFFSET(#REF!,0,0,MAX(#REF!),1)</definedName>
    <definedName name="Stock_groups">OFFSET(#REF!,0,0,MAX(#REF!),1)</definedName>
    <definedName name="Stocks_AVG">OFFSET(#REF!,0,0,MAX(#REF!),1)</definedName>
    <definedName name="TRN">OFFSET(#REF!,0,0,MAX(#REF!),1)</definedName>
    <definedName name="Turnover_group">OFFSET(#REF!,0,0,MAX(#REF!),1)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5" l="1"/>
  <c r="E12" i="15"/>
  <c r="F12" i="15"/>
  <c r="G12" i="15"/>
  <c r="H12" i="15"/>
  <c r="I12" i="15"/>
  <c r="J12" i="15"/>
  <c r="K12" i="15"/>
  <c r="L12" i="15"/>
  <c r="M12" i="15"/>
  <c r="N12" i="15"/>
  <c r="O12" i="15"/>
  <c r="C12" i="34"/>
  <c r="D12" i="34"/>
  <c r="E12" i="34"/>
  <c r="F12" i="34"/>
  <c r="G12" i="34"/>
  <c r="H12" i="34"/>
  <c r="I12" i="34"/>
  <c r="J12" i="34"/>
  <c r="K12" i="34"/>
  <c r="L12" i="34"/>
  <c r="M12" i="34"/>
  <c r="N12" i="34"/>
  <c r="O22" i="11" l="1"/>
  <c r="N22" i="11"/>
  <c r="M22" i="11"/>
  <c r="L22" i="11"/>
  <c r="K22" i="11"/>
  <c r="J22" i="11"/>
  <c r="I22" i="11"/>
  <c r="H22" i="11"/>
  <c r="G22" i="11"/>
  <c r="F22" i="11"/>
  <c r="E22" i="11"/>
  <c r="D22" i="11"/>
  <c r="G18" i="9" a="1"/>
  <c r="G18" i="9" s="1"/>
  <c r="F18" i="9" a="1"/>
  <c r="F18" i="9" s="1"/>
  <c r="E18" i="9" a="1"/>
  <c r="E18" i="9" s="1"/>
  <c r="D18" i="9" a="1"/>
  <c r="D18" i="9" s="1"/>
  <c r="C18" i="9" a="1"/>
  <c r="C18" i="9" s="1"/>
  <c r="O11" i="36"/>
  <c r="H18" i="9" l="1" a="1"/>
  <c r="H18" i="9" s="1"/>
  <c r="H91" i="37" s="1"/>
  <c r="I18" i="9" a="1"/>
  <c r="I18" i="9" s="1"/>
  <c r="I91" i="37" s="1"/>
  <c r="G91" i="37"/>
  <c r="F91" i="37"/>
  <c r="E91" i="37"/>
  <c r="D91" i="37"/>
  <c r="C91" i="37"/>
  <c r="J18" i="9" l="1" a="1"/>
  <c r="J18" i="9" s="1"/>
  <c r="J91" i="37" s="1"/>
  <c r="D28" i="11" a="1"/>
  <c r="D28" i="11" s="1"/>
  <c r="K18" i="9" l="1" a="1"/>
  <c r="K18" i="9" s="1"/>
  <c r="K91" i="37" s="1"/>
  <c r="P22" i="11"/>
  <c r="L18" i="9" l="1" a="1"/>
  <c r="L18" i="9" s="1"/>
  <c r="L91" i="37" s="1"/>
  <c r="D10" i="11"/>
  <c r="M18" i="9" l="1" a="1"/>
  <c r="M18" i="9" s="1"/>
  <c r="M91" i="37" s="1"/>
  <c r="C69" i="37"/>
  <c r="C65" i="37"/>
  <c r="C50" i="37"/>
  <c r="B18" i="9"/>
  <c r="B17" i="9"/>
  <c r="B16" i="9"/>
  <c r="B15" i="9"/>
  <c r="B14" i="9"/>
  <c r="B13" i="9"/>
  <c r="B12" i="9"/>
  <c r="B11" i="9"/>
  <c r="B10" i="9"/>
  <c r="B9" i="9"/>
  <c r="B8" i="9"/>
  <c r="B7" i="9"/>
  <c r="O35" i="9"/>
  <c r="O34" i="9"/>
  <c r="O33" i="9"/>
  <c r="O32" i="9"/>
  <c r="O31" i="9"/>
  <c r="O29" i="9"/>
  <c r="O28" i="9"/>
  <c r="O27" i="9"/>
  <c r="O26" i="9"/>
  <c r="O25" i="9"/>
  <c r="O24" i="9"/>
  <c r="L23" i="9"/>
  <c r="K23" i="9"/>
  <c r="J23" i="9"/>
  <c r="I23" i="9"/>
  <c r="H23" i="9"/>
  <c r="G23" i="9"/>
  <c r="F23" i="9"/>
  <c r="E23" i="9"/>
  <c r="D23" i="9"/>
  <c r="C23" i="9"/>
  <c r="F14" i="9" l="1" a="1"/>
  <c r="F14" i="9" s="1"/>
  <c r="F87" i="37" s="1"/>
  <c r="D14" i="9" a="1"/>
  <c r="D14" i="9" s="1"/>
  <c r="D87" i="37" s="1"/>
  <c r="G14" i="9" a="1"/>
  <c r="G14" i="9" s="1"/>
  <c r="G87" i="37" s="1"/>
  <c r="E14" i="9" a="1"/>
  <c r="E14" i="9" s="1"/>
  <c r="E87" i="37" s="1"/>
  <c r="C14" i="9" a="1"/>
  <c r="C14" i="9" s="1"/>
  <c r="C87" i="37" s="1"/>
  <c r="H14" i="9" a="1"/>
  <c r="H14" i="9" s="1"/>
  <c r="H87" i="37" s="1"/>
  <c r="I14" i="9" a="1"/>
  <c r="I14" i="9" s="1"/>
  <c r="I87" i="37" s="1"/>
  <c r="J14" i="9" a="1"/>
  <c r="J14" i="9" s="1"/>
  <c r="J87" i="37" s="1"/>
  <c r="K14" i="9" a="1"/>
  <c r="K14" i="9" s="1"/>
  <c r="K87" i="37" s="1"/>
  <c r="L14" i="9" a="1"/>
  <c r="L14" i="9" s="1"/>
  <c r="L87" i="37" s="1"/>
  <c r="E15" i="9" a="1"/>
  <c r="E15" i="9" s="1"/>
  <c r="E88" i="37" s="1"/>
  <c r="D15" i="9" a="1"/>
  <c r="D15" i="9" s="1"/>
  <c r="D88" i="37" s="1"/>
  <c r="F15" i="9" a="1"/>
  <c r="F15" i="9" s="1"/>
  <c r="F88" i="37" s="1"/>
  <c r="G15" i="9" a="1"/>
  <c r="G15" i="9" s="1"/>
  <c r="G88" i="37" s="1"/>
  <c r="C15" i="9" a="1"/>
  <c r="C15" i="9" s="1"/>
  <c r="C88" i="37" s="1"/>
  <c r="I15" i="9" a="1"/>
  <c r="I15" i="9" s="1"/>
  <c r="I88" i="37" s="1"/>
  <c r="H15" i="9" a="1"/>
  <c r="H15" i="9" s="1"/>
  <c r="H88" i="37" s="1"/>
  <c r="J15" i="9" a="1"/>
  <c r="J15" i="9" s="1"/>
  <c r="J88" i="37" s="1"/>
  <c r="K15" i="9" a="1"/>
  <c r="K15" i="9" s="1"/>
  <c r="K88" i="37" s="1"/>
  <c r="L15" i="9" a="1"/>
  <c r="L15" i="9" s="1"/>
  <c r="L88" i="37" s="1"/>
  <c r="C16" i="9" a="1"/>
  <c r="C16" i="9" s="1"/>
  <c r="C89" i="37" s="1"/>
  <c r="G16" i="9" a="1"/>
  <c r="G16" i="9" s="1"/>
  <c r="G89" i="37" s="1"/>
  <c r="E16" i="9" a="1"/>
  <c r="E16" i="9" s="1"/>
  <c r="E89" i="37" s="1"/>
  <c r="D16" i="9" a="1"/>
  <c r="D16" i="9" s="1"/>
  <c r="D89" i="37" s="1"/>
  <c r="F16" i="9" a="1"/>
  <c r="F16" i="9" s="1"/>
  <c r="F89" i="37" s="1"/>
  <c r="H16" i="9" a="1"/>
  <c r="H16" i="9" s="1"/>
  <c r="H89" i="37" s="1"/>
  <c r="I16" i="9" a="1"/>
  <c r="I16" i="9" s="1"/>
  <c r="I89" i="37" s="1"/>
  <c r="J16" i="9" a="1"/>
  <c r="J16" i="9" s="1"/>
  <c r="J89" i="37" s="1"/>
  <c r="K16" i="9" a="1"/>
  <c r="K16" i="9" s="1"/>
  <c r="K89" i="37" s="1"/>
  <c r="L16" i="9" a="1"/>
  <c r="L16" i="9" s="1"/>
  <c r="L89" i="37" s="1"/>
  <c r="M14" i="9" a="1"/>
  <c r="M14" i="9" s="1"/>
  <c r="M87" i="37" s="1"/>
  <c r="M15" i="9" a="1"/>
  <c r="M15" i="9" s="1"/>
  <c r="M88" i="37" s="1"/>
  <c r="G17" i="9" a="1"/>
  <c r="G17" i="9" s="1"/>
  <c r="G90" i="37" s="1"/>
  <c r="F17" i="9" a="1"/>
  <c r="F17" i="9" s="1"/>
  <c r="F90" i="37" s="1"/>
  <c r="E17" i="9" a="1"/>
  <c r="E17" i="9" s="1"/>
  <c r="E90" i="37" s="1"/>
  <c r="D17" i="9" a="1"/>
  <c r="D17" i="9" s="1"/>
  <c r="D90" i="37" s="1"/>
  <c r="C17" i="9" a="1"/>
  <c r="C17" i="9" s="1"/>
  <c r="C90" i="37" s="1"/>
  <c r="H17" i="9" a="1"/>
  <c r="H17" i="9" s="1"/>
  <c r="H90" i="37" s="1"/>
  <c r="I17" i="9" a="1"/>
  <c r="I17" i="9" s="1"/>
  <c r="I90" i="37" s="1"/>
  <c r="J17" i="9" a="1"/>
  <c r="J17" i="9" s="1"/>
  <c r="J90" i="37" s="1"/>
  <c r="K17" i="9" a="1"/>
  <c r="K17" i="9" s="1"/>
  <c r="K90" i="37" s="1"/>
  <c r="L17" i="9" a="1"/>
  <c r="L17" i="9" s="1"/>
  <c r="L90" i="37" s="1"/>
  <c r="M16" i="9" a="1"/>
  <c r="M16" i="9" s="1"/>
  <c r="M89" i="37" s="1"/>
  <c r="M17" i="9" a="1"/>
  <c r="M17" i="9" s="1"/>
  <c r="M90" i="37" s="1"/>
  <c r="N18" i="9" a="1"/>
  <c r="N18" i="9" s="1"/>
  <c r="N91" i="37" s="1"/>
  <c r="N17" i="9" a="1"/>
  <c r="N17" i="9" s="1"/>
  <c r="N90" i="37" s="1"/>
  <c r="N16" i="9" a="1"/>
  <c r="N16" i="9" s="1"/>
  <c r="N89" i="37" s="1"/>
  <c r="N15" i="9" a="1"/>
  <c r="N15" i="9" s="1"/>
  <c r="N88" i="37" s="1"/>
  <c r="N14" i="9" a="1"/>
  <c r="N14" i="9" s="1"/>
  <c r="N87" i="37" s="1"/>
  <c r="N13" i="9" a="1"/>
  <c r="N13" i="9" s="1"/>
  <c r="N86" i="37" s="1"/>
  <c r="J13" i="9" a="1"/>
  <c r="J13" i="9" s="1"/>
  <c r="J86" i="37" s="1"/>
  <c r="F13" i="9" a="1"/>
  <c r="F13" i="9" s="1"/>
  <c r="F86" i="37" s="1"/>
  <c r="I13" i="9" a="1"/>
  <c r="I13" i="9" s="1"/>
  <c r="I86" i="37" s="1"/>
  <c r="M13" i="9" a="1"/>
  <c r="M13" i="9" s="1"/>
  <c r="M86" i="37" s="1"/>
  <c r="L13" i="9" a="1"/>
  <c r="L13" i="9" s="1"/>
  <c r="L86" i="37" s="1"/>
  <c r="H13" i="9" a="1"/>
  <c r="H13" i="9" s="1"/>
  <c r="H86" i="37" s="1"/>
  <c r="D13" i="9" a="1"/>
  <c r="D13" i="9" s="1"/>
  <c r="D86" i="37" s="1"/>
  <c r="E13" i="9" a="1"/>
  <c r="E13" i="9" s="1"/>
  <c r="E86" i="37" s="1"/>
  <c r="K13" i="9" a="1"/>
  <c r="K13" i="9" s="1"/>
  <c r="K86" i="37" s="1"/>
  <c r="G13" i="9" a="1"/>
  <c r="G13" i="9" s="1"/>
  <c r="G86" i="37" s="1"/>
  <c r="C13" i="9" a="1"/>
  <c r="C13" i="9" s="1"/>
  <c r="C86" i="37" s="1"/>
  <c r="M7" i="9" a="1"/>
  <c r="M7" i="9" s="1"/>
  <c r="M80" i="37" s="1"/>
  <c r="I7" i="9" a="1"/>
  <c r="I7" i="9" s="1"/>
  <c r="I80" i="37" s="1"/>
  <c r="E7" i="9" a="1"/>
  <c r="E7" i="9" s="1"/>
  <c r="E80" i="37" s="1"/>
  <c r="L7" i="9" a="1"/>
  <c r="L7" i="9" s="1"/>
  <c r="L80" i="37" s="1"/>
  <c r="D7" i="9" a="1"/>
  <c r="D7" i="9" s="1"/>
  <c r="D80" i="37" s="1"/>
  <c r="G7" i="9" a="1"/>
  <c r="G7" i="9" s="1"/>
  <c r="G80" i="37" s="1"/>
  <c r="F7" i="9" a="1"/>
  <c r="F7" i="9" s="1"/>
  <c r="F80" i="37" s="1"/>
  <c r="H7" i="9" a="1"/>
  <c r="H7" i="9" s="1"/>
  <c r="H80" i="37" s="1"/>
  <c r="K7" i="9" a="1"/>
  <c r="K7" i="9" s="1"/>
  <c r="C7" i="9" a="1"/>
  <c r="C7" i="9" s="1"/>
  <c r="C80" i="37" s="1"/>
  <c r="N7" i="9" a="1"/>
  <c r="N7" i="9" s="1"/>
  <c r="N80" i="37" s="1"/>
  <c r="J7" i="9" a="1"/>
  <c r="J7" i="9" s="1"/>
  <c r="J80" i="37" s="1"/>
  <c r="M11" i="9" a="1"/>
  <c r="M11" i="9" s="1"/>
  <c r="M84" i="37" s="1"/>
  <c r="I11" i="9" a="1"/>
  <c r="I11" i="9" s="1"/>
  <c r="I84" i="37" s="1"/>
  <c r="E11" i="9" a="1"/>
  <c r="E11" i="9" s="1"/>
  <c r="E84" i="37" s="1"/>
  <c r="L11" i="9" a="1"/>
  <c r="L11" i="9" s="1"/>
  <c r="L84" i="37" s="1"/>
  <c r="H11" i="9" a="1"/>
  <c r="H11" i="9" s="1"/>
  <c r="H84" i="37" s="1"/>
  <c r="D11" i="9" a="1"/>
  <c r="D11" i="9" s="1"/>
  <c r="D84" i="37" s="1"/>
  <c r="K11" i="9" a="1"/>
  <c r="K11" i="9" s="1"/>
  <c r="K84" i="37" s="1"/>
  <c r="G11" i="9" a="1"/>
  <c r="G11" i="9" s="1"/>
  <c r="G84" i="37" s="1"/>
  <c r="C11" i="9" a="1"/>
  <c r="C11" i="9" s="1"/>
  <c r="C84" i="37" s="1"/>
  <c r="N11" i="9" a="1"/>
  <c r="N11" i="9" s="1"/>
  <c r="N84" i="37" s="1"/>
  <c r="J11" i="9" a="1"/>
  <c r="J11" i="9" s="1"/>
  <c r="J84" i="37" s="1"/>
  <c r="F11" i="9" a="1"/>
  <c r="F11" i="9" s="1"/>
  <c r="F84" i="37" s="1"/>
  <c r="M12" i="9" a="1"/>
  <c r="M12" i="9" s="1"/>
  <c r="I12" i="9" a="1"/>
  <c r="I12" i="9" s="1"/>
  <c r="I85" i="37" s="1"/>
  <c r="E12" i="9" a="1"/>
  <c r="E12" i="9" s="1"/>
  <c r="E85" i="37" s="1"/>
  <c r="L12" i="9" a="1"/>
  <c r="L12" i="9" s="1"/>
  <c r="L85" i="37" s="1"/>
  <c r="H12" i="9" a="1"/>
  <c r="H12" i="9" s="1"/>
  <c r="H85" i="37" s="1"/>
  <c r="D12" i="9" a="1"/>
  <c r="D12" i="9" s="1"/>
  <c r="D85" i="37" s="1"/>
  <c r="K12" i="9" a="1"/>
  <c r="K12" i="9" s="1"/>
  <c r="K85" i="37" s="1"/>
  <c r="G12" i="9" a="1"/>
  <c r="G12" i="9" s="1"/>
  <c r="G85" i="37" s="1"/>
  <c r="C12" i="9" a="1"/>
  <c r="C12" i="9" s="1"/>
  <c r="C85" i="37" s="1"/>
  <c r="N12" i="9" a="1"/>
  <c r="N12" i="9" s="1"/>
  <c r="N85" i="37" s="1"/>
  <c r="J12" i="9" a="1"/>
  <c r="J12" i="9" s="1"/>
  <c r="J85" i="37" s="1"/>
  <c r="F12" i="9" a="1"/>
  <c r="F12" i="9" s="1"/>
  <c r="F85" i="37" s="1"/>
  <c r="M10" i="9" a="1"/>
  <c r="M10" i="9" s="1"/>
  <c r="M83" i="37" s="1"/>
  <c r="I10" i="9" a="1"/>
  <c r="I10" i="9" s="1"/>
  <c r="I83" i="37" s="1"/>
  <c r="E10" i="9" a="1"/>
  <c r="E10" i="9" s="1"/>
  <c r="E83" i="37" s="1"/>
  <c r="L10" i="9" a="1"/>
  <c r="L10" i="9" s="1"/>
  <c r="L83" i="37" s="1"/>
  <c r="H10" i="9" a="1"/>
  <c r="H10" i="9" s="1"/>
  <c r="H83" i="37" s="1"/>
  <c r="D10" i="9" a="1"/>
  <c r="D10" i="9" s="1"/>
  <c r="D83" i="37" s="1"/>
  <c r="K10" i="9" a="1"/>
  <c r="K10" i="9" s="1"/>
  <c r="K83" i="37" s="1"/>
  <c r="G10" i="9" a="1"/>
  <c r="G10" i="9" s="1"/>
  <c r="G83" i="37" s="1"/>
  <c r="C10" i="9" a="1"/>
  <c r="C10" i="9" s="1"/>
  <c r="C83" i="37" s="1"/>
  <c r="N10" i="9" a="1"/>
  <c r="N10" i="9" s="1"/>
  <c r="N83" i="37" s="1"/>
  <c r="J10" i="9" a="1"/>
  <c r="J10" i="9" s="1"/>
  <c r="J83" i="37" s="1"/>
  <c r="F10" i="9" a="1"/>
  <c r="F10" i="9" s="1"/>
  <c r="F83" i="37" s="1"/>
  <c r="M8" i="9" a="1"/>
  <c r="M8" i="9" s="1"/>
  <c r="M81" i="37" s="1"/>
  <c r="I8" i="9" a="1"/>
  <c r="I8" i="9" s="1"/>
  <c r="I81" i="37" s="1"/>
  <c r="E8" i="9" a="1"/>
  <c r="E8" i="9" s="1"/>
  <c r="E81" i="37" s="1"/>
  <c r="L8" i="9" a="1"/>
  <c r="L8" i="9" s="1"/>
  <c r="L81" i="37" s="1"/>
  <c r="H8" i="9" a="1"/>
  <c r="H8" i="9" s="1"/>
  <c r="H81" i="37" s="1"/>
  <c r="D8" i="9" a="1"/>
  <c r="D8" i="9" s="1"/>
  <c r="D81" i="37" s="1"/>
  <c r="K8" i="9" a="1"/>
  <c r="K8" i="9" s="1"/>
  <c r="K81" i="37" s="1"/>
  <c r="G8" i="9" a="1"/>
  <c r="G8" i="9" s="1"/>
  <c r="G81" i="37" s="1"/>
  <c r="C8" i="9" a="1"/>
  <c r="C8" i="9" s="1"/>
  <c r="C81" i="37" s="1"/>
  <c r="N8" i="9" a="1"/>
  <c r="N8" i="9" s="1"/>
  <c r="N81" i="37" s="1"/>
  <c r="J8" i="9" a="1"/>
  <c r="J8" i="9" s="1"/>
  <c r="J81" i="37" s="1"/>
  <c r="F8" i="9" a="1"/>
  <c r="F8" i="9" s="1"/>
  <c r="F81" i="37" s="1"/>
  <c r="M9" i="9" a="1"/>
  <c r="M9" i="9" s="1"/>
  <c r="M82" i="37" s="1"/>
  <c r="I9" i="9" a="1"/>
  <c r="I9" i="9" s="1"/>
  <c r="I82" i="37" s="1"/>
  <c r="E9" i="9" a="1"/>
  <c r="E9" i="9" s="1"/>
  <c r="E82" i="37" s="1"/>
  <c r="L9" i="9" a="1"/>
  <c r="L9" i="9" s="1"/>
  <c r="L82" i="37" s="1"/>
  <c r="H9" i="9" a="1"/>
  <c r="H9" i="9" s="1"/>
  <c r="H82" i="37" s="1"/>
  <c r="D9" i="9" a="1"/>
  <c r="D9" i="9" s="1"/>
  <c r="D82" i="37" s="1"/>
  <c r="K9" i="9" a="1"/>
  <c r="K9" i="9" s="1"/>
  <c r="K82" i="37" s="1"/>
  <c r="G9" i="9" a="1"/>
  <c r="G9" i="9" s="1"/>
  <c r="G82" i="37" s="1"/>
  <c r="C9" i="9" a="1"/>
  <c r="C9" i="9" s="1"/>
  <c r="C82" i="37" s="1"/>
  <c r="N9" i="9" a="1"/>
  <c r="N9" i="9" s="1"/>
  <c r="N82" i="37" s="1"/>
  <c r="J9" i="9" a="1"/>
  <c r="J9" i="9" s="1"/>
  <c r="J82" i="37" s="1"/>
  <c r="F9" i="9" a="1"/>
  <c r="F9" i="9" s="1"/>
  <c r="F82" i="37" s="1"/>
  <c r="M85" i="37"/>
  <c r="K80" i="37"/>
  <c r="J13" i="34" l="1"/>
  <c r="J10" i="34"/>
  <c r="J9" i="34"/>
  <c r="H13" i="34"/>
  <c r="H10" i="34"/>
  <c r="H9" i="34"/>
  <c r="L13" i="34"/>
  <c r="L10" i="34"/>
  <c r="L9" i="34"/>
  <c r="N10" i="34"/>
  <c r="N13" i="34"/>
  <c r="N9" i="34"/>
  <c r="F13" i="34"/>
  <c r="F10" i="34"/>
  <c r="F9" i="34"/>
  <c r="E13" i="34"/>
  <c r="E10" i="34"/>
  <c r="E9" i="34"/>
  <c r="C13" i="34"/>
  <c r="C10" i="34"/>
  <c r="C9" i="34"/>
  <c r="G13" i="34"/>
  <c r="G10" i="34"/>
  <c r="G9" i="34"/>
  <c r="I13" i="34"/>
  <c r="I10" i="34"/>
  <c r="I9" i="34"/>
  <c r="K13" i="34"/>
  <c r="K10" i="34"/>
  <c r="K9" i="34"/>
  <c r="D13" i="34"/>
  <c r="D10" i="34"/>
  <c r="D9" i="34"/>
  <c r="M13" i="34"/>
  <c r="M10" i="34"/>
  <c r="M9" i="34"/>
  <c r="O30" i="9"/>
  <c r="M23" i="9"/>
  <c r="M42" i="1"/>
  <c r="L42" i="1"/>
  <c r="K42" i="1"/>
  <c r="J42" i="1"/>
  <c r="I42" i="1"/>
  <c r="H42" i="1"/>
  <c r="G42" i="1"/>
  <c r="F42" i="1"/>
  <c r="E42" i="1"/>
  <c r="D42" i="1"/>
  <c r="C42" i="1"/>
  <c r="N42" i="1"/>
  <c r="D13" i="36"/>
  <c r="D29" i="1" s="1"/>
  <c r="D10" i="36"/>
  <c r="E10" i="36" s="1"/>
  <c r="C29" i="1"/>
  <c r="C27" i="1"/>
  <c r="C26" i="1"/>
  <c r="B29" i="1"/>
  <c r="B28" i="1"/>
  <c r="B27" i="1"/>
  <c r="B26" i="1"/>
  <c r="B25" i="1"/>
  <c r="P24" i="10"/>
  <c r="B14" i="11"/>
  <c r="B13" i="11"/>
  <c r="B12" i="11"/>
  <c r="B11" i="11"/>
  <c r="B10" i="11"/>
  <c r="B9" i="11"/>
  <c r="B8" i="11"/>
  <c r="B7" i="11"/>
  <c r="B18" i="11"/>
  <c r="B17" i="11"/>
  <c r="B16" i="11"/>
  <c r="C15" i="2"/>
  <c r="C16" i="2"/>
  <c r="C6" i="2"/>
  <c r="B54" i="16"/>
  <c r="K59" i="16" s="1"/>
  <c r="B45" i="16"/>
  <c r="K50" i="16" s="1"/>
  <c r="B36" i="16"/>
  <c r="I41" i="16" s="1"/>
  <c r="B27" i="16"/>
  <c r="K32" i="16" s="1"/>
  <c r="B18" i="16"/>
  <c r="K23" i="16" s="1"/>
  <c r="B9" i="16"/>
  <c r="K14" i="16" s="1"/>
  <c r="N74" i="37"/>
  <c r="M74" i="37"/>
  <c r="L74" i="37"/>
  <c r="K74" i="37"/>
  <c r="J74" i="37"/>
  <c r="I74" i="37"/>
  <c r="H74" i="37"/>
  <c r="G74" i="37"/>
  <c r="F74" i="37"/>
  <c r="E74" i="37"/>
  <c r="D74" i="37"/>
  <c r="C74" i="37"/>
  <c r="N73" i="37"/>
  <c r="M73" i="37"/>
  <c r="L73" i="37"/>
  <c r="K73" i="37"/>
  <c r="J73" i="37"/>
  <c r="I73" i="37"/>
  <c r="H73" i="37"/>
  <c r="G73" i="37"/>
  <c r="F73" i="37"/>
  <c r="E73" i="37"/>
  <c r="D73" i="37"/>
  <c r="C73" i="37"/>
  <c r="N72" i="37"/>
  <c r="M72" i="37"/>
  <c r="L72" i="37"/>
  <c r="K72" i="37"/>
  <c r="J72" i="37"/>
  <c r="I72" i="37"/>
  <c r="H72" i="37"/>
  <c r="G72" i="37"/>
  <c r="F72" i="37"/>
  <c r="E72" i="37"/>
  <c r="D72" i="37"/>
  <c r="C72" i="37"/>
  <c r="N71" i="37"/>
  <c r="M71" i="37"/>
  <c r="L71" i="37"/>
  <c r="K71" i="37"/>
  <c r="J71" i="37"/>
  <c r="I71" i="37"/>
  <c r="H71" i="37"/>
  <c r="G71" i="37"/>
  <c r="F71" i="37"/>
  <c r="E71" i="37"/>
  <c r="D71" i="37"/>
  <c r="C71" i="37"/>
  <c r="N70" i="37"/>
  <c r="M70" i="37"/>
  <c r="L70" i="37"/>
  <c r="K70" i="37"/>
  <c r="J70" i="37"/>
  <c r="I70" i="37"/>
  <c r="H70" i="37"/>
  <c r="G70" i="37"/>
  <c r="F70" i="37"/>
  <c r="E70" i="37"/>
  <c r="D70" i="37"/>
  <c r="C70" i="37"/>
  <c r="N69" i="37"/>
  <c r="M69" i="37"/>
  <c r="L69" i="37"/>
  <c r="K69" i="37"/>
  <c r="J69" i="37"/>
  <c r="I69" i="37"/>
  <c r="H69" i="37"/>
  <c r="G69" i="37"/>
  <c r="F69" i="37"/>
  <c r="E69" i="37"/>
  <c r="D69" i="37"/>
  <c r="N68" i="37"/>
  <c r="M68" i="37"/>
  <c r="L68" i="37"/>
  <c r="K68" i="37"/>
  <c r="J68" i="37"/>
  <c r="I68" i="37"/>
  <c r="H68" i="37"/>
  <c r="G68" i="37"/>
  <c r="F68" i="37"/>
  <c r="E68" i="37"/>
  <c r="D68" i="37"/>
  <c r="C68" i="37"/>
  <c r="N67" i="37"/>
  <c r="M67" i="37"/>
  <c r="L67" i="37"/>
  <c r="K67" i="37"/>
  <c r="J67" i="37"/>
  <c r="I67" i="37"/>
  <c r="H67" i="37"/>
  <c r="G67" i="37"/>
  <c r="F67" i="37"/>
  <c r="E67" i="37"/>
  <c r="D67" i="37"/>
  <c r="C67" i="37"/>
  <c r="N66" i="37"/>
  <c r="M66" i="37"/>
  <c r="L66" i="37"/>
  <c r="K66" i="37"/>
  <c r="J66" i="37"/>
  <c r="I66" i="37"/>
  <c r="H66" i="37"/>
  <c r="G66" i="37"/>
  <c r="F66" i="37"/>
  <c r="E66" i="37"/>
  <c r="D66" i="37"/>
  <c r="C66" i="37"/>
  <c r="N65" i="37"/>
  <c r="M65" i="37"/>
  <c r="L65" i="37"/>
  <c r="K65" i="37"/>
  <c r="J65" i="37"/>
  <c r="I65" i="37"/>
  <c r="H65" i="37"/>
  <c r="G65" i="37"/>
  <c r="F65" i="37"/>
  <c r="E65" i="37"/>
  <c r="D65" i="37"/>
  <c r="N59" i="37"/>
  <c r="M59" i="37"/>
  <c r="L59" i="37"/>
  <c r="K59" i="37"/>
  <c r="J59" i="37"/>
  <c r="I59" i="37"/>
  <c r="H59" i="37"/>
  <c r="G59" i="37"/>
  <c r="F59" i="37"/>
  <c r="E59" i="37"/>
  <c r="D59" i="37"/>
  <c r="C59" i="37"/>
  <c r="N58" i="37"/>
  <c r="M58" i="37"/>
  <c r="L58" i="37"/>
  <c r="K58" i="37"/>
  <c r="J58" i="37"/>
  <c r="I58" i="37"/>
  <c r="H58" i="37"/>
  <c r="G58" i="37"/>
  <c r="F58" i="37"/>
  <c r="E58" i="37"/>
  <c r="D58" i="37"/>
  <c r="C58" i="37"/>
  <c r="N57" i="37"/>
  <c r="M57" i="37"/>
  <c r="L57" i="37"/>
  <c r="K57" i="37"/>
  <c r="J57" i="37"/>
  <c r="I57" i="37"/>
  <c r="H57" i="37"/>
  <c r="G57" i="37"/>
  <c r="F57" i="37"/>
  <c r="E57" i="37"/>
  <c r="D57" i="37"/>
  <c r="C57" i="37"/>
  <c r="N56" i="37"/>
  <c r="M56" i="37"/>
  <c r="L56" i="37"/>
  <c r="K56" i="37"/>
  <c r="J56" i="37"/>
  <c r="I56" i="37"/>
  <c r="H56" i="37"/>
  <c r="G56" i="37"/>
  <c r="F56" i="37"/>
  <c r="E56" i="37"/>
  <c r="D56" i="37"/>
  <c r="C56" i="37"/>
  <c r="N55" i="37"/>
  <c r="M55" i="37"/>
  <c r="L55" i="37"/>
  <c r="K55" i="37"/>
  <c r="J55" i="37"/>
  <c r="I55" i="37"/>
  <c r="H55" i="37"/>
  <c r="G55" i="37"/>
  <c r="F55" i="37"/>
  <c r="E55" i="37"/>
  <c r="D55" i="37"/>
  <c r="C55" i="37"/>
  <c r="N54" i="37"/>
  <c r="M54" i="37"/>
  <c r="L54" i="37"/>
  <c r="K54" i="37"/>
  <c r="J54" i="37"/>
  <c r="I54" i="37"/>
  <c r="H54" i="37"/>
  <c r="G54" i="37"/>
  <c r="F54" i="37"/>
  <c r="E54" i="37"/>
  <c r="D54" i="37"/>
  <c r="C54" i="37"/>
  <c r="N53" i="37"/>
  <c r="M53" i="37"/>
  <c r="L53" i="37"/>
  <c r="K53" i="37"/>
  <c r="J53" i="37"/>
  <c r="I53" i="37"/>
  <c r="H53" i="37"/>
  <c r="G53" i="37"/>
  <c r="F53" i="37"/>
  <c r="E53" i="37"/>
  <c r="D53" i="37"/>
  <c r="C53" i="37"/>
  <c r="N52" i="37"/>
  <c r="M52" i="37"/>
  <c r="L52" i="37"/>
  <c r="K52" i="37"/>
  <c r="J52" i="37"/>
  <c r="I52" i="37"/>
  <c r="H52" i="37"/>
  <c r="G52" i="37"/>
  <c r="F52" i="37"/>
  <c r="E52" i="37"/>
  <c r="D52" i="37"/>
  <c r="C52" i="37"/>
  <c r="N51" i="37"/>
  <c r="M51" i="37"/>
  <c r="L51" i="37"/>
  <c r="K51" i="37"/>
  <c r="J51" i="37"/>
  <c r="I51" i="37"/>
  <c r="H51" i="37"/>
  <c r="G51" i="37"/>
  <c r="F51" i="37"/>
  <c r="E51" i="37"/>
  <c r="D51" i="37"/>
  <c r="C51" i="37"/>
  <c r="N50" i="37"/>
  <c r="M50" i="37"/>
  <c r="L50" i="37"/>
  <c r="K50" i="37"/>
  <c r="J50" i="37"/>
  <c r="I50" i="37"/>
  <c r="H50" i="37"/>
  <c r="G50" i="37"/>
  <c r="F50" i="37"/>
  <c r="E50" i="37"/>
  <c r="D50" i="37"/>
  <c r="N23" i="9" l="1"/>
  <c r="O23" i="9" s="1"/>
  <c r="D27" i="1"/>
  <c r="O42" i="1"/>
  <c r="D26" i="1"/>
  <c r="E13" i="36"/>
  <c r="E29" i="1" s="1"/>
  <c r="F10" i="36"/>
  <c r="G10" i="36" s="1"/>
  <c r="E26" i="1"/>
  <c r="F27" i="1"/>
  <c r="E27" i="1"/>
  <c r="N20" i="16"/>
  <c r="N22" i="16"/>
  <c r="F29" i="16"/>
  <c r="N31" i="16"/>
  <c r="H38" i="16"/>
  <c r="K38" i="16"/>
  <c r="F20" i="16"/>
  <c r="J39" i="16"/>
  <c r="L39" i="16"/>
  <c r="N40" i="16"/>
  <c r="J40" i="16"/>
  <c r="F31" i="16"/>
  <c r="K41" i="16"/>
  <c r="N41" i="16"/>
  <c r="F21" i="16"/>
  <c r="J29" i="16"/>
  <c r="F32" i="16"/>
  <c r="N38" i="16"/>
  <c r="N39" i="16"/>
  <c r="O40" i="16"/>
  <c r="O41" i="16"/>
  <c r="J21" i="16"/>
  <c r="N29" i="16"/>
  <c r="J32" i="16"/>
  <c r="O38" i="16"/>
  <c r="O39" i="16"/>
  <c r="D41" i="16"/>
  <c r="N21" i="16"/>
  <c r="F30" i="16"/>
  <c r="N32" i="16"/>
  <c r="D39" i="16"/>
  <c r="F40" i="16"/>
  <c r="F41" i="16"/>
  <c r="F22" i="16"/>
  <c r="J30" i="16"/>
  <c r="F38" i="16"/>
  <c r="F39" i="16"/>
  <c r="G40" i="16"/>
  <c r="G41" i="16"/>
  <c r="J22" i="16"/>
  <c r="N30" i="16"/>
  <c r="G38" i="16"/>
  <c r="G39" i="16"/>
  <c r="H40" i="16"/>
  <c r="J41" i="16"/>
  <c r="J20" i="16"/>
  <c r="J23" i="16"/>
  <c r="J31" i="16"/>
  <c r="J38" i="16"/>
  <c r="K39" i="16"/>
  <c r="K40" i="16"/>
  <c r="L41" i="16"/>
  <c r="K11" i="16"/>
  <c r="E11" i="16"/>
  <c r="M11" i="16"/>
  <c r="J12" i="16"/>
  <c r="G13" i="16"/>
  <c r="O13" i="16"/>
  <c r="L14" i="16"/>
  <c r="H20" i="16"/>
  <c r="D21" i="16"/>
  <c r="L21" i="16"/>
  <c r="H22" i="16"/>
  <c r="D23" i="16"/>
  <c r="L23" i="16"/>
  <c r="H29" i="16"/>
  <c r="D30" i="16"/>
  <c r="L30" i="16"/>
  <c r="H31" i="16"/>
  <c r="D32" i="16"/>
  <c r="L32" i="16"/>
  <c r="H47" i="16"/>
  <c r="D48" i="16"/>
  <c r="L48" i="16"/>
  <c r="H49" i="16"/>
  <c r="D50" i="16"/>
  <c r="L50" i="16"/>
  <c r="H56" i="16"/>
  <c r="D57" i="16"/>
  <c r="L57" i="16"/>
  <c r="H58" i="16"/>
  <c r="D59" i="16"/>
  <c r="L59" i="16"/>
  <c r="F11" i="16"/>
  <c r="N11" i="16"/>
  <c r="K12" i="16"/>
  <c r="H13" i="16"/>
  <c r="E14" i="16"/>
  <c r="M14" i="16"/>
  <c r="I20" i="16"/>
  <c r="E21" i="16"/>
  <c r="M21" i="16"/>
  <c r="I22" i="16"/>
  <c r="E23" i="16"/>
  <c r="M23" i="16"/>
  <c r="I29" i="16"/>
  <c r="E30" i="16"/>
  <c r="M30" i="16"/>
  <c r="I31" i="16"/>
  <c r="E32" i="16"/>
  <c r="M32" i="16"/>
  <c r="I38" i="16"/>
  <c r="E39" i="16"/>
  <c r="M39" i="16"/>
  <c r="I40" i="16"/>
  <c r="E41" i="16"/>
  <c r="M41" i="16"/>
  <c r="I47" i="16"/>
  <c r="E48" i="16"/>
  <c r="M48" i="16"/>
  <c r="I49" i="16"/>
  <c r="E50" i="16"/>
  <c r="M50" i="16"/>
  <c r="I56" i="16"/>
  <c r="E57" i="16"/>
  <c r="M57" i="16"/>
  <c r="I58" i="16"/>
  <c r="E59" i="16"/>
  <c r="M59" i="16"/>
  <c r="G11" i="16"/>
  <c r="F48" i="16"/>
  <c r="N48" i="16"/>
  <c r="J49" i="16"/>
  <c r="F50" i="16"/>
  <c r="N50" i="16"/>
  <c r="J56" i="16"/>
  <c r="F57" i="16"/>
  <c r="N57" i="16"/>
  <c r="J58" i="16"/>
  <c r="F59" i="16"/>
  <c r="N59" i="16"/>
  <c r="D13" i="16"/>
  <c r="O11" i="16"/>
  <c r="N14" i="16"/>
  <c r="N23" i="16"/>
  <c r="G14" i="16"/>
  <c r="G21" i="16"/>
  <c r="K29" i="16"/>
  <c r="G32" i="16"/>
  <c r="K49" i="16"/>
  <c r="O59" i="16"/>
  <c r="L12" i="16"/>
  <c r="F14" i="16"/>
  <c r="F23" i="16"/>
  <c r="H11" i="16"/>
  <c r="J13" i="16"/>
  <c r="K20" i="16"/>
  <c r="K22" i="16"/>
  <c r="O23" i="16"/>
  <c r="O30" i="16"/>
  <c r="G48" i="16"/>
  <c r="O50" i="16"/>
  <c r="G57" i="16"/>
  <c r="K58" i="16"/>
  <c r="D11" i="16"/>
  <c r="I11" i="16"/>
  <c r="F12" i="16"/>
  <c r="N12" i="16"/>
  <c r="K13" i="16"/>
  <c r="H14" i="16"/>
  <c r="D20" i="16"/>
  <c r="L20" i="16"/>
  <c r="H21" i="16"/>
  <c r="D22" i="16"/>
  <c r="L22" i="16"/>
  <c r="H23" i="16"/>
  <c r="D29" i="16"/>
  <c r="L29" i="16"/>
  <c r="H30" i="16"/>
  <c r="D31" i="16"/>
  <c r="L31" i="16"/>
  <c r="H32" i="16"/>
  <c r="D38" i="16"/>
  <c r="L38" i="16"/>
  <c r="H39" i="16"/>
  <c r="D40" i="16"/>
  <c r="L40" i="16"/>
  <c r="H41" i="16"/>
  <c r="D47" i="16"/>
  <c r="L47" i="16"/>
  <c r="H48" i="16"/>
  <c r="D49" i="16"/>
  <c r="L49" i="16"/>
  <c r="H50" i="16"/>
  <c r="D56" i="16"/>
  <c r="L56" i="16"/>
  <c r="H57" i="16"/>
  <c r="D58" i="16"/>
  <c r="L58" i="16"/>
  <c r="H59" i="16"/>
  <c r="H12" i="16"/>
  <c r="I13" i="16"/>
  <c r="J47" i="16"/>
  <c r="E12" i="16"/>
  <c r="M12" i="16"/>
  <c r="O14" i="16"/>
  <c r="O21" i="16"/>
  <c r="G23" i="16"/>
  <c r="G30" i="16"/>
  <c r="K31" i="16"/>
  <c r="O32" i="16"/>
  <c r="K47" i="16"/>
  <c r="O48" i="16"/>
  <c r="G50" i="16"/>
  <c r="K56" i="16"/>
  <c r="O57" i="16"/>
  <c r="G59" i="16"/>
  <c r="D12" i="16"/>
  <c r="J11" i="16"/>
  <c r="G12" i="16"/>
  <c r="O12" i="16"/>
  <c r="L13" i="16"/>
  <c r="I14" i="16"/>
  <c r="E20" i="16"/>
  <c r="M20" i="16"/>
  <c r="I21" i="16"/>
  <c r="E22" i="16"/>
  <c r="M22" i="16"/>
  <c r="I23" i="16"/>
  <c r="E29" i="16"/>
  <c r="M29" i="16"/>
  <c r="I30" i="16"/>
  <c r="E31" i="16"/>
  <c r="M31" i="16"/>
  <c r="I32" i="16"/>
  <c r="E38" i="16"/>
  <c r="M38" i="16"/>
  <c r="I39" i="16"/>
  <c r="E40" i="16"/>
  <c r="M40" i="16"/>
  <c r="E47" i="16"/>
  <c r="M47" i="16"/>
  <c r="I48" i="16"/>
  <c r="E49" i="16"/>
  <c r="M49" i="16"/>
  <c r="I50" i="16"/>
  <c r="E56" i="16"/>
  <c r="M56" i="16"/>
  <c r="I57" i="16"/>
  <c r="E58" i="16"/>
  <c r="M58" i="16"/>
  <c r="I59" i="16"/>
  <c r="M13" i="16"/>
  <c r="F47" i="16"/>
  <c r="N47" i="16"/>
  <c r="J48" i="16"/>
  <c r="F49" i="16"/>
  <c r="N49" i="16"/>
  <c r="J50" i="16"/>
  <c r="F56" i="16"/>
  <c r="N56" i="16"/>
  <c r="J57" i="16"/>
  <c r="F58" i="16"/>
  <c r="N58" i="16"/>
  <c r="J59" i="16"/>
  <c r="E13" i="16"/>
  <c r="J14" i="16"/>
  <c r="D14" i="16"/>
  <c r="L11" i="16"/>
  <c r="I12" i="16"/>
  <c r="F13" i="16"/>
  <c r="N13" i="16"/>
  <c r="G20" i="16"/>
  <c r="O20" i="16"/>
  <c r="K21" i="16"/>
  <c r="G22" i="16"/>
  <c r="O22" i="16"/>
  <c r="G29" i="16"/>
  <c r="O29" i="16"/>
  <c r="K30" i="16"/>
  <c r="G31" i="16"/>
  <c r="O31" i="16"/>
  <c r="G47" i="16"/>
  <c r="O47" i="16"/>
  <c r="K48" i="16"/>
  <c r="G49" i="16"/>
  <c r="O49" i="16"/>
  <c r="G56" i="16"/>
  <c r="O56" i="16"/>
  <c r="K57" i="16"/>
  <c r="G58" i="16"/>
  <c r="O58" i="16"/>
  <c r="B15" i="1"/>
  <c r="O18" i="34"/>
  <c r="N18" i="1"/>
  <c r="M18" i="1"/>
  <c r="L18" i="1"/>
  <c r="K18" i="1"/>
  <c r="J18" i="1"/>
  <c r="I18" i="1"/>
  <c r="H18" i="1"/>
  <c r="G18" i="1"/>
  <c r="F18" i="1"/>
  <c r="E18" i="1"/>
  <c r="D18" i="1"/>
  <c r="N17" i="1"/>
  <c r="M17" i="1"/>
  <c r="L17" i="1"/>
  <c r="K17" i="1"/>
  <c r="J17" i="1"/>
  <c r="I17" i="1"/>
  <c r="H17" i="1"/>
  <c r="G17" i="1"/>
  <c r="F17" i="1"/>
  <c r="E17" i="1"/>
  <c r="D17" i="1"/>
  <c r="C18" i="1"/>
  <c r="C17" i="1"/>
  <c r="B18" i="1"/>
  <c r="B17" i="1"/>
  <c r="B16" i="1"/>
  <c r="B35" i="9"/>
  <c r="B34" i="9"/>
  <c r="B33" i="9"/>
  <c r="B32" i="9"/>
  <c r="B31" i="9"/>
  <c r="B30" i="9"/>
  <c r="B29" i="9"/>
  <c r="B28" i="9"/>
  <c r="B27" i="9"/>
  <c r="B26" i="9"/>
  <c r="B25" i="9"/>
  <c r="B24" i="9"/>
  <c r="F13" i="36" l="1"/>
  <c r="G13" i="36" s="1"/>
  <c r="F26" i="1"/>
  <c r="G27" i="1"/>
  <c r="G26" i="1"/>
  <c r="H10" i="36"/>
  <c r="O17" i="1"/>
  <c r="B2" i="4"/>
  <c r="L2" i="4"/>
  <c r="B2" i="16" l="1"/>
  <c r="B2" i="34"/>
  <c r="B2" i="1"/>
  <c r="B2" i="37"/>
  <c r="B2" i="11"/>
  <c r="B2" i="38"/>
  <c r="B2" i="9"/>
  <c r="B2" i="2"/>
  <c r="B2" i="10"/>
  <c r="B2" i="36"/>
  <c r="B2" i="3"/>
  <c r="B2" i="15"/>
  <c r="E6" i="9"/>
  <c r="J6" i="9"/>
  <c r="F29" i="1"/>
  <c r="H13" i="36"/>
  <c r="G29" i="1"/>
  <c r="H27" i="1"/>
  <c r="H26" i="1"/>
  <c r="I10" i="36"/>
  <c r="C26" i="2"/>
  <c r="D23" i="2"/>
  <c r="E23" i="2" s="1"/>
  <c r="J9" i="36" l="1"/>
  <c r="E9" i="36"/>
  <c r="E11" i="34"/>
  <c r="E13" i="1" s="1"/>
  <c r="E16" i="1"/>
  <c r="E15" i="1"/>
  <c r="J11" i="34"/>
  <c r="J13" i="1" s="1"/>
  <c r="J15" i="1"/>
  <c r="J16" i="1"/>
  <c r="C6" i="9"/>
  <c r="K55" i="16"/>
  <c r="K46" i="16"/>
  <c r="K37" i="16"/>
  <c r="K28" i="16"/>
  <c r="K19" i="16"/>
  <c r="K10" i="16"/>
  <c r="F55" i="16"/>
  <c r="F46" i="16"/>
  <c r="F37" i="16"/>
  <c r="F28" i="16"/>
  <c r="F19" i="16"/>
  <c r="F10" i="16"/>
  <c r="J7" i="1"/>
  <c r="E7" i="1"/>
  <c r="H6" i="9"/>
  <c r="O8" i="9"/>
  <c r="O12" i="9"/>
  <c r="O16" i="9"/>
  <c r="O9" i="9"/>
  <c r="O18" i="9"/>
  <c r="K6" i="9"/>
  <c r="O10" i="9"/>
  <c r="I6" i="9"/>
  <c r="N6" i="9"/>
  <c r="O14" i="9"/>
  <c r="O17" i="9"/>
  <c r="O15" i="9"/>
  <c r="G6" i="9"/>
  <c r="O11" i="9"/>
  <c r="O13" i="9"/>
  <c r="M6" i="9"/>
  <c r="D6" i="9"/>
  <c r="F6" i="9"/>
  <c r="L6" i="9"/>
  <c r="O7" i="9"/>
  <c r="I13" i="36"/>
  <c r="H29" i="1"/>
  <c r="I27" i="1"/>
  <c r="I26" i="1"/>
  <c r="J10" i="36"/>
  <c r="E15" i="11"/>
  <c r="F15" i="11"/>
  <c r="G15" i="11"/>
  <c r="H15" i="11"/>
  <c r="I15" i="11"/>
  <c r="J15" i="11"/>
  <c r="K15" i="11"/>
  <c r="L15" i="11"/>
  <c r="M15" i="11"/>
  <c r="N15" i="11"/>
  <c r="O15" i="11"/>
  <c r="D15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E16" i="11"/>
  <c r="F16" i="11"/>
  <c r="G16" i="11"/>
  <c r="H16" i="11"/>
  <c r="I16" i="11"/>
  <c r="J16" i="11"/>
  <c r="K16" i="11"/>
  <c r="L16" i="11"/>
  <c r="M16" i="11"/>
  <c r="N16" i="11"/>
  <c r="O16" i="11"/>
  <c r="D16" i="11"/>
  <c r="D38" i="11" s="1"/>
  <c r="D8" i="11"/>
  <c r="E8" i="11"/>
  <c r="F8" i="11"/>
  <c r="G8" i="11"/>
  <c r="H8" i="11"/>
  <c r="I8" i="11"/>
  <c r="J8" i="11"/>
  <c r="K8" i="11"/>
  <c r="L8" i="11"/>
  <c r="M8" i="11"/>
  <c r="N8" i="11"/>
  <c r="O8" i="11"/>
  <c r="D9" i="11"/>
  <c r="E9" i="11"/>
  <c r="F9" i="11"/>
  <c r="G9" i="11"/>
  <c r="H9" i="11"/>
  <c r="I9" i="11"/>
  <c r="J9" i="11"/>
  <c r="K9" i="11"/>
  <c r="L9" i="11"/>
  <c r="M9" i="11"/>
  <c r="N9" i="11"/>
  <c r="O9" i="11"/>
  <c r="E10" i="11"/>
  <c r="F10" i="11"/>
  <c r="G10" i="11"/>
  <c r="H10" i="11"/>
  <c r="I10" i="11"/>
  <c r="J10" i="11"/>
  <c r="K10" i="11"/>
  <c r="L10" i="11"/>
  <c r="M10" i="11"/>
  <c r="N10" i="11"/>
  <c r="O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E7" i="11"/>
  <c r="F7" i="11"/>
  <c r="G7" i="11"/>
  <c r="H7" i="11"/>
  <c r="I7" i="11"/>
  <c r="J7" i="11"/>
  <c r="K7" i="11"/>
  <c r="L7" i="11"/>
  <c r="M7" i="11"/>
  <c r="N7" i="11"/>
  <c r="O7" i="11"/>
  <c r="D7" i="11"/>
  <c r="P199" i="11"/>
  <c r="P198" i="11"/>
  <c r="O197" i="11"/>
  <c r="N197" i="11"/>
  <c r="M197" i="11"/>
  <c r="L197" i="11"/>
  <c r="K197" i="11"/>
  <c r="J197" i="11"/>
  <c r="I197" i="11"/>
  <c r="H197" i="11"/>
  <c r="G197" i="11"/>
  <c r="F197" i="11"/>
  <c r="E197" i="11"/>
  <c r="D197" i="11"/>
  <c r="P196" i="11"/>
  <c r="P195" i="11"/>
  <c r="P194" i="11"/>
  <c r="P193" i="11"/>
  <c r="P192" i="11"/>
  <c r="O191" i="11"/>
  <c r="N191" i="11"/>
  <c r="N190" i="11" s="1"/>
  <c r="M191" i="11"/>
  <c r="L191" i="11"/>
  <c r="L190" i="11" s="1"/>
  <c r="K191" i="11"/>
  <c r="J191" i="11"/>
  <c r="I191" i="11"/>
  <c r="I190" i="11" s="1"/>
  <c r="H191" i="11"/>
  <c r="G191" i="11"/>
  <c r="F191" i="11"/>
  <c r="F190" i="11" s="1"/>
  <c r="E191" i="11"/>
  <c r="D191" i="11"/>
  <c r="D190" i="11" s="1"/>
  <c r="O190" i="11"/>
  <c r="G190" i="11"/>
  <c r="P187" i="11"/>
  <c r="P186" i="11"/>
  <c r="O185" i="11"/>
  <c r="N185" i="11"/>
  <c r="M185" i="11"/>
  <c r="L185" i="11"/>
  <c r="K185" i="11"/>
  <c r="J185" i="11"/>
  <c r="I185" i="11"/>
  <c r="H185" i="11"/>
  <c r="G185" i="11"/>
  <c r="F185" i="11"/>
  <c r="E185" i="11"/>
  <c r="D185" i="11"/>
  <c r="P184" i="11"/>
  <c r="P183" i="11"/>
  <c r="P182" i="11"/>
  <c r="P181" i="11"/>
  <c r="P180" i="11"/>
  <c r="O179" i="11"/>
  <c r="O178" i="11" s="1"/>
  <c r="N179" i="11"/>
  <c r="M179" i="11"/>
  <c r="M178" i="11" s="1"/>
  <c r="L179" i="11"/>
  <c r="K179" i="11"/>
  <c r="J179" i="11"/>
  <c r="J178" i="11" s="1"/>
  <c r="I179" i="11"/>
  <c r="H179" i="11"/>
  <c r="G179" i="11"/>
  <c r="G178" i="11" s="1"/>
  <c r="F179" i="11"/>
  <c r="E179" i="11"/>
  <c r="E178" i="11" s="1"/>
  <c r="D179" i="11"/>
  <c r="H178" i="11"/>
  <c r="P175" i="11"/>
  <c r="P174" i="11"/>
  <c r="O173" i="11"/>
  <c r="N173" i="11"/>
  <c r="M173" i="11"/>
  <c r="L173" i="11"/>
  <c r="K173" i="11"/>
  <c r="J173" i="11"/>
  <c r="I173" i="11"/>
  <c r="H173" i="11"/>
  <c r="G173" i="11"/>
  <c r="F173" i="11"/>
  <c r="E173" i="11"/>
  <c r="D173" i="11"/>
  <c r="P172" i="11"/>
  <c r="P171" i="11"/>
  <c r="P170" i="11"/>
  <c r="P169" i="11"/>
  <c r="P168" i="11"/>
  <c r="O167" i="11"/>
  <c r="O166" i="11" s="1"/>
  <c r="N167" i="11"/>
  <c r="M167" i="11"/>
  <c r="M166" i="11" s="1"/>
  <c r="L167" i="11"/>
  <c r="K167" i="11"/>
  <c r="J167" i="11"/>
  <c r="J166" i="11" s="1"/>
  <c r="I167" i="11"/>
  <c r="H167" i="11"/>
  <c r="G167" i="11"/>
  <c r="F167" i="11"/>
  <c r="E167" i="11"/>
  <c r="E166" i="11" s="1"/>
  <c r="D167" i="11"/>
  <c r="N166" i="11"/>
  <c r="L166" i="11"/>
  <c r="G166" i="11"/>
  <c r="F166" i="11"/>
  <c r="L9" i="36" l="1"/>
  <c r="F9" i="36"/>
  <c r="D9" i="36"/>
  <c r="D15" i="1"/>
  <c r="C9" i="36"/>
  <c r="M9" i="36"/>
  <c r="M15" i="1"/>
  <c r="H9" i="36"/>
  <c r="H15" i="1"/>
  <c r="G9" i="36"/>
  <c r="G15" i="1"/>
  <c r="K9" i="36"/>
  <c r="K15" i="1"/>
  <c r="N9" i="36"/>
  <c r="I9" i="36"/>
  <c r="D11" i="34"/>
  <c r="D13" i="1" s="1"/>
  <c r="D16" i="1"/>
  <c r="C11" i="34"/>
  <c r="C13" i="1" s="1"/>
  <c r="C16" i="1"/>
  <c r="C15" i="1"/>
  <c r="I11" i="34"/>
  <c r="I13" i="1" s="1"/>
  <c r="I15" i="1"/>
  <c r="I16" i="1"/>
  <c r="L11" i="34"/>
  <c r="L13" i="1" s="1"/>
  <c r="L16" i="1"/>
  <c r="L15" i="1"/>
  <c r="K11" i="34"/>
  <c r="K13" i="1" s="1"/>
  <c r="K16" i="1"/>
  <c r="M11" i="34"/>
  <c r="M13" i="1" s="1"/>
  <c r="M16" i="1"/>
  <c r="H11" i="34"/>
  <c r="H13" i="1" s="1"/>
  <c r="H16" i="1"/>
  <c r="N11" i="34"/>
  <c r="N13" i="1" s="1"/>
  <c r="N15" i="1"/>
  <c r="N16" i="1"/>
  <c r="G11" i="34"/>
  <c r="G13" i="1" s="1"/>
  <c r="G16" i="1"/>
  <c r="F11" i="34"/>
  <c r="F13" i="1" s="1"/>
  <c r="F16" i="1"/>
  <c r="D28" i="16"/>
  <c r="S42" i="1"/>
  <c r="S29" i="1"/>
  <c r="S27" i="1"/>
  <c r="S26" i="1"/>
  <c r="S18" i="1"/>
  <c r="S15" i="1"/>
  <c r="S16" i="1"/>
  <c r="S17" i="1"/>
  <c r="X15" i="1"/>
  <c r="X16" i="1"/>
  <c r="X17" i="1"/>
  <c r="X42" i="1"/>
  <c r="X18" i="1"/>
  <c r="D10" i="16"/>
  <c r="C7" i="1"/>
  <c r="D37" i="16"/>
  <c r="D46" i="16"/>
  <c r="D19" i="16"/>
  <c r="D55" i="16"/>
  <c r="M55" i="16"/>
  <c r="M46" i="16"/>
  <c r="M37" i="16"/>
  <c r="M28" i="16"/>
  <c r="M19" i="16"/>
  <c r="M10" i="16"/>
  <c r="G55" i="16"/>
  <c r="G46" i="16"/>
  <c r="G37" i="16"/>
  <c r="G28" i="16"/>
  <c r="G19" i="16"/>
  <c r="G10" i="16"/>
  <c r="L55" i="16"/>
  <c r="L46" i="16"/>
  <c r="L37" i="16"/>
  <c r="L28" i="16"/>
  <c r="L19" i="16"/>
  <c r="L10" i="16"/>
  <c r="E55" i="16"/>
  <c r="E46" i="16"/>
  <c r="E37" i="16"/>
  <c r="E28" i="16"/>
  <c r="E19" i="16"/>
  <c r="E10" i="16"/>
  <c r="H55" i="16"/>
  <c r="H46" i="16"/>
  <c r="H37" i="16"/>
  <c r="H28" i="16"/>
  <c r="H19" i="16"/>
  <c r="H10" i="16"/>
  <c r="O55" i="16"/>
  <c r="O46" i="16"/>
  <c r="O37" i="16"/>
  <c r="O28" i="16"/>
  <c r="O19" i="16"/>
  <c r="O10" i="16"/>
  <c r="N55" i="16"/>
  <c r="N46" i="16"/>
  <c r="N37" i="16"/>
  <c r="N28" i="16"/>
  <c r="N19" i="16"/>
  <c r="N10" i="16"/>
  <c r="J55" i="16"/>
  <c r="J46" i="16"/>
  <c r="J37" i="16"/>
  <c r="J28" i="16"/>
  <c r="J19" i="16"/>
  <c r="J10" i="16"/>
  <c r="I55" i="16"/>
  <c r="I46" i="16"/>
  <c r="I37" i="16"/>
  <c r="I28" i="16"/>
  <c r="I19" i="16"/>
  <c r="I10" i="16"/>
  <c r="D7" i="1"/>
  <c r="M7" i="1"/>
  <c r="I7" i="1"/>
  <c r="H7" i="1"/>
  <c r="G7" i="1"/>
  <c r="L7" i="1"/>
  <c r="N7" i="1"/>
  <c r="F7" i="1"/>
  <c r="K7" i="1"/>
  <c r="O6" i="9"/>
  <c r="J13" i="36"/>
  <c r="I29" i="1"/>
  <c r="J27" i="1"/>
  <c r="X27" i="1" s="1"/>
  <c r="J26" i="1"/>
  <c r="X26" i="1" s="1"/>
  <c r="K10" i="36"/>
  <c r="D166" i="11"/>
  <c r="F178" i="11"/>
  <c r="N178" i="11"/>
  <c r="P185" i="11"/>
  <c r="H190" i="11"/>
  <c r="I166" i="11"/>
  <c r="I178" i="11"/>
  <c r="J190" i="11"/>
  <c r="E190" i="11"/>
  <c r="P190" i="11" s="1"/>
  <c r="M190" i="11"/>
  <c r="P197" i="11"/>
  <c r="P173" i="11"/>
  <c r="P191" i="11"/>
  <c r="K190" i="11"/>
  <c r="L178" i="11"/>
  <c r="G39" i="11"/>
  <c r="D6" i="11"/>
  <c r="P167" i="11"/>
  <c r="K166" i="11"/>
  <c r="D178" i="11"/>
  <c r="P179" i="11"/>
  <c r="K178" i="11"/>
  <c r="P178" i="11"/>
  <c r="H166" i="11"/>
  <c r="C8" i="34" l="1"/>
  <c r="O11" i="34"/>
  <c r="O16" i="1"/>
  <c r="O12" i="34"/>
  <c r="F15" i="1"/>
  <c r="O15" i="1" s="1"/>
  <c r="O13" i="1"/>
  <c r="R17" i="1"/>
  <c r="R42" i="1"/>
  <c r="R29" i="1"/>
  <c r="R27" i="1"/>
  <c r="R26" i="1"/>
  <c r="R18" i="1"/>
  <c r="R15" i="1"/>
  <c r="R16" i="1"/>
  <c r="Q42" i="1"/>
  <c r="Q29" i="1"/>
  <c r="Q27" i="1"/>
  <c r="Q26" i="1"/>
  <c r="Q16" i="1"/>
  <c r="Q15" i="1"/>
  <c r="Q18" i="1"/>
  <c r="Q17" i="1"/>
  <c r="T15" i="1"/>
  <c r="T16" i="1"/>
  <c r="T17" i="1"/>
  <c r="T26" i="1"/>
  <c r="T18" i="1"/>
  <c r="T29" i="1"/>
  <c r="T27" i="1"/>
  <c r="T42" i="1"/>
  <c r="Z17" i="1"/>
  <c r="Z42" i="1"/>
  <c r="Z18" i="1"/>
  <c r="Z15" i="1"/>
  <c r="Z16" i="1"/>
  <c r="V17" i="1"/>
  <c r="V42" i="1"/>
  <c r="V29" i="1"/>
  <c r="V27" i="1"/>
  <c r="V26" i="1"/>
  <c r="V18" i="1"/>
  <c r="V15" i="1"/>
  <c r="V16" i="1"/>
  <c r="AA42" i="1"/>
  <c r="AA18" i="1"/>
  <c r="AA15" i="1"/>
  <c r="AA16" i="1"/>
  <c r="AA17" i="1"/>
  <c r="W42" i="1"/>
  <c r="W29" i="1"/>
  <c r="W27" i="1"/>
  <c r="W26" i="1"/>
  <c r="W18" i="1"/>
  <c r="W15" i="1"/>
  <c r="W16" i="1"/>
  <c r="W17" i="1"/>
  <c r="Y16" i="1"/>
  <c r="Y17" i="1"/>
  <c r="Y42" i="1"/>
  <c r="Y18" i="1"/>
  <c r="Y15" i="1"/>
  <c r="AB15" i="1"/>
  <c r="AB16" i="1"/>
  <c r="AB17" i="1"/>
  <c r="AB42" i="1"/>
  <c r="AB18" i="1"/>
  <c r="U16" i="1"/>
  <c r="U17" i="1"/>
  <c r="U42" i="1"/>
  <c r="U29" i="1"/>
  <c r="U27" i="1"/>
  <c r="U26" i="1"/>
  <c r="U18" i="1"/>
  <c r="U15" i="1"/>
  <c r="D16" i="16"/>
  <c r="K13" i="36"/>
  <c r="J29" i="1"/>
  <c r="X29" i="1" s="1"/>
  <c r="K27" i="1"/>
  <c r="Y27" i="1" s="1"/>
  <c r="K26" i="1"/>
  <c r="Y26" i="1" s="1"/>
  <c r="L10" i="36"/>
  <c r="P166" i="11"/>
  <c r="B39" i="11"/>
  <c r="B40" i="11"/>
  <c r="B38" i="11"/>
  <c r="C12" i="36"/>
  <c r="C28" i="1" s="1"/>
  <c r="Q28" i="1" s="1"/>
  <c r="D37" i="11"/>
  <c r="D12" i="36"/>
  <c r="D28" i="1" s="1"/>
  <c r="R28" i="1" s="1"/>
  <c r="E12" i="36"/>
  <c r="E28" i="1" s="1"/>
  <c r="S28" i="1" s="1"/>
  <c r="F12" i="36"/>
  <c r="F28" i="1" s="1"/>
  <c r="T28" i="1" s="1"/>
  <c r="G12" i="36"/>
  <c r="G28" i="1" s="1"/>
  <c r="U28" i="1" s="1"/>
  <c r="H12" i="36"/>
  <c r="H28" i="1" s="1"/>
  <c r="V28" i="1" s="1"/>
  <c r="I12" i="36"/>
  <c r="I28" i="1" s="1"/>
  <c r="W28" i="1" s="1"/>
  <c r="J12" i="36"/>
  <c r="J28" i="1" s="1"/>
  <c r="X28" i="1" s="1"/>
  <c r="K12" i="36"/>
  <c r="K28" i="1" s="1"/>
  <c r="Y28" i="1" s="1"/>
  <c r="L12" i="36"/>
  <c r="L28" i="1" s="1"/>
  <c r="Z28" i="1" s="1"/>
  <c r="M12" i="36"/>
  <c r="M28" i="1" s="1"/>
  <c r="AA28" i="1" s="1"/>
  <c r="N12" i="36"/>
  <c r="N28" i="1" s="1"/>
  <c r="AB28" i="1" s="1"/>
  <c r="D31" i="11"/>
  <c r="D30" i="11"/>
  <c r="D155" i="11"/>
  <c r="D161" i="11"/>
  <c r="O19" i="34"/>
  <c r="L13" i="36" l="1"/>
  <c r="K29" i="1"/>
  <c r="Y29" i="1" s="1"/>
  <c r="L27" i="1"/>
  <c r="Z27" i="1" s="1"/>
  <c r="L26" i="1"/>
  <c r="Z26" i="1" s="1"/>
  <c r="M10" i="36"/>
  <c r="I18" i="3"/>
  <c r="P18" i="11"/>
  <c r="J40" i="11"/>
  <c r="K40" i="11"/>
  <c r="H40" i="11"/>
  <c r="L40" i="11"/>
  <c r="D40" i="11"/>
  <c r="E40" i="11"/>
  <c r="M40" i="11"/>
  <c r="O40" i="11"/>
  <c r="F40" i="11"/>
  <c r="N40" i="11"/>
  <c r="G40" i="11"/>
  <c r="I40" i="11"/>
  <c r="G18" i="3"/>
  <c r="D18" i="3"/>
  <c r="G38" i="11"/>
  <c r="P17" i="11"/>
  <c r="O39" i="11"/>
  <c r="H39" i="11"/>
  <c r="D39" i="11"/>
  <c r="I39" i="11"/>
  <c r="J39" i="11"/>
  <c r="M39" i="11"/>
  <c r="F39" i="11"/>
  <c r="K39" i="11"/>
  <c r="L39" i="11"/>
  <c r="E39" i="11"/>
  <c r="N39" i="11"/>
  <c r="J18" i="3"/>
  <c r="H18" i="3"/>
  <c r="L18" i="3"/>
  <c r="K18" i="3"/>
  <c r="N18" i="3"/>
  <c r="F18" i="3"/>
  <c r="M18" i="3"/>
  <c r="E18" i="3"/>
  <c r="N38" i="11"/>
  <c r="F38" i="11"/>
  <c r="M38" i="11"/>
  <c r="E38" i="11"/>
  <c r="L38" i="11"/>
  <c r="P16" i="11"/>
  <c r="K38" i="11"/>
  <c r="J38" i="11"/>
  <c r="C18" i="3"/>
  <c r="I38" i="11"/>
  <c r="H38" i="11"/>
  <c r="O38" i="11"/>
  <c r="J6" i="11"/>
  <c r="I6" i="11"/>
  <c r="H6" i="11"/>
  <c r="O6" i="11"/>
  <c r="G6" i="11"/>
  <c r="N6" i="11"/>
  <c r="F6" i="11"/>
  <c r="M6" i="11"/>
  <c r="E6" i="11"/>
  <c r="L6" i="11"/>
  <c r="K6" i="11"/>
  <c r="K35" i="11"/>
  <c r="F33" i="11"/>
  <c r="P9" i="11"/>
  <c r="D4" i="11"/>
  <c r="D33" i="11"/>
  <c r="D35" i="11"/>
  <c r="E30" i="11"/>
  <c r="B30" i="11"/>
  <c r="B31" i="11"/>
  <c r="B32" i="11"/>
  <c r="B33" i="11"/>
  <c r="B34" i="11"/>
  <c r="B35" i="11"/>
  <c r="B36" i="11"/>
  <c r="B37" i="11"/>
  <c r="P25" i="11"/>
  <c r="D46" i="11"/>
  <c r="D52" i="11"/>
  <c r="E46" i="11"/>
  <c r="E52" i="11"/>
  <c r="F46" i="11"/>
  <c r="F52" i="11"/>
  <c r="G46" i="11"/>
  <c r="G52" i="11"/>
  <c r="H46" i="11"/>
  <c r="H52" i="11"/>
  <c r="I46" i="11"/>
  <c r="I52" i="11"/>
  <c r="J46" i="11"/>
  <c r="J52" i="11"/>
  <c r="K46" i="11"/>
  <c r="K52" i="11"/>
  <c r="L46" i="11"/>
  <c r="L52" i="11"/>
  <c r="M46" i="11"/>
  <c r="M52" i="11"/>
  <c r="N46" i="11"/>
  <c r="N52" i="11"/>
  <c r="O46" i="11"/>
  <c r="O52" i="11"/>
  <c r="P47" i="11"/>
  <c r="P48" i="11"/>
  <c r="P49" i="11"/>
  <c r="P50" i="11"/>
  <c r="P51" i="11"/>
  <c r="P53" i="11"/>
  <c r="P54" i="11"/>
  <c r="D58" i="11"/>
  <c r="D64" i="11"/>
  <c r="E58" i="11"/>
  <c r="E64" i="11"/>
  <c r="F58" i="11"/>
  <c r="F64" i="11"/>
  <c r="G58" i="11"/>
  <c r="G64" i="11"/>
  <c r="H58" i="11"/>
  <c r="H64" i="11"/>
  <c r="I58" i="11"/>
  <c r="I64" i="11"/>
  <c r="J58" i="11"/>
  <c r="J64" i="11"/>
  <c r="K58" i="11"/>
  <c r="K64" i="11"/>
  <c r="L58" i="11"/>
  <c r="L64" i="11"/>
  <c r="M58" i="11"/>
  <c r="M64" i="11"/>
  <c r="N58" i="11"/>
  <c r="N64" i="11"/>
  <c r="O58" i="11"/>
  <c r="O64" i="11"/>
  <c r="P59" i="11"/>
  <c r="P60" i="11"/>
  <c r="P61" i="11"/>
  <c r="P62" i="11"/>
  <c r="P63" i="11"/>
  <c r="P65" i="11"/>
  <c r="P66" i="11"/>
  <c r="D70" i="11"/>
  <c r="D76" i="11"/>
  <c r="E70" i="11"/>
  <c r="E76" i="11"/>
  <c r="F70" i="11"/>
  <c r="F76" i="11"/>
  <c r="G70" i="11"/>
  <c r="G76" i="11"/>
  <c r="H70" i="11"/>
  <c r="H76" i="11"/>
  <c r="I70" i="11"/>
  <c r="I76" i="11"/>
  <c r="J70" i="11"/>
  <c r="J76" i="11"/>
  <c r="K70" i="11"/>
  <c r="K76" i="11"/>
  <c r="L70" i="11"/>
  <c r="L76" i="11"/>
  <c r="M70" i="11"/>
  <c r="M76" i="11"/>
  <c r="N70" i="11"/>
  <c r="N76" i="11"/>
  <c r="O70" i="11"/>
  <c r="O76" i="11"/>
  <c r="P71" i="11"/>
  <c r="P72" i="11"/>
  <c r="P73" i="11"/>
  <c r="P74" i="11"/>
  <c r="P75" i="11"/>
  <c r="P77" i="11"/>
  <c r="P78" i="11"/>
  <c r="D83" i="11"/>
  <c r="D89" i="11"/>
  <c r="E83" i="11"/>
  <c r="E89" i="11"/>
  <c r="F83" i="11"/>
  <c r="F89" i="11"/>
  <c r="G83" i="11"/>
  <c r="G89" i="11"/>
  <c r="H83" i="11"/>
  <c r="H89" i="11"/>
  <c r="I83" i="11"/>
  <c r="I89" i="11"/>
  <c r="J83" i="11"/>
  <c r="J89" i="11"/>
  <c r="K83" i="11"/>
  <c r="K89" i="11"/>
  <c r="L83" i="11"/>
  <c r="L89" i="11"/>
  <c r="M83" i="11"/>
  <c r="M89" i="11"/>
  <c r="N83" i="11"/>
  <c r="N89" i="11"/>
  <c r="O83" i="11"/>
  <c r="O89" i="11"/>
  <c r="P84" i="11"/>
  <c r="P85" i="11"/>
  <c r="P86" i="11"/>
  <c r="P87" i="11"/>
  <c r="P88" i="11"/>
  <c r="P90" i="11"/>
  <c r="P91" i="11"/>
  <c r="D95" i="11"/>
  <c r="D101" i="11"/>
  <c r="E95" i="11"/>
  <c r="E101" i="11"/>
  <c r="F95" i="11"/>
  <c r="F101" i="11"/>
  <c r="G95" i="11"/>
  <c r="G101" i="11"/>
  <c r="H95" i="11"/>
  <c r="H101" i="11"/>
  <c r="I95" i="11"/>
  <c r="I101" i="11"/>
  <c r="J95" i="11"/>
  <c r="J101" i="11"/>
  <c r="K95" i="11"/>
  <c r="K101" i="11"/>
  <c r="L95" i="11"/>
  <c r="L101" i="11"/>
  <c r="M95" i="11"/>
  <c r="M101" i="11"/>
  <c r="N95" i="11"/>
  <c r="N101" i="11"/>
  <c r="O95" i="11"/>
  <c r="O101" i="11"/>
  <c r="P96" i="11"/>
  <c r="P97" i="11"/>
  <c r="P98" i="11"/>
  <c r="P99" i="11"/>
  <c r="P100" i="11"/>
  <c r="P102" i="11"/>
  <c r="P103" i="11"/>
  <c r="D107" i="11"/>
  <c r="D113" i="11"/>
  <c r="E107" i="11"/>
  <c r="E113" i="11"/>
  <c r="F107" i="11"/>
  <c r="F113" i="11"/>
  <c r="G107" i="11"/>
  <c r="G113" i="11"/>
  <c r="H107" i="11"/>
  <c r="H113" i="11"/>
  <c r="I107" i="11"/>
  <c r="I113" i="11"/>
  <c r="J107" i="11"/>
  <c r="J113" i="11"/>
  <c r="K107" i="11"/>
  <c r="K113" i="11"/>
  <c r="L107" i="11"/>
  <c r="L113" i="11"/>
  <c r="M107" i="11"/>
  <c r="M113" i="11"/>
  <c r="N107" i="11"/>
  <c r="N113" i="11"/>
  <c r="O107" i="11"/>
  <c r="O113" i="11"/>
  <c r="P108" i="11"/>
  <c r="P109" i="11"/>
  <c r="P110" i="11"/>
  <c r="P111" i="11"/>
  <c r="P112" i="11"/>
  <c r="P114" i="11"/>
  <c r="P115" i="11"/>
  <c r="D119" i="11"/>
  <c r="D125" i="11"/>
  <c r="E119" i="11"/>
  <c r="E125" i="11"/>
  <c r="F119" i="11"/>
  <c r="F125" i="11"/>
  <c r="G119" i="11"/>
  <c r="G125" i="11"/>
  <c r="H119" i="11"/>
  <c r="H125" i="11"/>
  <c r="I119" i="11"/>
  <c r="I125" i="11"/>
  <c r="J119" i="11"/>
  <c r="J125" i="11"/>
  <c r="K119" i="11"/>
  <c r="K125" i="11"/>
  <c r="L119" i="11"/>
  <c r="L125" i="11"/>
  <c r="M119" i="11"/>
  <c r="M125" i="11"/>
  <c r="N119" i="11"/>
  <c r="N125" i="11"/>
  <c r="O119" i="11"/>
  <c r="O125" i="11"/>
  <c r="P120" i="11"/>
  <c r="P121" i="11"/>
  <c r="P122" i="11"/>
  <c r="P123" i="11"/>
  <c r="P124" i="11"/>
  <c r="P126" i="11"/>
  <c r="P127" i="11"/>
  <c r="D131" i="11"/>
  <c r="D137" i="11"/>
  <c r="E131" i="11"/>
  <c r="E137" i="11"/>
  <c r="F131" i="11"/>
  <c r="F137" i="11"/>
  <c r="G131" i="11"/>
  <c r="G137" i="11"/>
  <c r="H131" i="11"/>
  <c r="H137" i="11"/>
  <c r="I131" i="11"/>
  <c r="I137" i="11"/>
  <c r="J131" i="11"/>
  <c r="J137" i="11"/>
  <c r="K131" i="11"/>
  <c r="K137" i="11"/>
  <c r="L131" i="11"/>
  <c r="L137" i="11"/>
  <c r="M131" i="11"/>
  <c r="M137" i="11"/>
  <c r="N131" i="11"/>
  <c r="N137" i="11"/>
  <c r="O131" i="11"/>
  <c r="O137" i="11"/>
  <c r="P132" i="11"/>
  <c r="P133" i="11"/>
  <c r="P134" i="11"/>
  <c r="P135" i="11"/>
  <c r="P136" i="11"/>
  <c r="P138" i="11"/>
  <c r="P139" i="11"/>
  <c r="D143" i="11"/>
  <c r="D149" i="11"/>
  <c r="E143" i="11"/>
  <c r="E149" i="11"/>
  <c r="F143" i="11"/>
  <c r="F149" i="11"/>
  <c r="G143" i="11"/>
  <c r="G149" i="11"/>
  <c r="H143" i="11"/>
  <c r="H149" i="11"/>
  <c r="I143" i="11"/>
  <c r="I149" i="11"/>
  <c r="J143" i="11"/>
  <c r="J149" i="11"/>
  <c r="K143" i="11"/>
  <c r="K149" i="11"/>
  <c r="L143" i="11"/>
  <c r="L149" i="11"/>
  <c r="M143" i="11"/>
  <c r="M149" i="11"/>
  <c r="N143" i="11"/>
  <c r="N149" i="11"/>
  <c r="O143" i="11"/>
  <c r="O149" i="11"/>
  <c r="P144" i="11"/>
  <c r="P145" i="11"/>
  <c r="P146" i="11"/>
  <c r="P147" i="11"/>
  <c r="P148" i="11"/>
  <c r="P150" i="11"/>
  <c r="P151" i="11"/>
  <c r="E155" i="11"/>
  <c r="E161" i="11"/>
  <c r="F155" i="11"/>
  <c r="F161" i="11"/>
  <c r="G155" i="11"/>
  <c r="G161" i="11"/>
  <c r="H155" i="11"/>
  <c r="H161" i="11"/>
  <c r="I155" i="11"/>
  <c r="I161" i="11"/>
  <c r="J155" i="11"/>
  <c r="J161" i="11"/>
  <c r="K155" i="11"/>
  <c r="K161" i="11"/>
  <c r="L155" i="11"/>
  <c r="L161" i="11"/>
  <c r="M155" i="11"/>
  <c r="M161" i="11"/>
  <c r="N155" i="11"/>
  <c r="N161" i="11"/>
  <c r="O155" i="11"/>
  <c r="O161" i="11"/>
  <c r="P156" i="11"/>
  <c r="P157" i="11"/>
  <c r="P158" i="11"/>
  <c r="P159" i="11"/>
  <c r="P160" i="11"/>
  <c r="P162" i="11"/>
  <c r="P163" i="11"/>
  <c r="D4" i="10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C6" i="10"/>
  <c r="D6" i="10"/>
  <c r="C23" i="3" s="1"/>
  <c r="E6" i="10"/>
  <c r="F6" i="10"/>
  <c r="G6" i="10"/>
  <c r="H6" i="10"/>
  <c r="G23" i="3" s="1"/>
  <c r="I6" i="10"/>
  <c r="J6" i="10"/>
  <c r="I23" i="3" s="1"/>
  <c r="K6" i="10"/>
  <c r="L6" i="10"/>
  <c r="M6" i="10"/>
  <c r="L23" i="3" s="1"/>
  <c r="N6" i="10"/>
  <c r="O6" i="10"/>
  <c r="P7" i="10"/>
  <c r="P8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2" i="10"/>
  <c r="P13" i="10"/>
  <c r="P14" i="10"/>
  <c r="P15" i="10"/>
  <c r="P16" i="10"/>
  <c r="P17" i="10"/>
  <c r="P18" i="10"/>
  <c r="C21" i="10"/>
  <c r="C19" i="2" s="1"/>
  <c r="D21" i="10"/>
  <c r="E21" i="10"/>
  <c r="F21" i="10"/>
  <c r="G21" i="10"/>
  <c r="H21" i="10"/>
  <c r="I21" i="10"/>
  <c r="J21" i="10"/>
  <c r="K21" i="10"/>
  <c r="L21" i="10"/>
  <c r="K22" i="3" s="1"/>
  <c r="M21" i="10"/>
  <c r="N21" i="10"/>
  <c r="O21" i="10"/>
  <c r="P22" i="10"/>
  <c r="P23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D4" i="15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D4" i="16"/>
  <c r="E4" i="16" s="1"/>
  <c r="F4" i="16" s="1"/>
  <c r="G4" i="16" s="1"/>
  <c r="H4" i="16" s="1"/>
  <c r="I4" i="16" s="1"/>
  <c r="J4" i="16" s="1"/>
  <c r="K4" i="16" s="1"/>
  <c r="L4" i="16" s="1"/>
  <c r="M4" i="16" s="1"/>
  <c r="N4" i="16" s="1"/>
  <c r="O4" i="16" s="1"/>
  <c r="C4" i="16" s="1"/>
  <c r="C4" i="38"/>
  <c r="D4" i="38" s="1"/>
  <c r="E4" i="38" s="1"/>
  <c r="F4" i="38" s="1"/>
  <c r="G4" i="38" s="1"/>
  <c r="H4" i="38" s="1"/>
  <c r="I4" i="38" s="1"/>
  <c r="J4" i="38" s="1"/>
  <c r="K4" i="38" s="1"/>
  <c r="L4" i="38" s="1"/>
  <c r="M4" i="38" s="1"/>
  <c r="N4" i="38" s="1"/>
  <c r="C8" i="38"/>
  <c r="C4" i="36"/>
  <c r="D4" i="36" s="1"/>
  <c r="E4" i="36" s="1"/>
  <c r="F4" i="36" s="1"/>
  <c r="G4" i="36" s="1"/>
  <c r="H4" i="36" s="1"/>
  <c r="I4" i="36" s="1"/>
  <c r="J4" i="36" s="1"/>
  <c r="K4" i="36" s="1"/>
  <c r="L4" i="36" s="1"/>
  <c r="M4" i="36" s="1"/>
  <c r="N4" i="36" s="1"/>
  <c r="C4" i="37"/>
  <c r="B50" i="37"/>
  <c r="B51" i="37"/>
  <c r="B52" i="37"/>
  <c r="B53" i="37"/>
  <c r="B54" i="37"/>
  <c r="B55" i="37"/>
  <c r="B56" i="37"/>
  <c r="B57" i="37"/>
  <c r="B58" i="37"/>
  <c r="B59" i="37"/>
  <c r="B65" i="37"/>
  <c r="B66" i="37"/>
  <c r="B67" i="37"/>
  <c r="B68" i="37"/>
  <c r="B69" i="37"/>
  <c r="B70" i="37"/>
  <c r="B71" i="37"/>
  <c r="B72" i="37"/>
  <c r="B73" i="37"/>
  <c r="B74" i="37"/>
  <c r="B80" i="37"/>
  <c r="B81" i="37"/>
  <c r="B82" i="37"/>
  <c r="B83" i="37"/>
  <c r="B84" i="37"/>
  <c r="B85" i="37"/>
  <c r="B86" i="37"/>
  <c r="B87" i="37"/>
  <c r="B88" i="37"/>
  <c r="B89" i="37"/>
  <c r="B90" i="37"/>
  <c r="B91" i="37"/>
  <c r="B15" i="37"/>
  <c r="C17" i="37"/>
  <c r="D17" i="37"/>
  <c r="E17" i="37"/>
  <c r="F17" i="37"/>
  <c r="G17" i="37"/>
  <c r="H17" i="37"/>
  <c r="I17" i="37"/>
  <c r="J17" i="37"/>
  <c r="K17" i="37"/>
  <c r="L17" i="37"/>
  <c r="M17" i="37"/>
  <c r="N17" i="37"/>
  <c r="C4" i="34"/>
  <c r="D4" i="34" s="1"/>
  <c r="E4" i="34" s="1"/>
  <c r="F4" i="34" s="1"/>
  <c r="G4" i="34" s="1"/>
  <c r="H4" i="34" s="1"/>
  <c r="I4" i="34" s="1"/>
  <c r="J4" i="34" s="1"/>
  <c r="K4" i="34" s="1"/>
  <c r="L4" i="34" s="1"/>
  <c r="M4" i="34" s="1"/>
  <c r="N4" i="34" s="1"/>
  <c r="O17" i="34"/>
  <c r="C4" i="9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C38" i="9"/>
  <c r="C8" i="1" s="1"/>
  <c r="D38" i="9"/>
  <c r="D8" i="1" s="1"/>
  <c r="E38" i="9"/>
  <c r="E8" i="1" s="1"/>
  <c r="F38" i="9"/>
  <c r="F8" i="1" s="1"/>
  <c r="G38" i="9"/>
  <c r="G8" i="1" s="1"/>
  <c r="H38" i="9"/>
  <c r="H8" i="1" s="1"/>
  <c r="I38" i="9"/>
  <c r="I8" i="1" s="1"/>
  <c r="J38" i="9"/>
  <c r="J8" i="1" s="1"/>
  <c r="K38" i="9"/>
  <c r="K8" i="1" s="1"/>
  <c r="L38" i="9"/>
  <c r="L8" i="1" s="1"/>
  <c r="M38" i="9"/>
  <c r="M8" i="1" s="1"/>
  <c r="N38" i="9"/>
  <c r="N8" i="1" s="1"/>
  <c r="O39" i="9"/>
  <c r="O40" i="9"/>
  <c r="O41" i="9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D23" i="3"/>
  <c r="E23" i="3"/>
  <c r="F23" i="3"/>
  <c r="J23" i="3"/>
  <c r="K23" i="3"/>
  <c r="M23" i="3"/>
  <c r="N23" i="3"/>
  <c r="O24" i="3"/>
  <c r="O25" i="3"/>
  <c r="D4" i="2"/>
  <c r="E4" i="2" s="1"/>
  <c r="F4" i="2" s="1"/>
  <c r="F14" i="2" s="1"/>
  <c r="C27" i="2"/>
  <c r="C11" i="2"/>
  <c r="F23" i="2"/>
  <c r="G23" i="2" s="1"/>
  <c r="H23" i="2" s="1"/>
  <c r="I23" i="2" s="1"/>
  <c r="J23" i="2" s="1"/>
  <c r="K23" i="2" s="1"/>
  <c r="L23" i="2" s="1"/>
  <c r="M23" i="2" s="1"/>
  <c r="N23" i="2" s="1"/>
  <c r="O23" i="2" s="1"/>
  <c r="D24" i="2"/>
  <c r="E24" i="2" s="1"/>
  <c r="F24" i="2" s="1"/>
  <c r="G24" i="2" s="1"/>
  <c r="C4" i="1"/>
  <c r="D4" i="1" s="1"/>
  <c r="B8" i="1"/>
  <c r="B11" i="1"/>
  <c r="B8" i="15" s="1"/>
  <c r="B12" i="1"/>
  <c r="B12" i="15" s="1"/>
  <c r="O18" i="1"/>
  <c r="F54" i="39"/>
  <c r="F56" i="39"/>
  <c r="F57" i="39"/>
  <c r="F58" i="39"/>
  <c r="F60" i="39"/>
  <c r="G52" i="39"/>
  <c r="H52" i="39" s="1"/>
  <c r="I52" i="39" s="1"/>
  <c r="J52" i="39" s="1"/>
  <c r="K52" i="39" s="1"/>
  <c r="L52" i="39" s="1"/>
  <c r="M52" i="39" s="1"/>
  <c r="N52" i="39" s="1"/>
  <c r="O52" i="39" s="1"/>
  <c r="P52" i="39" s="1"/>
  <c r="Q52" i="39" s="1"/>
  <c r="R52" i="39" s="1"/>
  <c r="G53" i="39"/>
  <c r="H53" i="39"/>
  <c r="I53" i="39"/>
  <c r="J53" i="39"/>
  <c r="K53" i="39"/>
  <c r="L53" i="39"/>
  <c r="M53" i="39"/>
  <c r="N53" i="39"/>
  <c r="O53" i="39"/>
  <c r="P53" i="39"/>
  <c r="Q53" i="39"/>
  <c r="R53" i="39"/>
  <c r="F8" i="39"/>
  <c r="F10" i="39"/>
  <c r="G15" i="39"/>
  <c r="G16" i="39"/>
  <c r="G17" i="39"/>
  <c r="G18" i="39"/>
  <c r="F62" i="39"/>
  <c r="G20" i="2" l="1"/>
  <c r="F20" i="2"/>
  <c r="E20" i="2"/>
  <c r="C20" i="2"/>
  <c r="D20" i="2"/>
  <c r="L29" i="1"/>
  <c r="Z29" i="1" s="1"/>
  <c r="M13" i="36"/>
  <c r="M27" i="1"/>
  <c r="AA27" i="1" s="1"/>
  <c r="N10" i="36"/>
  <c r="M26" i="1"/>
  <c r="AA26" i="1" s="1"/>
  <c r="E4" i="11"/>
  <c r="E105" i="11" s="1"/>
  <c r="D189" i="11"/>
  <c r="D165" i="11"/>
  <c r="D177" i="11"/>
  <c r="D153" i="11"/>
  <c r="H20" i="2"/>
  <c r="H22" i="3"/>
  <c r="G22" i="3"/>
  <c r="I22" i="3"/>
  <c r="M20" i="2"/>
  <c r="C7" i="2"/>
  <c r="J22" i="3"/>
  <c r="D19" i="2"/>
  <c r="E19" i="2"/>
  <c r="E18" i="2"/>
  <c r="N22" i="3"/>
  <c r="L22" i="3"/>
  <c r="F18" i="2"/>
  <c r="N20" i="2"/>
  <c r="K26" i="11"/>
  <c r="K24" i="11" s="1"/>
  <c r="J34" i="1" s="1"/>
  <c r="M26" i="11"/>
  <c r="M24" i="11" s="1"/>
  <c r="L34" i="1" s="1"/>
  <c r="D26" i="11"/>
  <c r="D24" i="11" s="1"/>
  <c r="E26" i="11"/>
  <c r="E24" i="11" s="1"/>
  <c r="D34" i="1" s="1"/>
  <c r="J26" i="11"/>
  <c r="J24" i="11" s="1"/>
  <c r="I34" i="1" s="1"/>
  <c r="N26" i="11"/>
  <c r="N24" i="11" s="1"/>
  <c r="M34" i="1" s="1"/>
  <c r="O26" i="11"/>
  <c r="O24" i="11" s="1"/>
  <c r="N34" i="1" s="1"/>
  <c r="L26" i="11"/>
  <c r="L24" i="11" s="1"/>
  <c r="K34" i="1" s="1"/>
  <c r="H26" i="11"/>
  <c r="H24" i="11" s="1"/>
  <c r="G34" i="1" s="1"/>
  <c r="G26" i="11"/>
  <c r="G24" i="11" s="1"/>
  <c r="F34" i="1" s="1"/>
  <c r="I26" i="11"/>
  <c r="I24" i="11" s="1"/>
  <c r="H34" i="1" s="1"/>
  <c r="F26" i="11"/>
  <c r="F24" i="11" s="1"/>
  <c r="E34" i="1" s="1"/>
  <c r="P40" i="11"/>
  <c r="P39" i="11"/>
  <c r="P38" i="11"/>
  <c r="P6" i="11"/>
  <c r="E142" i="11"/>
  <c r="E118" i="11"/>
  <c r="I130" i="11"/>
  <c r="M69" i="11"/>
  <c r="D141" i="11"/>
  <c r="D129" i="11"/>
  <c r="D117" i="11"/>
  <c r="D105" i="11"/>
  <c r="D93" i="11"/>
  <c r="D81" i="11"/>
  <c r="D68" i="11"/>
  <c r="D56" i="11"/>
  <c r="D44" i="11"/>
  <c r="E130" i="11"/>
  <c r="E57" i="11"/>
  <c r="J142" i="11"/>
  <c r="G57" i="11"/>
  <c r="F69" i="11"/>
  <c r="J57" i="11"/>
  <c r="D142" i="11"/>
  <c r="D57" i="11"/>
  <c r="L45" i="11"/>
  <c r="O106" i="11"/>
  <c r="K57" i="11"/>
  <c r="H33" i="11"/>
  <c r="H19" i="2"/>
  <c r="D22" i="3"/>
  <c r="I19" i="2"/>
  <c r="C22" i="3"/>
  <c r="J19" i="2"/>
  <c r="M22" i="3"/>
  <c r="M18" i="2"/>
  <c r="O20" i="2"/>
  <c r="L31" i="11"/>
  <c r="G106" i="11"/>
  <c r="L57" i="11"/>
  <c r="N118" i="11"/>
  <c r="N106" i="11"/>
  <c r="J106" i="11"/>
  <c r="F106" i="11"/>
  <c r="N94" i="11"/>
  <c r="F82" i="11"/>
  <c r="N69" i="11"/>
  <c r="O57" i="11"/>
  <c r="D45" i="11"/>
  <c r="K130" i="11"/>
  <c r="K106" i="11"/>
  <c r="I45" i="11"/>
  <c r="E94" i="11"/>
  <c r="K154" i="11"/>
  <c r="H142" i="11"/>
  <c r="L130" i="11"/>
  <c r="H130" i="11"/>
  <c r="D130" i="11"/>
  <c r="D118" i="11"/>
  <c r="L106" i="11"/>
  <c r="D94" i="11"/>
  <c r="L82" i="11"/>
  <c r="H82" i="11"/>
  <c r="E69" i="11"/>
  <c r="J45" i="11"/>
  <c r="L20" i="2"/>
  <c r="G28" i="10"/>
  <c r="F38" i="1" s="1"/>
  <c r="T38" i="1" s="1"/>
  <c r="K20" i="2"/>
  <c r="O19" i="2"/>
  <c r="G19" i="2"/>
  <c r="K18" i="2"/>
  <c r="F22" i="3"/>
  <c r="D18" i="2"/>
  <c r="J20" i="2"/>
  <c r="N19" i="2"/>
  <c r="F19" i="2"/>
  <c r="J18" i="2"/>
  <c r="C18" i="2"/>
  <c r="C21" i="2" s="1"/>
  <c r="H23" i="3"/>
  <c r="O23" i="3" s="1"/>
  <c r="P11" i="10"/>
  <c r="I20" i="2"/>
  <c r="M19" i="2"/>
  <c r="I18" i="2"/>
  <c r="D28" i="10"/>
  <c r="C38" i="1" s="1"/>
  <c r="Q38" i="1" s="1"/>
  <c r="L19" i="2"/>
  <c r="H18" i="2"/>
  <c r="E22" i="3"/>
  <c r="P21" i="10"/>
  <c r="L18" i="2"/>
  <c r="K19" i="2"/>
  <c r="O18" i="2"/>
  <c r="G18" i="2"/>
  <c r="M28" i="10"/>
  <c r="L38" i="1" s="1"/>
  <c r="Z38" i="1" s="1"/>
  <c r="N18" i="2"/>
  <c r="E34" i="11"/>
  <c r="M32" i="11"/>
  <c r="D34" i="11"/>
  <c r="C19" i="3"/>
  <c r="G57" i="39" s="1"/>
  <c r="H31" i="11"/>
  <c r="G30" i="11"/>
  <c r="I30" i="11"/>
  <c r="F34" i="11"/>
  <c r="P10" i="11"/>
  <c r="D4" i="37"/>
  <c r="E4" i="37" s="1"/>
  <c r="F4" i="37" s="1"/>
  <c r="G4" i="37" s="1"/>
  <c r="H4" i="37" s="1"/>
  <c r="I4" i="37" s="1"/>
  <c r="J4" i="37" s="1"/>
  <c r="K4" i="37" s="1"/>
  <c r="L4" i="37" s="1"/>
  <c r="M4" i="37" s="1"/>
  <c r="N4" i="37" s="1"/>
  <c r="D14" i="2"/>
  <c r="K28" i="10"/>
  <c r="J38" i="1" s="1"/>
  <c r="X38" i="1" s="1"/>
  <c r="L35" i="11"/>
  <c r="E14" i="2"/>
  <c r="L28" i="10"/>
  <c r="K38" i="1" s="1"/>
  <c r="Y38" i="1" s="1"/>
  <c r="P34" i="10"/>
  <c r="L154" i="11"/>
  <c r="H154" i="11"/>
  <c r="O82" i="11"/>
  <c r="K82" i="11"/>
  <c r="G82" i="11"/>
  <c r="H69" i="11"/>
  <c r="N30" i="11"/>
  <c r="G32" i="11"/>
  <c r="P40" i="10"/>
  <c r="P32" i="10"/>
  <c r="P39" i="10"/>
  <c r="P31" i="10"/>
  <c r="P14" i="11"/>
  <c r="O38" i="9"/>
  <c r="P33" i="10"/>
  <c r="P6" i="10"/>
  <c r="O154" i="11"/>
  <c r="G130" i="11"/>
  <c r="F94" i="11"/>
  <c r="N82" i="11"/>
  <c r="G69" i="11"/>
  <c r="H57" i="11"/>
  <c r="M45" i="11"/>
  <c r="N37" i="11"/>
  <c r="P38" i="10"/>
  <c r="J154" i="11"/>
  <c r="N142" i="11"/>
  <c r="O118" i="11"/>
  <c r="I94" i="11"/>
  <c r="J69" i="11"/>
  <c r="P13" i="11"/>
  <c r="C17" i="2"/>
  <c r="P36" i="10"/>
  <c r="P35" i="10"/>
  <c r="M142" i="11"/>
  <c r="F142" i="11"/>
  <c r="N130" i="11"/>
  <c r="J130" i="11"/>
  <c r="D106" i="11"/>
  <c r="I69" i="11"/>
  <c r="K33" i="11"/>
  <c r="J35" i="11"/>
  <c r="N154" i="11"/>
  <c r="G154" i="11"/>
  <c r="O142" i="11"/>
  <c r="P95" i="11"/>
  <c r="G94" i="11"/>
  <c r="O69" i="11"/>
  <c r="N45" i="11"/>
  <c r="K45" i="11"/>
  <c r="H45" i="11"/>
  <c r="N31" i="11"/>
  <c r="M31" i="11"/>
  <c r="K37" i="11"/>
  <c r="J34" i="11"/>
  <c r="I35" i="11"/>
  <c r="H35" i="11"/>
  <c r="G36" i="11"/>
  <c r="F31" i="11"/>
  <c r="E35" i="11"/>
  <c r="P7" i="11"/>
  <c r="M154" i="11"/>
  <c r="F154" i="11"/>
  <c r="I36" i="11"/>
  <c r="E36" i="11"/>
  <c r="M35" i="11"/>
  <c r="J118" i="11"/>
  <c r="H118" i="11"/>
  <c r="M106" i="11"/>
  <c r="H106" i="11"/>
  <c r="E106" i="11"/>
  <c r="L94" i="11"/>
  <c r="J94" i="11"/>
  <c r="H94" i="11"/>
  <c r="M82" i="11"/>
  <c r="N57" i="11"/>
  <c r="I57" i="11"/>
  <c r="E45" i="11"/>
  <c r="O33" i="11"/>
  <c r="L36" i="11"/>
  <c r="K36" i="11"/>
  <c r="J33" i="11"/>
  <c r="I32" i="11"/>
  <c r="G34" i="11"/>
  <c r="F35" i="11"/>
  <c r="P11" i="11"/>
  <c r="I142" i="11"/>
  <c r="O130" i="11"/>
  <c r="M118" i="11"/>
  <c r="I118" i="11"/>
  <c r="M94" i="11"/>
  <c r="L69" i="11"/>
  <c r="O32" i="11"/>
  <c r="M36" i="11"/>
  <c r="J31" i="11"/>
  <c r="I31" i="11"/>
  <c r="H32" i="11"/>
  <c r="E31" i="11"/>
  <c r="P12" i="11"/>
  <c r="P8" i="11"/>
  <c r="N34" i="11"/>
  <c r="J30" i="11"/>
  <c r="O12" i="36"/>
  <c r="O8" i="1"/>
  <c r="O17" i="37"/>
  <c r="H24" i="2"/>
  <c r="E4" i="1"/>
  <c r="H1" i="39"/>
  <c r="H4" i="39" s="1"/>
  <c r="H7" i="39" s="1"/>
  <c r="G4" i="2"/>
  <c r="G1" i="39"/>
  <c r="G4" i="39" s="1"/>
  <c r="G7" i="39" s="1"/>
  <c r="P161" i="11"/>
  <c r="P113" i="11"/>
  <c r="F45" i="11"/>
  <c r="P46" i="11"/>
  <c r="O28" i="10"/>
  <c r="N38" i="1" s="1"/>
  <c r="AB38" i="1" s="1"/>
  <c r="H28" i="10"/>
  <c r="G38" i="1" s="1"/>
  <c r="U38" i="1" s="1"/>
  <c r="P37" i="10"/>
  <c r="F28" i="10"/>
  <c r="E38" i="1" s="1"/>
  <c r="S38" i="1" s="1"/>
  <c r="P29" i="10"/>
  <c r="P137" i="11"/>
  <c r="F130" i="11"/>
  <c r="F118" i="11"/>
  <c r="P119" i="11"/>
  <c r="P89" i="11"/>
  <c r="I28" i="10"/>
  <c r="H38" i="1" s="1"/>
  <c r="V38" i="1" s="1"/>
  <c r="P149" i="11"/>
  <c r="E28" i="10"/>
  <c r="D38" i="1" s="1"/>
  <c r="R38" i="1" s="1"/>
  <c r="P155" i="11"/>
  <c r="D154" i="11"/>
  <c r="N28" i="10"/>
  <c r="M38" i="1" s="1"/>
  <c r="AA38" i="1" s="1"/>
  <c r="I154" i="11"/>
  <c r="P143" i="11"/>
  <c r="M130" i="11"/>
  <c r="L118" i="11"/>
  <c r="G118" i="11"/>
  <c r="P101" i="11"/>
  <c r="D69" i="11"/>
  <c r="P70" i="11"/>
  <c r="O45" i="11"/>
  <c r="J28" i="10"/>
  <c r="I38" i="1" s="1"/>
  <c r="W38" i="1" s="1"/>
  <c r="P30" i="10"/>
  <c r="E154" i="11"/>
  <c r="L142" i="11"/>
  <c r="G142" i="11"/>
  <c r="P125" i="11"/>
  <c r="I106" i="11"/>
  <c r="K94" i="11"/>
  <c r="J82" i="11"/>
  <c r="E82" i="11"/>
  <c r="P76" i="11"/>
  <c r="F57" i="11"/>
  <c r="P64" i="11"/>
  <c r="O34" i="11"/>
  <c r="K30" i="11"/>
  <c r="E37" i="11"/>
  <c r="I37" i="11"/>
  <c r="M37" i="11"/>
  <c r="J37" i="11"/>
  <c r="L37" i="11"/>
  <c r="E33" i="11"/>
  <c r="I33" i="11"/>
  <c r="M33" i="11"/>
  <c r="G33" i="11"/>
  <c r="N33" i="11"/>
  <c r="F36" i="11"/>
  <c r="J36" i="11"/>
  <c r="N36" i="11"/>
  <c r="D36" i="11"/>
  <c r="H36" i="11"/>
  <c r="O36" i="11"/>
  <c r="F32" i="11"/>
  <c r="J32" i="11"/>
  <c r="N32" i="11"/>
  <c r="D32" i="11"/>
  <c r="E32" i="11"/>
  <c r="L32" i="11"/>
  <c r="P15" i="11"/>
  <c r="H34" i="11"/>
  <c r="L34" i="11"/>
  <c r="I34" i="11"/>
  <c r="K34" i="11"/>
  <c r="K142" i="11"/>
  <c r="P131" i="11"/>
  <c r="K118" i="11"/>
  <c r="P107" i="11"/>
  <c r="P83" i="11"/>
  <c r="D82" i="11"/>
  <c r="K69" i="11"/>
  <c r="P58" i="11"/>
  <c r="O37" i="11"/>
  <c r="N35" i="11"/>
  <c r="M34" i="11"/>
  <c r="L33" i="11"/>
  <c r="K32" i="11"/>
  <c r="H37" i="11"/>
  <c r="G37" i="11"/>
  <c r="F37" i="11"/>
  <c r="H30" i="11"/>
  <c r="L30" i="11"/>
  <c r="O94" i="11"/>
  <c r="I82" i="11"/>
  <c r="M57" i="11"/>
  <c r="G45" i="11"/>
  <c r="P52" i="11"/>
  <c r="O30" i="11"/>
  <c r="M30" i="11"/>
  <c r="F30" i="11"/>
  <c r="G35" i="11"/>
  <c r="O35" i="11"/>
  <c r="G31" i="11"/>
  <c r="K31" i="11"/>
  <c r="O31" i="11"/>
  <c r="E44" i="11" l="1"/>
  <c r="E141" i="11"/>
  <c r="E117" i="11"/>
  <c r="E81" i="11"/>
  <c r="M29" i="1"/>
  <c r="AA29" i="1" s="1"/>
  <c r="N13" i="36"/>
  <c r="N27" i="1"/>
  <c r="N26" i="1"/>
  <c r="O10" i="36"/>
  <c r="E93" i="11"/>
  <c r="F4" i="11"/>
  <c r="F177" i="11" s="1"/>
  <c r="E129" i="11"/>
  <c r="E68" i="11"/>
  <c r="E56" i="11"/>
  <c r="E189" i="11"/>
  <c r="E165" i="11"/>
  <c r="E177" i="11"/>
  <c r="E153" i="11"/>
  <c r="E21" i="2"/>
  <c r="D21" i="2"/>
  <c r="F26" i="3"/>
  <c r="J58" i="39" s="1"/>
  <c r="C34" i="1"/>
  <c r="O55" i="37"/>
  <c r="O56" i="37"/>
  <c r="C22" i="2"/>
  <c r="F21" i="2"/>
  <c r="M21" i="2"/>
  <c r="D29" i="11"/>
  <c r="D23" i="11" s="1"/>
  <c r="D21" i="11" s="1"/>
  <c r="C33" i="1" s="1"/>
  <c r="Q33" i="1" s="1"/>
  <c r="E29" i="11"/>
  <c r="E23" i="11" s="1"/>
  <c r="E21" i="11" s="1"/>
  <c r="K29" i="11"/>
  <c r="K23" i="11" s="1"/>
  <c r="K21" i="11" s="1"/>
  <c r="J33" i="1" s="1"/>
  <c r="F29" i="11"/>
  <c r="L29" i="11"/>
  <c r="L23" i="11" s="1"/>
  <c r="L21" i="11" s="1"/>
  <c r="K33" i="1" s="1"/>
  <c r="M29" i="11"/>
  <c r="M23" i="11" s="1"/>
  <c r="M21" i="11" s="1"/>
  <c r="I29" i="11"/>
  <c r="I23" i="11" s="1"/>
  <c r="I21" i="11" s="1"/>
  <c r="H29" i="11"/>
  <c r="H23" i="11" s="1"/>
  <c r="H21" i="11" s="1"/>
  <c r="G33" i="1" s="1"/>
  <c r="J29" i="11"/>
  <c r="J23" i="11" s="1"/>
  <c r="J21" i="11" s="1"/>
  <c r="I33" i="1" s="1"/>
  <c r="O29" i="11"/>
  <c r="O23" i="11" s="1"/>
  <c r="O21" i="11" s="1"/>
  <c r="N33" i="1" s="1"/>
  <c r="N29" i="11"/>
  <c r="N23" i="11" s="1"/>
  <c r="N21" i="11" s="1"/>
  <c r="G29" i="11"/>
  <c r="G23" i="11" s="1"/>
  <c r="G21" i="11" s="1"/>
  <c r="F33" i="1" s="1"/>
  <c r="D19" i="3"/>
  <c r="H57" i="39" s="1"/>
  <c r="J75" i="37"/>
  <c r="J76" i="37" s="1"/>
  <c r="O68" i="37"/>
  <c r="E75" i="37"/>
  <c r="E76" i="37" s="1"/>
  <c r="O73" i="37"/>
  <c r="C75" i="37"/>
  <c r="C76" i="37" s="1"/>
  <c r="O69" i="37"/>
  <c r="O67" i="37"/>
  <c r="O66" i="37"/>
  <c r="O74" i="37"/>
  <c r="O72" i="37"/>
  <c r="O71" i="37"/>
  <c r="O70" i="37"/>
  <c r="F60" i="37"/>
  <c r="F9" i="37" s="1"/>
  <c r="E60" i="37"/>
  <c r="E61" i="37" s="1"/>
  <c r="E10" i="37" s="1"/>
  <c r="G60" i="37"/>
  <c r="G61" i="37" s="1"/>
  <c r="G10" i="37" s="1"/>
  <c r="O59" i="37"/>
  <c r="O54" i="37"/>
  <c r="O52" i="37"/>
  <c r="C60" i="37"/>
  <c r="C61" i="37" s="1"/>
  <c r="M60" i="37"/>
  <c r="M9" i="37" s="1"/>
  <c r="O58" i="37"/>
  <c r="O50" i="37"/>
  <c r="O57" i="37"/>
  <c r="H21" i="2"/>
  <c r="N21" i="2"/>
  <c r="G21" i="2"/>
  <c r="K21" i="2"/>
  <c r="O22" i="3"/>
  <c r="E26" i="3"/>
  <c r="I58" i="39" s="1"/>
  <c r="J21" i="2"/>
  <c r="L21" i="2"/>
  <c r="I21" i="2"/>
  <c r="P94" i="11"/>
  <c r="P106" i="11"/>
  <c r="O21" i="2"/>
  <c r="O28" i="1"/>
  <c r="J60" i="37"/>
  <c r="J61" i="37" s="1"/>
  <c r="J10" i="37" s="1"/>
  <c r="P35" i="11"/>
  <c r="P57" i="11"/>
  <c r="P28" i="10"/>
  <c r="N60" i="37"/>
  <c r="N75" i="37"/>
  <c r="N76" i="37" s="1"/>
  <c r="P45" i="11"/>
  <c r="P31" i="11"/>
  <c r="O18" i="3"/>
  <c r="P34" i="11"/>
  <c r="P37" i="11"/>
  <c r="P130" i="11"/>
  <c r="O65" i="37"/>
  <c r="D60" i="37"/>
  <c r="O51" i="37"/>
  <c r="F75" i="37"/>
  <c r="F76" i="37" s="1"/>
  <c r="H60" i="37"/>
  <c r="M75" i="37"/>
  <c r="L60" i="37"/>
  <c r="L61" i="37" s="1"/>
  <c r="L10" i="37" s="1"/>
  <c r="L75" i="37"/>
  <c r="L13" i="37" s="1"/>
  <c r="I60" i="37"/>
  <c r="D75" i="37"/>
  <c r="H75" i="37"/>
  <c r="I75" i="37"/>
  <c r="K60" i="37"/>
  <c r="K75" i="37"/>
  <c r="G75" i="37"/>
  <c r="P26" i="11"/>
  <c r="O53" i="37"/>
  <c r="G14" i="2"/>
  <c r="H4" i="2"/>
  <c r="F4" i="1"/>
  <c r="I1" i="39"/>
  <c r="P82" i="11"/>
  <c r="P36" i="11"/>
  <c r="P24" i="11"/>
  <c r="O38" i="1"/>
  <c r="P33" i="11"/>
  <c r="P30" i="11"/>
  <c r="P142" i="11"/>
  <c r="I24" i="2"/>
  <c r="P32" i="11"/>
  <c r="P69" i="11"/>
  <c r="P154" i="11"/>
  <c r="P118" i="11"/>
  <c r="C26" i="3"/>
  <c r="G58" i="39" s="1"/>
  <c r="G9" i="39"/>
  <c r="H9" i="39"/>
  <c r="F11" i="3" l="1"/>
  <c r="T33" i="1"/>
  <c r="G11" i="3"/>
  <c r="U33" i="1"/>
  <c r="J11" i="3"/>
  <c r="X33" i="1"/>
  <c r="O27" i="1"/>
  <c r="AB27" i="1"/>
  <c r="N11" i="3"/>
  <c r="AB33" i="1"/>
  <c r="I11" i="3"/>
  <c r="W33" i="1"/>
  <c r="K11" i="3"/>
  <c r="Y33" i="1"/>
  <c r="O26" i="1"/>
  <c r="AB26" i="1"/>
  <c r="E9" i="37"/>
  <c r="E8" i="37" s="1"/>
  <c r="E8" i="36" s="1"/>
  <c r="F68" i="11"/>
  <c r="F56" i="11"/>
  <c r="F141" i="11"/>
  <c r="N29" i="1"/>
  <c r="O13" i="36"/>
  <c r="F189" i="11"/>
  <c r="F81" i="11"/>
  <c r="F105" i="11"/>
  <c r="F117" i="11"/>
  <c r="F44" i="11"/>
  <c r="F165" i="11"/>
  <c r="F93" i="11"/>
  <c r="G4" i="11"/>
  <c r="G177" i="11" s="1"/>
  <c r="F153" i="11"/>
  <c r="F129" i="11"/>
  <c r="O34" i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C11" i="3"/>
  <c r="D9" i="2"/>
  <c r="C28" i="2"/>
  <c r="C5" i="2" s="1"/>
  <c r="L33" i="1"/>
  <c r="D33" i="1"/>
  <c r="M33" i="1"/>
  <c r="H33" i="1"/>
  <c r="C9" i="37"/>
  <c r="E13" i="37"/>
  <c r="F61" i="37"/>
  <c r="F10" i="37" s="1"/>
  <c r="F8" i="37" s="1"/>
  <c r="F8" i="36" s="1"/>
  <c r="C64" i="37"/>
  <c r="C16" i="34" s="1"/>
  <c r="J9" i="37"/>
  <c r="J64" i="37"/>
  <c r="J16" i="34" s="1"/>
  <c r="N64" i="37"/>
  <c r="N16" i="34" s="1"/>
  <c r="J13" i="37"/>
  <c r="F23" i="11"/>
  <c r="F21" i="11" s="1"/>
  <c r="P29" i="11"/>
  <c r="E19" i="3"/>
  <c r="I57" i="39" s="1"/>
  <c r="G9" i="37"/>
  <c r="C13" i="37"/>
  <c r="L76" i="37"/>
  <c r="D13" i="37"/>
  <c r="D76" i="37"/>
  <c r="D64" i="37" s="1"/>
  <c r="D16" i="34" s="1"/>
  <c r="D15" i="34" s="1"/>
  <c r="F64" i="37"/>
  <c r="F16" i="34" s="1"/>
  <c r="F13" i="37"/>
  <c r="N61" i="37"/>
  <c r="N10" i="37" s="1"/>
  <c r="M61" i="37"/>
  <c r="M10" i="37" s="1"/>
  <c r="N9" i="37"/>
  <c r="L9" i="37"/>
  <c r="E64" i="37"/>
  <c r="E16" i="34" s="1"/>
  <c r="O75" i="37"/>
  <c r="O13" i="37" s="1"/>
  <c r="O60" i="37"/>
  <c r="O9" i="37" s="1"/>
  <c r="N13" i="37"/>
  <c r="C49" i="37"/>
  <c r="I13" i="37"/>
  <c r="H76" i="37"/>
  <c r="H13" i="37"/>
  <c r="I76" i="37"/>
  <c r="I64" i="37" s="1"/>
  <c r="I16" i="34" s="1"/>
  <c r="G49" i="37"/>
  <c r="E49" i="37"/>
  <c r="K61" i="37"/>
  <c r="K9" i="37"/>
  <c r="M76" i="37"/>
  <c r="M13" i="37"/>
  <c r="D9" i="37"/>
  <c r="D61" i="37"/>
  <c r="I61" i="37"/>
  <c r="I10" i="37" s="1"/>
  <c r="I9" i="37"/>
  <c r="H9" i="37"/>
  <c r="H61" i="37"/>
  <c r="H10" i="37" s="1"/>
  <c r="G13" i="37"/>
  <c r="G76" i="37"/>
  <c r="K13" i="37"/>
  <c r="K76" i="37"/>
  <c r="J24" i="2"/>
  <c r="C10" i="37"/>
  <c r="I4" i="39"/>
  <c r="G4" i="1"/>
  <c r="J1" i="39"/>
  <c r="I4" i="2"/>
  <c r="H14" i="2"/>
  <c r="G44" i="11" l="1"/>
  <c r="G129" i="11"/>
  <c r="G68" i="11"/>
  <c r="M11" i="3"/>
  <c r="AA33" i="1"/>
  <c r="D11" i="3"/>
  <c r="R33" i="1"/>
  <c r="L11" i="3"/>
  <c r="Z33" i="1"/>
  <c r="H11" i="3"/>
  <c r="V33" i="1"/>
  <c r="O29" i="1"/>
  <c r="AB29" i="1"/>
  <c r="H4" i="11"/>
  <c r="H165" i="11" s="1"/>
  <c r="G56" i="11"/>
  <c r="G165" i="11"/>
  <c r="G93" i="11"/>
  <c r="G105" i="11"/>
  <c r="G117" i="11"/>
  <c r="G81" i="11"/>
  <c r="G189" i="11"/>
  <c r="G141" i="11"/>
  <c r="G153" i="11"/>
  <c r="E9" i="2"/>
  <c r="C8" i="2"/>
  <c r="C12" i="2" s="1"/>
  <c r="C32" i="2" s="1"/>
  <c r="C6" i="3"/>
  <c r="G54" i="39" s="1"/>
  <c r="G26" i="3"/>
  <c r="K58" i="39" s="1"/>
  <c r="E33" i="1"/>
  <c r="S33" i="1" s="1"/>
  <c r="J8" i="37"/>
  <c r="J8" i="36" s="1"/>
  <c r="F49" i="37"/>
  <c r="P23" i="11"/>
  <c r="J49" i="37"/>
  <c r="G8" i="37"/>
  <c r="G8" i="36" s="1"/>
  <c r="G24" i="1" s="1"/>
  <c r="U24" i="1" s="1"/>
  <c r="F19" i="3"/>
  <c r="J57" i="39" s="1"/>
  <c r="M49" i="37"/>
  <c r="N49" i="37"/>
  <c r="L64" i="37"/>
  <c r="L16" i="34" s="1"/>
  <c r="L15" i="34" s="1"/>
  <c r="N8" i="37"/>
  <c r="N8" i="36" s="1"/>
  <c r="N24" i="1" s="1"/>
  <c r="AB24" i="1" s="1"/>
  <c r="L8" i="37"/>
  <c r="L8" i="36" s="1"/>
  <c r="L24" i="1" s="1"/>
  <c r="Z24" i="1" s="1"/>
  <c r="M8" i="37"/>
  <c r="M8" i="36" s="1"/>
  <c r="M24" i="1" s="1"/>
  <c r="AA24" i="1" s="1"/>
  <c r="C15" i="34"/>
  <c r="C8" i="37"/>
  <c r="C8" i="36" s="1"/>
  <c r="K64" i="37"/>
  <c r="K16" i="34" s="1"/>
  <c r="K15" i="34" s="1"/>
  <c r="E24" i="1"/>
  <c r="S24" i="1" s="1"/>
  <c r="G64" i="37"/>
  <c r="G16" i="34" s="1"/>
  <c r="G15" i="34" s="1"/>
  <c r="F24" i="1"/>
  <c r="T24" i="1" s="1"/>
  <c r="E15" i="34"/>
  <c r="I15" i="34"/>
  <c r="F15" i="34"/>
  <c r="L49" i="37"/>
  <c r="J15" i="34"/>
  <c r="N15" i="34"/>
  <c r="D11" i="2"/>
  <c r="O76" i="37"/>
  <c r="H8" i="37"/>
  <c r="H8" i="36" s="1"/>
  <c r="K10" i="37"/>
  <c r="K8" i="37" s="1"/>
  <c r="K8" i="36" s="1"/>
  <c r="K49" i="37"/>
  <c r="O61" i="37"/>
  <c r="O10" i="37" s="1"/>
  <c r="I49" i="37"/>
  <c r="D10" i="37"/>
  <c r="D8" i="37" s="1"/>
  <c r="D8" i="36" s="1"/>
  <c r="D49" i="37"/>
  <c r="M64" i="37"/>
  <c r="M16" i="34" s="1"/>
  <c r="M15" i="34" s="1"/>
  <c r="H64" i="37"/>
  <c r="H16" i="34" s="1"/>
  <c r="H15" i="34" s="1"/>
  <c r="I8" i="37"/>
  <c r="I8" i="36" s="1"/>
  <c r="H49" i="37"/>
  <c r="J4" i="2"/>
  <c r="I14" i="2"/>
  <c r="J4" i="39"/>
  <c r="K24" i="2"/>
  <c r="D26" i="3"/>
  <c r="H58" i="39" s="1"/>
  <c r="H4" i="1"/>
  <c r="K1" i="39"/>
  <c r="P21" i="11"/>
  <c r="I7" i="39"/>
  <c r="H56" i="11" l="1"/>
  <c r="H81" i="11"/>
  <c r="H93" i="11"/>
  <c r="H44" i="11"/>
  <c r="H117" i="11"/>
  <c r="I4" i="11"/>
  <c r="I189" i="11" s="1"/>
  <c r="H105" i="11"/>
  <c r="H68" i="11"/>
  <c r="H129" i="11"/>
  <c r="H141" i="11"/>
  <c r="H189" i="11"/>
  <c r="H153" i="11"/>
  <c r="H177" i="11"/>
  <c r="F9" i="2"/>
  <c r="G9" i="2" s="1"/>
  <c r="H9" i="2" s="1"/>
  <c r="I9" i="2" s="1"/>
  <c r="J9" i="2" s="1"/>
  <c r="K9" i="2" s="1"/>
  <c r="L9" i="2" s="1"/>
  <c r="M9" i="2" s="1"/>
  <c r="N9" i="2" s="1"/>
  <c r="O9" i="2" s="1"/>
  <c r="O33" i="1"/>
  <c r="E11" i="3"/>
  <c r="O6" i="3"/>
  <c r="T54" i="39" s="1"/>
  <c r="C33" i="2"/>
  <c r="C34" i="2" s="1"/>
  <c r="H26" i="3"/>
  <c r="L58" i="39" s="1"/>
  <c r="J24" i="1"/>
  <c r="X24" i="1" s="1"/>
  <c r="G19" i="3"/>
  <c r="K57" i="39" s="1"/>
  <c r="C24" i="1"/>
  <c r="Q24" i="1" s="1"/>
  <c r="D24" i="1"/>
  <c r="R24" i="1" s="1"/>
  <c r="I24" i="1"/>
  <c r="W24" i="1" s="1"/>
  <c r="H24" i="1"/>
  <c r="V24" i="1" s="1"/>
  <c r="K24" i="1"/>
  <c r="Y24" i="1" s="1"/>
  <c r="O8" i="36"/>
  <c r="O16" i="34"/>
  <c r="O15" i="34"/>
  <c r="O49" i="37"/>
  <c r="O8" i="37"/>
  <c r="O64" i="37"/>
  <c r="J14" i="2"/>
  <c r="K4" i="2"/>
  <c r="I9" i="39"/>
  <c r="K4" i="39"/>
  <c r="L24" i="2"/>
  <c r="I4" i="1"/>
  <c r="L1" i="39"/>
  <c r="J7" i="39"/>
  <c r="J4" i="11" l="1"/>
  <c r="J153" i="11" s="1"/>
  <c r="I117" i="11"/>
  <c r="I129" i="11"/>
  <c r="I68" i="11"/>
  <c r="I81" i="11"/>
  <c r="I56" i="11"/>
  <c r="I93" i="11"/>
  <c r="I153" i="11"/>
  <c r="I177" i="11"/>
  <c r="I141" i="11"/>
  <c r="I105" i="11"/>
  <c r="I44" i="11"/>
  <c r="I165" i="11"/>
  <c r="I26" i="3"/>
  <c r="M58" i="39" s="1"/>
  <c r="H19" i="3"/>
  <c r="L57" i="39" s="1"/>
  <c r="O24" i="1"/>
  <c r="L4" i="39"/>
  <c r="K7" i="39"/>
  <c r="J4" i="1"/>
  <c r="M1" i="39"/>
  <c r="M24" i="2"/>
  <c r="J9" i="39"/>
  <c r="O11" i="3"/>
  <c r="K14" i="2"/>
  <c r="L4" i="2"/>
  <c r="J68" i="11" l="1"/>
  <c r="J44" i="11"/>
  <c r="J141" i="11"/>
  <c r="J93" i="11"/>
  <c r="K4" i="11"/>
  <c r="K165" i="11" s="1"/>
  <c r="J105" i="11"/>
  <c r="J56" i="11"/>
  <c r="J81" i="11"/>
  <c r="J165" i="11"/>
  <c r="J129" i="11"/>
  <c r="J189" i="11"/>
  <c r="J117" i="11"/>
  <c r="J177" i="11"/>
  <c r="J26" i="3"/>
  <c r="N58" i="39" s="1"/>
  <c r="I19" i="3"/>
  <c r="M57" i="39" s="1"/>
  <c r="N24" i="2"/>
  <c r="K4" i="1"/>
  <c r="N1" i="39"/>
  <c r="E11" i="2"/>
  <c r="K9" i="39"/>
  <c r="L7" i="39"/>
  <c r="M4" i="2"/>
  <c r="L14" i="2"/>
  <c r="M4" i="39"/>
  <c r="K189" i="11" l="1"/>
  <c r="K105" i="11"/>
  <c r="K129" i="11"/>
  <c r="K81" i="11"/>
  <c r="K93" i="11"/>
  <c r="K56" i="11"/>
  <c r="K117" i="11"/>
  <c r="K177" i="11"/>
  <c r="K44" i="11"/>
  <c r="K141" i="11"/>
  <c r="L4" i="11"/>
  <c r="L153" i="11" s="1"/>
  <c r="K153" i="11"/>
  <c r="K68" i="11"/>
  <c r="K26" i="3"/>
  <c r="O58" i="39" s="1"/>
  <c r="J19" i="3"/>
  <c r="N57" i="39" s="1"/>
  <c r="M7" i="39"/>
  <c r="L4" i="1"/>
  <c r="O1" i="39"/>
  <c r="L9" i="39"/>
  <c r="F11" i="2"/>
  <c r="O24" i="2"/>
  <c r="N4" i="2"/>
  <c r="M14" i="2"/>
  <c r="N4" i="39"/>
  <c r="L105" i="11" l="1"/>
  <c r="M4" i="11"/>
  <c r="M165" i="11" s="1"/>
  <c r="L56" i="11"/>
  <c r="L177" i="11"/>
  <c r="L81" i="11"/>
  <c r="L129" i="11"/>
  <c r="L165" i="11"/>
  <c r="L44" i="11"/>
  <c r="L93" i="11"/>
  <c r="L189" i="11"/>
  <c r="L117" i="11"/>
  <c r="L68" i="11"/>
  <c r="L141" i="11"/>
  <c r="L26" i="3"/>
  <c r="P58" i="39" s="1"/>
  <c r="K19" i="3"/>
  <c r="O57" i="39" s="1"/>
  <c r="N14" i="2"/>
  <c r="O4" i="2"/>
  <c r="G11" i="2"/>
  <c r="N7" i="39"/>
  <c r="O4" i="39"/>
  <c r="M4" i="1"/>
  <c r="P1" i="39"/>
  <c r="M9" i="39"/>
  <c r="M177" i="11" l="1"/>
  <c r="M68" i="11"/>
  <c r="M141" i="11"/>
  <c r="M153" i="11"/>
  <c r="M189" i="11"/>
  <c r="M117" i="11"/>
  <c r="M129" i="11"/>
  <c r="M81" i="11"/>
  <c r="M44" i="11"/>
  <c r="N4" i="11"/>
  <c r="N165" i="11" s="1"/>
  <c r="M56" i="11"/>
  <c r="M93" i="11"/>
  <c r="M105" i="11"/>
  <c r="N26" i="3"/>
  <c r="R58" i="39" s="1"/>
  <c r="L19" i="3"/>
  <c r="P57" i="39" s="1"/>
  <c r="P4" i="39"/>
  <c r="O14" i="2"/>
  <c r="C4" i="2"/>
  <c r="C14" i="2" s="1"/>
  <c r="N4" i="1"/>
  <c r="Q1" i="39"/>
  <c r="N9" i="39"/>
  <c r="O10" i="3"/>
  <c r="O7" i="39"/>
  <c r="H11" i="2"/>
  <c r="N68" i="11" l="1"/>
  <c r="N105" i="11"/>
  <c r="N177" i="11"/>
  <c r="N129" i="11"/>
  <c r="N117" i="11"/>
  <c r="N81" i="11"/>
  <c r="N189" i="11"/>
  <c r="N93" i="11"/>
  <c r="O4" i="11"/>
  <c r="O189" i="11" s="1"/>
  <c r="N56" i="11"/>
  <c r="N141" i="11"/>
  <c r="N153" i="11"/>
  <c r="N44" i="11"/>
  <c r="M26" i="3"/>
  <c r="Q58" i="39" s="1"/>
  <c r="O26" i="3"/>
  <c r="T58" i="39" s="1"/>
  <c r="N19" i="3"/>
  <c r="R57" i="39" s="1"/>
  <c r="I11" i="2"/>
  <c r="Q4" i="39"/>
  <c r="P7" i="39"/>
  <c r="O9" i="39"/>
  <c r="R1" i="39"/>
  <c r="O93" i="11" l="1"/>
  <c r="O81" i="11"/>
  <c r="O105" i="11"/>
  <c r="O117" i="11"/>
  <c r="O165" i="11"/>
  <c r="O153" i="11"/>
  <c r="O56" i="11"/>
  <c r="O44" i="11"/>
  <c r="O177" i="11"/>
  <c r="O141" i="11"/>
  <c r="O68" i="11"/>
  <c r="O129" i="11"/>
  <c r="M19" i="3"/>
  <c r="Q57" i="39" s="1"/>
  <c r="O19" i="3"/>
  <c r="T57" i="39" s="1"/>
  <c r="P9" i="39"/>
  <c r="J11" i="2"/>
  <c r="Q7" i="39"/>
  <c r="R4" i="39"/>
  <c r="Q9" i="39" l="1"/>
  <c r="R7" i="39"/>
  <c r="K11" i="2"/>
  <c r="R9" i="39" l="1"/>
  <c r="L11" i="2"/>
  <c r="M11" i="2" l="1"/>
  <c r="O11" i="2" l="1"/>
  <c r="N11" i="2"/>
  <c r="D92" i="37" l="1"/>
  <c r="D12" i="1"/>
  <c r="K92" i="37"/>
  <c r="K12" i="1"/>
  <c r="E12" i="1"/>
  <c r="E92" i="37"/>
  <c r="M92" i="37"/>
  <c r="M12" i="1"/>
  <c r="G12" i="1"/>
  <c r="G92" i="37"/>
  <c r="H92" i="37"/>
  <c r="H12" i="1"/>
  <c r="N92" i="37"/>
  <c r="N12" i="1"/>
  <c r="I12" i="1"/>
  <c r="I92" i="37"/>
  <c r="F12" i="1"/>
  <c r="F92" i="37"/>
  <c r="J92" i="37"/>
  <c r="J12" i="1"/>
  <c r="L92" i="37"/>
  <c r="L12" i="1"/>
  <c r="Z12" i="1" l="1"/>
  <c r="AA12" i="1"/>
  <c r="S12" i="1"/>
  <c r="X12" i="1"/>
  <c r="W12" i="1"/>
  <c r="V12" i="1"/>
  <c r="U12" i="1"/>
  <c r="Y12" i="1"/>
  <c r="R12" i="1"/>
  <c r="T12" i="1"/>
  <c r="AB12" i="1"/>
  <c r="N14" i="37"/>
  <c r="N93" i="37"/>
  <c r="N15" i="37" s="1"/>
  <c r="J14" i="37"/>
  <c r="J93" i="37"/>
  <c r="J15" i="37" s="1"/>
  <c r="L6" i="1"/>
  <c r="D60" i="16"/>
  <c r="D24" i="16"/>
  <c r="D51" i="16"/>
  <c r="D42" i="16"/>
  <c r="D33" i="16"/>
  <c r="N11" i="1"/>
  <c r="K11" i="1"/>
  <c r="L14" i="37"/>
  <c r="L93" i="37"/>
  <c r="L15" i="37" s="1"/>
  <c r="L11" i="1"/>
  <c r="M11" i="1"/>
  <c r="G14" i="37"/>
  <c r="G93" i="37"/>
  <c r="G15" i="37" s="1"/>
  <c r="M14" i="37"/>
  <c r="M93" i="37"/>
  <c r="M15" i="37" s="1"/>
  <c r="E93" i="37"/>
  <c r="E15" i="37" s="1"/>
  <c r="E14" i="37"/>
  <c r="K6" i="1"/>
  <c r="D11" i="1"/>
  <c r="J6" i="1"/>
  <c r="F93" i="37"/>
  <c r="F15" i="37" s="1"/>
  <c r="F14" i="37"/>
  <c r="I11" i="1"/>
  <c r="H6" i="1"/>
  <c r="M6" i="1"/>
  <c r="E6" i="1"/>
  <c r="K93" i="37"/>
  <c r="K15" i="37" s="1"/>
  <c r="K14" i="37"/>
  <c r="D6" i="1"/>
  <c r="E33" i="16"/>
  <c r="I14" i="37"/>
  <c r="I93" i="37"/>
  <c r="I15" i="37" s="1"/>
  <c r="J11" i="1"/>
  <c r="F6" i="1"/>
  <c r="I6" i="1"/>
  <c r="H11" i="1"/>
  <c r="G6" i="1"/>
  <c r="E11" i="1"/>
  <c r="H14" i="37"/>
  <c r="H93" i="37"/>
  <c r="H15" i="37" s="1"/>
  <c r="G11" i="1"/>
  <c r="F11" i="1"/>
  <c r="N6" i="1"/>
  <c r="D14" i="37"/>
  <c r="D93" i="37"/>
  <c r="D15" i="37" s="1"/>
  <c r="M14" i="15" l="1"/>
  <c r="N14" i="15"/>
  <c r="K14" i="15"/>
  <c r="H14" i="15"/>
  <c r="L14" i="15"/>
  <c r="I14" i="15"/>
  <c r="O14" i="15"/>
  <c r="J14" i="15"/>
  <c r="I9" i="38"/>
  <c r="W11" i="1"/>
  <c r="D9" i="38"/>
  <c r="R11" i="1"/>
  <c r="N9" i="38"/>
  <c r="O9" i="38" s="1"/>
  <c r="P9" i="38" s="1"/>
  <c r="Q9" i="38" s="1"/>
  <c r="AB11" i="1"/>
  <c r="H9" i="38"/>
  <c r="V11" i="1"/>
  <c r="J9" i="38"/>
  <c r="X11" i="1"/>
  <c r="M9" i="38"/>
  <c r="AA11" i="1"/>
  <c r="K9" i="38"/>
  <c r="Y11" i="1"/>
  <c r="G9" i="38"/>
  <c r="U11" i="1"/>
  <c r="F9" i="38"/>
  <c r="T11" i="1"/>
  <c r="E9" i="38"/>
  <c r="S11" i="1"/>
  <c r="L9" i="38"/>
  <c r="Z11" i="1"/>
  <c r="E25" i="1"/>
  <c r="S25" i="1" s="1"/>
  <c r="E6" i="36"/>
  <c r="L25" i="1"/>
  <c r="Z25" i="1" s="1"/>
  <c r="L6" i="36"/>
  <c r="H25" i="1"/>
  <c r="V25" i="1" s="1"/>
  <c r="H6" i="36"/>
  <c r="I25" i="1"/>
  <c r="W25" i="1" s="1"/>
  <c r="I6" i="36"/>
  <c r="F25" i="1"/>
  <c r="T25" i="1" s="1"/>
  <c r="F6" i="36"/>
  <c r="M25" i="1"/>
  <c r="AA25" i="1" s="1"/>
  <c r="M6" i="36"/>
  <c r="G25" i="1"/>
  <c r="U25" i="1" s="1"/>
  <c r="G6" i="36"/>
  <c r="J25" i="1"/>
  <c r="X25" i="1" s="1"/>
  <c r="J6" i="36"/>
  <c r="N25" i="1"/>
  <c r="AB25" i="1" s="1"/>
  <c r="N6" i="36"/>
  <c r="D25" i="1"/>
  <c r="R25" i="1" s="1"/>
  <c r="D6" i="36"/>
  <c r="K25" i="1"/>
  <c r="Y25" i="1" s="1"/>
  <c r="K6" i="36"/>
  <c r="I79" i="37"/>
  <c r="I6" i="37" s="1"/>
  <c r="I18" i="37" s="1"/>
  <c r="I19" i="37" s="1"/>
  <c r="F12" i="37"/>
  <c r="G79" i="37"/>
  <c r="G6" i="37" s="1"/>
  <c r="G18" i="37" s="1"/>
  <c r="G19" i="37" s="1"/>
  <c r="E42" i="16"/>
  <c r="E24" i="16"/>
  <c r="H79" i="37"/>
  <c r="L12" i="37"/>
  <c r="L79" i="37"/>
  <c r="L6" i="37" s="1"/>
  <c r="L18" i="37" s="1"/>
  <c r="L19" i="37" s="1"/>
  <c r="F60" i="16"/>
  <c r="E51" i="16"/>
  <c r="G12" i="37"/>
  <c r="E60" i="16"/>
  <c r="E79" i="37"/>
  <c r="E6" i="37" s="1"/>
  <c r="E18" i="37" s="1"/>
  <c r="E19" i="37" s="1"/>
  <c r="J79" i="37"/>
  <c r="J6" i="37" s="1"/>
  <c r="J18" i="37" s="1"/>
  <c r="J19" i="37" s="1"/>
  <c r="E12" i="37"/>
  <c r="F79" i="37"/>
  <c r="I8" i="15"/>
  <c r="J24" i="16"/>
  <c r="G25" i="16"/>
  <c r="D61" i="16"/>
  <c r="G60" i="16"/>
  <c r="F24" i="16"/>
  <c r="J8" i="15"/>
  <c r="L33" i="16"/>
  <c r="I34" i="16"/>
  <c r="M15" i="16"/>
  <c r="J16" i="16"/>
  <c r="E34" i="16"/>
  <c r="H33" i="16"/>
  <c r="G61" i="16"/>
  <c r="J60" i="16"/>
  <c r="K79" i="37"/>
  <c r="N42" i="16"/>
  <c r="K43" i="16"/>
  <c r="I33" i="16"/>
  <c r="F34" i="16"/>
  <c r="H52" i="16"/>
  <c r="K51" i="16"/>
  <c r="E8" i="15"/>
  <c r="J52" i="16"/>
  <c r="M51" i="16"/>
  <c r="G51" i="16"/>
  <c r="D52" i="16"/>
  <c r="K8" i="15"/>
  <c r="N15" i="16"/>
  <c r="K16" i="16"/>
  <c r="F52" i="16"/>
  <c r="I51" i="16"/>
  <c r="K24" i="16"/>
  <c r="H25" i="16"/>
  <c r="L60" i="16"/>
  <c r="I61" i="16"/>
  <c r="M42" i="16"/>
  <c r="J43" i="16"/>
  <c r="H8" i="15"/>
  <c r="O52" i="16"/>
  <c r="O51" i="16"/>
  <c r="L52" i="16"/>
  <c r="M52" i="16"/>
  <c r="N52" i="16"/>
  <c r="E43" i="16"/>
  <c r="H42" i="16"/>
  <c r="J51" i="16"/>
  <c r="G52" i="16"/>
  <c r="G24" i="16"/>
  <c r="D25" i="16"/>
  <c r="F42" i="16"/>
  <c r="K52" i="16"/>
  <c r="N51" i="16"/>
  <c r="H16" i="16"/>
  <c r="K15" i="16"/>
  <c r="I52" i="16"/>
  <c r="L51" i="16"/>
  <c r="M8" i="15"/>
  <c r="L8" i="15"/>
  <c r="J34" i="16"/>
  <c r="M33" i="16"/>
  <c r="E25" i="16"/>
  <c r="H24" i="16"/>
  <c r="E61" i="16"/>
  <c r="H60" i="16"/>
  <c r="G43" i="16"/>
  <c r="J42" i="16"/>
  <c r="G42" i="16"/>
  <c r="D43" i="16"/>
  <c r="F51" i="16"/>
  <c r="I42" i="16"/>
  <c r="F43" i="16"/>
  <c r="L15" i="16"/>
  <c r="I16" i="16"/>
  <c r="J25" i="16"/>
  <c r="M24" i="16"/>
  <c r="N12" i="37"/>
  <c r="L43" i="16"/>
  <c r="O42" i="16"/>
  <c r="M43" i="16"/>
  <c r="N43" i="16"/>
  <c r="O43" i="16"/>
  <c r="D79" i="37"/>
  <c r="H12" i="37"/>
  <c r="F33" i="16"/>
  <c r="K25" i="16"/>
  <c r="N24" i="16"/>
  <c r="I15" i="16"/>
  <c r="F16" i="16"/>
  <c r="K42" i="16"/>
  <c r="H43" i="16"/>
  <c r="L42" i="16"/>
  <c r="I43" i="16"/>
  <c r="M12" i="37"/>
  <c r="N79" i="37"/>
  <c r="O15" i="16"/>
  <c r="O16" i="16"/>
  <c r="N16" i="16"/>
  <c r="L16" i="16"/>
  <c r="M16" i="16"/>
  <c r="D12" i="37"/>
  <c r="G8" i="15"/>
  <c r="E52" i="16"/>
  <c r="H51" i="16"/>
  <c r="H15" i="16"/>
  <c r="E16" i="16"/>
  <c r="J15" i="16"/>
  <c r="G16" i="16"/>
  <c r="N60" i="16"/>
  <c r="K61" i="16"/>
  <c r="I24" i="16"/>
  <c r="F25" i="16"/>
  <c r="H61" i="16"/>
  <c r="K60" i="16"/>
  <c r="M79" i="37"/>
  <c r="O8" i="15"/>
  <c r="N25" i="16"/>
  <c r="O24" i="16"/>
  <c r="L25" i="16"/>
  <c r="O25" i="16"/>
  <c r="M25" i="16"/>
  <c r="O33" i="16"/>
  <c r="L34" i="16"/>
  <c r="O34" i="16"/>
  <c r="N34" i="16"/>
  <c r="M34" i="16"/>
  <c r="J33" i="16"/>
  <c r="G34" i="16"/>
  <c r="L61" i="16"/>
  <c r="O61" i="16"/>
  <c r="O60" i="16"/>
  <c r="M61" i="16"/>
  <c r="N61" i="16"/>
  <c r="F8" i="15"/>
  <c r="G33" i="16"/>
  <c r="D34" i="16"/>
  <c r="I12" i="37"/>
  <c r="K12" i="37"/>
  <c r="K34" i="16"/>
  <c r="N33" i="16"/>
  <c r="I60" i="16"/>
  <c r="F61" i="16"/>
  <c r="H34" i="16"/>
  <c r="K33" i="16"/>
  <c r="I25" i="16"/>
  <c r="L24" i="16"/>
  <c r="N8" i="15"/>
  <c r="J61" i="16"/>
  <c r="M60" i="16"/>
  <c r="J12" i="37"/>
  <c r="H10" i="15" l="1"/>
  <c r="H6" i="2"/>
  <c r="F16" i="2"/>
  <c r="J6" i="2"/>
  <c r="N16" i="2"/>
  <c r="J23" i="1"/>
  <c r="K16" i="15"/>
  <c r="J16" i="15"/>
  <c r="I23" i="1"/>
  <c r="L16" i="15"/>
  <c r="K23" i="1"/>
  <c r="H16" i="15"/>
  <c r="G23" i="1"/>
  <c r="H23" i="1"/>
  <c r="I16" i="15"/>
  <c r="D23" i="1"/>
  <c r="E16" i="15"/>
  <c r="M23" i="1"/>
  <c r="N16" i="15"/>
  <c r="L23" i="1"/>
  <c r="M16" i="15"/>
  <c r="N23" i="1"/>
  <c r="O16" i="15"/>
  <c r="F23" i="1"/>
  <c r="G16" i="15"/>
  <c r="E23" i="1"/>
  <c r="F16" i="15"/>
  <c r="E16" i="2"/>
  <c r="L16" i="2"/>
  <c r="I6" i="2"/>
  <c r="I16" i="2"/>
  <c r="K6" i="2"/>
  <c r="J16" i="2"/>
  <c r="M16" i="2"/>
  <c r="L6" i="2"/>
  <c r="H16" i="2"/>
  <c r="M6" i="2"/>
  <c r="O16" i="2"/>
  <c r="K16" i="2"/>
  <c r="O6" i="2"/>
  <c r="N6" i="2"/>
  <c r="G16" i="2"/>
  <c r="H6" i="37"/>
  <c r="H18" i="37" s="1"/>
  <c r="H19" i="37" s="1"/>
  <c r="I14" i="1"/>
  <c r="F6" i="37"/>
  <c r="F18" i="37" s="1"/>
  <c r="F19" i="37" s="1"/>
  <c r="L14" i="1"/>
  <c r="E14" i="1"/>
  <c r="K10" i="15"/>
  <c r="O10" i="15"/>
  <c r="N10" i="15"/>
  <c r="L10" i="15"/>
  <c r="M10" i="15"/>
  <c r="F14" i="1"/>
  <c r="F8" i="34"/>
  <c r="F6" i="34" s="1"/>
  <c r="H14" i="1"/>
  <c r="H8" i="34"/>
  <c r="H6" i="34" s="1"/>
  <c r="K6" i="37"/>
  <c r="K18" i="37" s="1"/>
  <c r="K19" i="37" s="1"/>
  <c r="M6" i="37"/>
  <c r="M18" i="37" s="1"/>
  <c r="M19" i="37" s="1"/>
  <c r="N6" i="37"/>
  <c r="N18" i="37" s="1"/>
  <c r="N19" i="37" s="1"/>
  <c r="D6" i="37"/>
  <c r="D18" i="37" s="1"/>
  <c r="D19" i="37" s="1"/>
  <c r="G14" i="1"/>
  <c r="G8" i="34"/>
  <c r="G6" i="34" s="1"/>
  <c r="J10" i="15"/>
  <c r="J14" i="1"/>
  <c r="J8" i="34"/>
  <c r="J6" i="34" s="1"/>
  <c r="I10" i="15"/>
  <c r="G10" i="1" l="1"/>
  <c r="G20" i="1" s="1"/>
  <c r="G21" i="1" s="1"/>
  <c r="U14" i="1"/>
  <c r="F10" i="1"/>
  <c r="F20" i="1" s="1"/>
  <c r="F21" i="1" s="1"/>
  <c r="T14" i="1"/>
  <c r="J10" i="1"/>
  <c r="J20" i="1" s="1"/>
  <c r="J21" i="1" s="1"/>
  <c r="X14" i="1"/>
  <c r="I10" i="1"/>
  <c r="I20" i="1" s="1"/>
  <c r="I21" i="1" s="1"/>
  <c r="W14" i="1"/>
  <c r="H10" i="1"/>
  <c r="H20" i="1" s="1"/>
  <c r="H21" i="1" s="1"/>
  <c r="V14" i="1"/>
  <c r="E10" i="1"/>
  <c r="E20" i="1" s="1"/>
  <c r="E21" i="1" s="1"/>
  <c r="S14" i="1"/>
  <c r="L10" i="1"/>
  <c r="L20" i="1" s="1"/>
  <c r="L21" i="1" s="1"/>
  <c r="Z14" i="1"/>
  <c r="L18" i="15"/>
  <c r="L15" i="2" s="1"/>
  <c r="L17" i="2" s="1"/>
  <c r="L22" i="2" s="1"/>
  <c r="O18" i="15"/>
  <c r="O15" i="2" s="1"/>
  <c r="O17" i="2" s="1"/>
  <c r="O22" i="2" s="1"/>
  <c r="I18" i="15"/>
  <c r="I15" i="2" s="1"/>
  <c r="M18" i="15"/>
  <c r="M15" i="2" s="1"/>
  <c r="J18" i="15"/>
  <c r="J15" i="2" s="1"/>
  <c r="H18" i="15"/>
  <c r="H15" i="2" s="1"/>
  <c r="H17" i="2" s="1"/>
  <c r="H22" i="2" s="1"/>
  <c r="K18" i="15"/>
  <c r="K15" i="2" s="1"/>
  <c r="N18" i="15"/>
  <c r="N15" i="2" s="1"/>
  <c r="N17" i="2" s="1"/>
  <c r="N22" i="2" s="1"/>
  <c r="H12" i="3"/>
  <c r="I8" i="34"/>
  <c r="I6" i="34" s="1"/>
  <c r="L8" i="34"/>
  <c r="L6" i="34" s="1"/>
  <c r="E8" i="34"/>
  <c r="E6" i="34" s="1"/>
  <c r="I12" i="3"/>
  <c r="K12" i="3"/>
  <c r="J12" i="3"/>
  <c r="N12" i="3"/>
  <c r="M14" i="1"/>
  <c r="M8" i="34"/>
  <c r="M6" i="34" s="1"/>
  <c r="L12" i="3"/>
  <c r="D14" i="1"/>
  <c r="D8" i="34"/>
  <c r="D6" i="34" s="1"/>
  <c r="K14" i="1"/>
  <c r="K8" i="34"/>
  <c r="K6" i="34" s="1"/>
  <c r="N14" i="1"/>
  <c r="N8" i="34"/>
  <c r="N6" i="34" s="1"/>
  <c r="M12" i="3"/>
  <c r="H31" i="1" l="1"/>
  <c r="H36" i="1" s="1"/>
  <c r="H40" i="1" s="1"/>
  <c r="J31" i="1"/>
  <c r="J36" i="1" s="1"/>
  <c r="J40" i="1" s="1"/>
  <c r="G31" i="1"/>
  <c r="G36" i="1" s="1"/>
  <c r="G40" i="1" s="1"/>
  <c r="L31" i="1"/>
  <c r="L36" i="1" s="1"/>
  <c r="L40" i="1" s="1"/>
  <c r="I31" i="1"/>
  <c r="I36" i="1" s="1"/>
  <c r="I40" i="1" s="1"/>
  <c r="E31" i="1"/>
  <c r="E36" i="1" s="1"/>
  <c r="E40" i="1" s="1"/>
  <c r="F31" i="1"/>
  <c r="F36" i="1" s="1"/>
  <c r="F40" i="1" s="1"/>
  <c r="M10" i="1"/>
  <c r="M20" i="1" s="1"/>
  <c r="M21" i="1" s="1"/>
  <c r="AA14" i="1"/>
  <c r="K10" i="1"/>
  <c r="K20" i="1" s="1"/>
  <c r="K21" i="1" s="1"/>
  <c r="Y14" i="1"/>
  <c r="N10" i="1"/>
  <c r="N20" i="1" s="1"/>
  <c r="N31" i="1" s="1"/>
  <c r="N36" i="1" s="1"/>
  <c r="N40" i="1" s="1"/>
  <c r="AB14" i="1"/>
  <c r="D10" i="1"/>
  <c r="D20" i="1" s="1"/>
  <c r="D21" i="1" s="1"/>
  <c r="R14" i="1"/>
  <c r="I14" i="3"/>
  <c r="M17" i="2"/>
  <c r="M22" i="2" s="1"/>
  <c r="L14" i="3"/>
  <c r="K14" i="3"/>
  <c r="K17" i="2"/>
  <c r="K22" i="2" s="1"/>
  <c r="J14" i="3"/>
  <c r="I17" i="2"/>
  <c r="I22" i="2" s="1"/>
  <c r="H14" i="3"/>
  <c r="N14" i="3"/>
  <c r="J17" i="2"/>
  <c r="J22" i="2" s="1"/>
  <c r="M14" i="3"/>
  <c r="M31" i="1" l="1"/>
  <c r="M36" i="1" s="1"/>
  <c r="M40" i="1" s="1"/>
  <c r="N21" i="1"/>
  <c r="K31" i="1"/>
  <c r="K36" i="1" s="1"/>
  <c r="K40" i="1" s="1"/>
  <c r="D31" i="1"/>
  <c r="D36" i="1" s="1"/>
  <c r="D40" i="1" s="1"/>
  <c r="O84" i="37"/>
  <c r="O81" i="37" l="1"/>
  <c r="O90" i="37"/>
  <c r="O82" i="37"/>
  <c r="O88" i="37"/>
  <c r="O83" i="37"/>
  <c r="O85" i="37"/>
  <c r="O86" i="37"/>
  <c r="O91" i="37"/>
  <c r="O89" i="37"/>
  <c r="O87" i="37"/>
  <c r="O10" i="34" l="1"/>
  <c r="C12" i="1"/>
  <c r="Q12" i="1" s="1"/>
  <c r="D15" i="16"/>
  <c r="D6" i="2" s="1"/>
  <c r="C12" i="3" s="1"/>
  <c r="F15" i="16"/>
  <c r="F6" i="2" s="1"/>
  <c r="G15" i="16"/>
  <c r="G6" i="2" s="1"/>
  <c r="D16" i="2"/>
  <c r="E15" i="16"/>
  <c r="E6" i="2" s="1"/>
  <c r="C14" i="1"/>
  <c r="O13" i="34"/>
  <c r="C92" i="37"/>
  <c r="C93" i="37" s="1"/>
  <c r="O80" i="37"/>
  <c r="O9" i="34"/>
  <c r="C11" i="1"/>
  <c r="Q11" i="1" s="1"/>
  <c r="O14" i="1" l="1"/>
  <c r="Q14" i="1"/>
  <c r="D12" i="3"/>
  <c r="C9" i="38"/>
  <c r="C11" i="38" s="1"/>
  <c r="C12" i="38" s="1"/>
  <c r="C79" i="37"/>
  <c r="C14" i="37"/>
  <c r="O92" i="37"/>
  <c r="O14" i="37" s="1"/>
  <c r="G12" i="3"/>
  <c r="F12" i="3"/>
  <c r="E12" i="3"/>
  <c r="O12" i="1"/>
  <c r="O7" i="1"/>
  <c r="C6" i="1"/>
  <c r="D8" i="15"/>
  <c r="O11" i="1"/>
  <c r="C10" i="1"/>
  <c r="O10" i="1" s="1"/>
  <c r="C6" i="34"/>
  <c r="O8" i="34"/>
  <c r="O6" i="34" l="1"/>
  <c r="O9" i="36"/>
  <c r="O12" i="3"/>
  <c r="D7" i="2"/>
  <c r="D8" i="38"/>
  <c r="G10" i="15"/>
  <c r="E10" i="15"/>
  <c r="D10" i="15"/>
  <c r="F10" i="15"/>
  <c r="C20" i="1"/>
  <c r="C21" i="1" s="1"/>
  <c r="O6" i="1"/>
  <c r="O79" i="37"/>
  <c r="C6" i="37"/>
  <c r="F14" i="15"/>
  <c r="G14" i="15"/>
  <c r="D14" i="15"/>
  <c r="E14" i="15"/>
  <c r="C15" i="37"/>
  <c r="C12" i="37" s="1"/>
  <c r="O93" i="37"/>
  <c r="O15" i="37" s="1"/>
  <c r="O12" i="37" s="1"/>
  <c r="D11" i="38" l="1"/>
  <c r="D12" i="38" s="1"/>
  <c r="O20" i="1"/>
  <c r="O21" i="1" s="1"/>
  <c r="C13" i="3"/>
  <c r="C18" i="37"/>
  <c r="C19" i="37" s="1"/>
  <c r="O6" i="37"/>
  <c r="O18" i="37" s="1"/>
  <c r="O19" i="37" s="1"/>
  <c r="C25" i="1"/>
  <c r="Q25" i="1" s="1"/>
  <c r="C6" i="36"/>
  <c r="O6" i="36" s="1"/>
  <c r="E8" i="38" l="1"/>
  <c r="E7" i="2"/>
  <c r="D13" i="3" s="1"/>
  <c r="O25" i="1"/>
  <c r="C23" i="1"/>
  <c r="D16" i="15"/>
  <c r="E11" i="38" l="1"/>
  <c r="E12" i="38" s="1"/>
  <c r="F18" i="15"/>
  <c r="F15" i="2" s="1"/>
  <c r="E18" i="15"/>
  <c r="E15" i="2" s="1"/>
  <c r="G18" i="15"/>
  <c r="G15" i="2" s="1"/>
  <c r="D18" i="15"/>
  <c r="D15" i="2" s="1"/>
  <c r="O23" i="1"/>
  <c r="C31" i="1"/>
  <c r="F7" i="2" l="1"/>
  <c r="E13" i="3" s="1"/>
  <c r="F8" i="38"/>
  <c r="O31" i="1"/>
  <c r="P45" i="10" s="1"/>
  <c r="C36" i="1"/>
  <c r="D17" i="2"/>
  <c r="D22" i="2" s="1"/>
  <c r="C14" i="3"/>
  <c r="G17" i="2"/>
  <c r="G22" i="2" s="1"/>
  <c r="F14" i="3"/>
  <c r="G14" i="3"/>
  <c r="E17" i="2"/>
  <c r="E22" i="2" s="1"/>
  <c r="D14" i="3"/>
  <c r="E14" i="3"/>
  <c r="F17" i="2"/>
  <c r="F22" i="2" s="1"/>
  <c r="F11" i="38" l="1"/>
  <c r="F12" i="38" s="1"/>
  <c r="P44" i="10"/>
  <c r="O14" i="3"/>
  <c r="O36" i="1"/>
  <c r="C40" i="1"/>
  <c r="G7" i="2" l="1"/>
  <c r="F13" i="3" s="1"/>
  <c r="G8" i="38"/>
  <c r="O40" i="1"/>
  <c r="E44" i="1" s="1"/>
  <c r="E45" i="1" s="1"/>
  <c r="G11" i="38" l="1"/>
  <c r="G12" i="38" s="1"/>
  <c r="N44" i="1"/>
  <c r="L44" i="1"/>
  <c r="L45" i="1" s="1"/>
  <c r="H44" i="1"/>
  <c r="H45" i="1" s="1"/>
  <c r="C44" i="1"/>
  <c r="G2" i="39" s="1"/>
  <c r="G3" i="39" s="1"/>
  <c r="E9" i="3"/>
  <c r="E15" i="3" s="1"/>
  <c r="I2" i="39"/>
  <c r="I3" i="39" s="1"/>
  <c r="M44" i="1"/>
  <c r="M45" i="1" s="1"/>
  <c r="D44" i="1"/>
  <c r="D45" i="1" s="1"/>
  <c r="J44" i="1"/>
  <c r="J45" i="1" s="1"/>
  <c r="I44" i="1"/>
  <c r="I45" i="1" s="1"/>
  <c r="K44" i="1"/>
  <c r="K45" i="1" s="1"/>
  <c r="F44" i="1"/>
  <c r="F45" i="1" s="1"/>
  <c r="G44" i="1"/>
  <c r="G45" i="1" s="1"/>
  <c r="R2" i="39" l="1"/>
  <c r="R3" i="39" s="1"/>
  <c r="N45" i="1"/>
  <c r="D25" i="2"/>
  <c r="D26" i="2" s="1"/>
  <c r="D27" i="2" s="1"/>
  <c r="D28" i="2" s="1"/>
  <c r="G10" i="39" s="1"/>
  <c r="C45" i="1"/>
  <c r="H7" i="2"/>
  <c r="G13" i="3" s="1"/>
  <c r="H8" i="38"/>
  <c r="L2" i="39"/>
  <c r="L3" i="39" s="1"/>
  <c r="P2" i="39"/>
  <c r="P3" i="39" s="1"/>
  <c r="H9" i="3"/>
  <c r="N9" i="3"/>
  <c r="L9" i="3"/>
  <c r="C9" i="3"/>
  <c r="C15" i="3" s="1"/>
  <c r="O25" i="2"/>
  <c r="O26" i="2" s="1"/>
  <c r="O27" i="2" s="1"/>
  <c r="O28" i="2" s="1"/>
  <c r="R10" i="39" s="1"/>
  <c r="Q2" i="39"/>
  <c r="Q3" i="39" s="1"/>
  <c r="M9" i="3"/>
  <c r="D9" i="3"/>
  <c r="D15" i="3" s="1"/>
  <c r="H2" i="39"/>
  <c r="H3" i="39" s="1"/>
  <c r="H25" i="2"/>
  <c r="H26" i="2" s="1"/>
  <c r="H27" i="2" s="1"/>
  <c r="H28" i="2" s="1"/>
  <c r="J25" i="2"/>
  <c r="J26" i="2" s="1"/>
  <c r="J27" i="2" s="1"/>
  <c r="J28" i="2" s="1"/>
  <c r="K9" i="3"/>
  <c r="O2" i="39"/>
  <c r="O3" i="39" s="1"/>
  <c r="M2" i="39"/>
  <c r="M3" i="39" s="1"/>
  <c r="I9" i="3"/>
  <c r="L25" i="2"/>
  <c r="L26" i="2" s="1"/>
  <c r="L27" i="2" s="1"/>
  <c r="L28" i="2" s="1"/>
  <c r="G25" i="2"/>
  <c r="G26" i="2" s="1"/>
  <c r="G27" i="2" s="1"/>
  <c r="G28" i="2" s="1"/>
  <c r="N2" i="39"/>
  <c r="N3" i="39" s="1"/>
  <c r="J9" i="3"/>
  <c r="O44" i="1"/>
  <c r="O45" i="1" s="1"/>
  <c r="G9" i="3"/>
  <c r="K2" i="39"/>
  <c r="K3" i="39" s="1"/>
  <c r="N25" i="2"/>
  <c r="N26" i="2" s="1"/>
  <c r="N27" i="2" s="1"/>
  <c r="N28" i="2" s="1"/>
  <c r="I25" i="2"/>
  <c r="I26" i="2" s="1"/>
  <c r="I27" i="2" s="1"/>
  <c r="I28" i="2" s="1"/>
  <c r="M25" i="2"/>
  <c r="M26" i="2" s="1"/>
  <c r="M27" i="2" s="1"/>
  <c r="M28" i="2" s="1"/>
  <c r="E25" i="2"/>
  <c r="E26" i="2" s="1"/>
  <c r="E27" i="2" s="1"/>
  <c r="E28" i="2" s="1"/>
  <c r="J2" i="39"/>
  <c r="J3" i="39" s="1"/>
  <c r="F9" i="3"/>
  <c r="F15" i="3" s="1"/>
  <c r="K25" i="2"/>
  <c r="K26" i="2" s="1"/>
  <c r="K27" i="2" s="1"/>
  <c r="K28" i="2" s="1"/>
  <c r="F25" i="2"/>
  <c r="F26" i="2" s="1"/>
  <c r="F27" i="2" s="1"/>
  <c r="F28" i="2" s="1"/>
  <c r="E28" i="3"/>
  <c r="I60" i="39" s="1"/>
  <c r="I5" i="39" s="1"/>
  <c r="I56" i="39"/>
  <c r="G15" i="3" l="1"/>
  <c r="K56" i="39" s="1"/>
  <c r="H11" i="38"/>
  <c r="H12" i="38" s="1"/>
  <c r="O9" i="3"/>
  <c r="P10" i="39"/>
  <c r="C28" i="3"/>
  <c r="G56" i="39"/>
  <c r="D28" i="3"/>
  <c r="H60" i="39" s="1"/>
  <c r="H5" i="39" s="1"/>
  <c r="H56" i="39"/>
  <c r="M10" i="39"/>
  <c r="I10" i="39"/>
  <c r="L10" i="39"/>
  <c r="J56" i="39"/>
  <c r="F28" i="3"/>
  <c r="J60" i="39" s="1"/>
  <c r="J5" i="39" s="1"/>
  <c r="Q10" i="39"/>
  <c r="J10" i="39"/>
  <c r="O10" i="39"/>
  <c r="K10" i="39"/>
  <c r="N10" i="39"/>
  <c r="H10" i="39"/>
  <c r="G28" i="3" l="1"/>
  <c r="K60" i="39" s="1"/>
  <c r="K5" i="39" s="1"/>
  <c r="I7" i="2"/>
  <c r="H13" i="3" s="1"/>
  <c r="H15" i="3" s="1"/>
  <c r="I8" i="38"/>
  <c r="G60" i="39"/>
  <c r="G5" i="39" s="1"/>
  <c r="C30" i="3"/>
  <c r="L56" i="39" l="1"/>
  <c r="H28" i="3"/>
  <c r="I11" i="38"/>
  <c r="I12" i="38" s="1"/>
  <c r="G6" i="39"/>
  <c r="G62" i="39"/>
  <c r="D5" i="2"/>
  <c r="D6" i="3"/>
  <c r="L60" i="39" l="1"/>
  <c r="L5" i="39" s="1"/>
  <c r="J7" i="2"/>
  <c r="I13" i="3" s="1"/>
  <c r="I15" i="3" s="1"/>
  <c r="J8" i="38"/>
  <c r="D30" i="3"/>
  <c r="H54" i="39"/>
  <c r="D8" i="2"/>
  <c r="D12" i="2" s="1"/>
  <c r="C14" i="38"/>
  <c r="I28" i="3" l="1"/>
  <c r="M56" i="39"/>
  <c r="J11" i="38"/>
  <c r="J12" i="38" s="1"/>
  <c r="G8" i="39"/>
  <c r="D32" i="2"/>
  <c r="D33" i="2"/>
  <c r="D34" i="2" s="1"/>
  <c r="H6" i="39"/>
  <c r="E5" i="2"/>
  <c r="E6" i="3"/>
  <c r="H62" i="39"/>
  <c r="M60" i="39" l="1"/>
  <c r="M5" i="39" s="1"/>
  <c r="K8" i="38"/>
  <c r="K7" i="2"/>
  <c r="J13" i="3" s="1"/>
  <c r="J15" i="3" s="1"/>
  <c r="D14" i="38"/>
  <c r="E8" i="2"/>
  <c r="E12" i="2" s="1"/>
  <c r="E30" i="3"/>
  <c r="I54" i="39"/>
  <c r="N56" i="39" l="1"/>
  <c r="J28" i="3"/>
  <c r="K11" i="38"/>
  <c r="K12" i="38" s="1"/>
  <c r="F6" i="3"/>
  <c r="F5" i="2"/>
  <c r="I6" i="39"/>
  <c r="I62" i="39"/>
  <c r="H8" i="39"/>
  <c r="E33" i="2"/>
  <c r="E34" i="2" s="1"/>
  <c r="E32" i="2"/>
  <c r="N60" i="39" l="1"/>
  <c r="N5" i="39" s="1"/>
  <c r="L8" i="38"/>
  <c r="L7" i="2"/>
  <c r="K13" i="3" s="1"/>
  <c r="K15" i="3" s="1"/>
  <c r="E14" i="38"/>
  <c r="F8" i="2"/>
  <c r="F12" i="2" s="1"/>
  <c r="J54" i="39"/>
  <c r="F30" i="3"/>
  <c r="O56" i="39" l="1"/>
  <c r="K28" i="3"/>
  <c r="L11" i="38"/>
  <c r="L12" i="38" s="1"/>
  <c r="G5" i="2"/>
  <c r="J6" i="39"/>
  <c r="G6" i="3"/>
  <c r="J62" i="39"/>
  <c r="I8" i="39"/>
  <c r="F33" i="2"/>
  <c r="F34" i="2" s="1"/>
  <c r="F32" i="2"/>
  <c r="O60" i="39" l="1"/>
  <c r="O5" i="39" s="1"/>
  <c r="M7" i="2"/>
  <c r="L13" i="3" s="1"/>
  <c r="L15" i="3" s="1"/>
  <c r="M8" i="38"/>
  <c r="G30" i="3"/>
  <c r="K54" i="39"/>
  <c r="G8" i="2"/>
  <c r="G12" i="2" s="1"/>
  <c r="F14" i="38"/>
  <c r="L28" i="3" l="1"/>
  <c r="P56" i="39"/>
  <c r="M11" i="38"/>
  <c r="M12" i="38" s="1"/>
  <c r="J8" i="39"/>
  <c r="G32" i="2"/>
  <c r="G33" i="2"/>
  <c r="G34" i="2" s="1"/>
  <c r="K62" i="39"/>
  <c r="H5" i="2"/>
  <c r="K6" i="39"/>
  <c r="H6" i="3"/>
  <c r="P60" i="39" l="1"/>
  <c r="P5" i="39" s="1"/>
  <c r="N8" i="38"/>
  <c r="N7" i="2"/>
  <c r="M13" i="3" s="1"/>
  <c r="M15" i="3" s="1"/>
  <c r="H30" i="3"/>
  <c r="L54" i="39"/>
  <c r="H8" i="2"/>
  <c r="H12" i="2" s="1"/>
  <c r="G14" i="38"/>
  <c r="Q56" i="39" l="1"/>
  <c r="M28" i="3"/>
  <c r="Q60" i="39" s="1"/>
  <c r="Q5" i="39" s="1"/>
  <c r="N11" i="38"/>
  <c r="N12" i="38" s="1"/>
  <c r="O7" i="2" s="1"/>
  <c r="N13" i="3" s="1"/>
  <c r="K8" i="39"/>
  <c r="H32" i="2"/>
  <c r="H33" i="2"/>
  <c r="H34" i="2" s="1"/>
  <c r="L62" i="39"/>
  <c r="I6" i="3"/>
  <c r="I5" i="2"/>
  <c r="L6" i="39"/>
  <c r="O13" i="3" l="1"/>
  <c r="O15" i="3" s="1"/>
  <c r="T56" i="39" s="1"/>
  <c r="N15" i="3"/>
  <c r="H14" i="38"/>
  <c r="I8" i="2"/>
  <c r="I12" i="2" s="1"/>
  <c r="I30" i="3"/>
  <c r="M54" i="39"/>
  <c r="N28" i="3" l="1"/>
  <c r="R56" i="39"/>
  <c r="J6" i="3"/>
  <c r="M62" i="39"/>
  <c r="J5" i="2"/>
  <c r="M6" i="39"/>
  <c r="L8" i="39"/>
  <c r="I33" i="2"/>
  <c r="I34" i="2" s="1"/>
  <c r="I32" i="2"/>
  <c r="R60" i="39" l="1"/>
  <c r="R5" i="39" s="1"/>
  <c r="O28" i="3"/>
  <c r="T60" i="39" s="1"/>
  <c r="I14" i="38"/>
  <c r="J8" i="2"/>
  <c r="J12" i="2" s="1"/>
  <c r="N54" i="39"/>
  <c r="J30" i="3"/>
  <c r="K6" i="3" l="1"/>
  <c r="N6" i="39"/>
  <c r="K5" i="2"/>
  <c r="N62" i="39"/>
  <c r="M8" i="39"/>
  <c r="J32" i="2"/>
  <c r="J33" i="2"/>
  <c r="J34" i="2" s="1"/>
  <c r="K8" i="2" l="1"/>
  <c r="K12" i="2" s="1"/>
  <c r="J14" i="38"/>
  <c r="K30" i="3"/>
  <c r="O54" i="39"/>
  <c r="O6" i="39" l="1"/>
  <c r="O62" i="39"/>
  <c r="L5" i="2"/>
  <c r="L6" i="3"/>
  <c r="N8" i="39"/>
  <c r="K33" i="2"/>
  <c r="K34" i="2" s="1"/>
  <c r="K32" i="2"/>
  <c r="L30" i="3" l="1"/>
  <c r="P54" i="39"/>
  <c r="L8" i="2"/>
  <c r="L12" i="2" s="1"/>
  <c r="K14" i="38"/>
  <c r="O8" i="39" l="1"/>
  <c r="L32" i="2"/>
  <c r="L33" i="2"/>
  <c r="L34" i="2" s="1"/>
  <c r="P6" i="39"/>
  <c r="M6" i="3"/>
  <c r="M5" i="2"/>
  <c r="P62" i="39"/>
  <c r="M30" i="3" l="1"/>
  <c r="Q54" i="39"/>
  <c r="L14" i="38"/>
  <c r="M8" i="2"/>
  <c r="M12" i="2" s="1"/>
  <c r="P8" i="39" l="1"/>
  <c r="M33" i="2"/>
  <c r="M34" i="2" s="1"/>
  <c r="M32" i="2"/>
  <c r="N5" i="2"/>
  <c r="Q6" i="39"/>
  <c r="N6" i="3"/>
  <c r="Q62" i="39"/>
  <c r="M14" i="38" l="1"/>
  <c r="N8" i="2"/>
  <c r="N12" i="2" s="1"/>
  <c r="N30" i="3"/>
  <c r="R54" i="39"/>
  <c r="R6" i="39" l="1"/>
  <c r="R62" i="39"/>
  <c r="O30" i="3"/>
  <c r="T62" i="39" s="1"/>
  <c r="O5" i="2"/>
  <c r="Q8" i="39"/>
  <c r="N32" i="2"/>
  <c r="N33" i="2"/>
  <c r="N34" i="2" s="1"/>
  <c r="O8" i="2" l="1"/>
  <c r="O12" i="2" s="1"/>
  <c r="N14" i="38"/>
  <c r="R8" i="39" l="1"/>
  <c r="O32" i="2"/>
  <c r="O33" i="2"/>
  <c r="O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<sst xmlns="http://schemas.openxmlformats.org/spreadsheetml/2006/main" count="530" uniqueCount="282">
  <si>
    <t>Debt/EBITDA</t>
  </si>
  <si>
    <t>DSCR</t>
  </si>
  <si>
    <t>Total</t>
  </si>
  <si>
    <t>Costs</t>
  </si>
  <si>
    <t>Manufacturing costs</t>
  </si>
  <si>
    <t>Cash flow analysis</t>
  </si>
  <si>
    <t>Depreciation</t>
  </si>
  <si>
    <t>Amortization</t>
  </si>
  <si>
    <t>Rent and Utilities</t>
  </si>
  <si>
    <t>Shipping Costs</t>
  </si>
  <si>
    <t>Other Costs</t>
  </si>
  <si>
    <t>Manufacturing Salaries</t>
  </si>
  <si>
    <t>Raw materials</t>
  </si>
  <si>
    <t>Packaging</t>
  </si>
  <si>
    <t>Federal Income Tax</t>
  </si>
  <si>
    <t>State Income Tax</t>
  </si>
  <si>
    <t>Marketing Expenses</t>
  </si>
  <si>
    <t>SGA expenses</t>
  </si>
  <si>
    <t>Net Sales</t>
  </si>
  <si>
    <t>Gross margin</t>
  </si>
  <si>
    <t>Net Margin</t>
  </si>
  <si>
    <t>Net Income</t>
  </si>
  <si>
    <t>Other Revenue</t>
  </si>
  <si>
    <t>Gross Income</t>
  </si>
  <si>
    <t>Administration Payroll Expense</t>
  </si>
  <si>
    <t>Other Personnel Expenses</t>
  </si>
  <si>
    <t>Other SGA Expenses</t>
  </si>
  <si>
    <t>Interest Income</t>
  </si>
  <si>
    <t>Interest Expense</t>
  </si>
  <si>
    <t>Development Expenses</t>
  </si>
  <si>
    <t>Income Before Extraordinary Items</t>
  </si>
  <si>
    <t>Non-recurring Income</t>
  </si>
  <si>
    <t>Non-recurring Expenses</t>
  </si>
  <si>
    <t>Profit Before Taxes</t>
  </si>
  <si>
    <t>Other Taxes</t>
  </si>
  <si>
    <t>EBITDA</t>
  </si>
  <si>
    <t>EBIT</t>
  </si>
  <si>
    <t>Sales Revenue</t>
  </si>
  <si>
    <t>Other Operating Revenue</t>
  </si>
  <si>
    <t>Other Administration Expenses</t>
  </si>
  <si>
    <t>Chart 1</t>
  </si>
  <si>
    <t>Chart 2</t>
  </si>
  <si>
    <t>Chart 3</t>
  </si>
  <si>
    <t>Chart 4</t>
  </si>
  <si>
    <t>Galvenie rādītāji</t>
  </si>
  <si>
    <t>Nosaukums</t>
  </si>
  <si>
    <t>Finanšu gads</t>
  </si>
  <si>
    <t>Finanšu gada sākums</t>
  </si>
  <si>
    <t>Valūta</t>
  </si>
  <si>
    <t>Vidējā atlaide</t>
  </si>
  <si>
    <t>Atlikto maksājumu īpatsvars, %</t>
  </si>
  <si>
    <t>Nodokļi</t>
  </si>
  <si>
    <t>Nodoklis</t>
  </si>
  <si>
    <t>Likme</t>
  </si>
  <si>
    <t>DDSN</t>
  </si>
  <si>
    <t>Darba Devēja Soc. Nodoklis</t>
  </si>
  <si>
    <t>UIN Likme</t>
  </si>
  <si>
    <t>Aktīvi</t>
  </si>
  <si>
    <t>Pasīvi</t>
  </si>
  <si>
    <t>Grafiku kopsavilkums</t>
  </si>
  <si>
    <t>Neto peļņa</t>
  </si>
  <si>
    <t>Aktīvi kopā</t>
  </si>
  <si>
    <t>Pasīvi kopā</t>
  </si>
  <si>
    <t>% no apgrozījuma</t>
  </si>
  <si>
    <t>Naudas pieaugums/samazinājums</t>
  </si>
  <si>
    <t>Beigu atlikums</t>
  </si>
  <si>
    <t>Naudas atlikums</t>
  </si>
  <si>
    <t>Naudas plūsma</t>
  </si>
  <si>
    <t>Bruto peļņa</t>
  </si>
  <si>
    <t>CAPEX</t>
  </si>
  <si>
    <t>Parādi piegādātājiem</t>
  </si>
  <si>
    <t>Izejvielas, % no cenas</t>
  </si>
  <si>
    <t>Iepakojums, % no cenas</t>
  </si>
  <si>
    <t>Produkts</t>
  </si>
  <si>
    <t>Produkts 8</t>
  </si>
  <si>
    <t>Produkts 9</t>
  </si>
  <si>
    <t>Produkts 10</t>
  </si>
  <si>
    <t>Produkts 11</t>
  </si>
  <si>
    <t>Produkts 12</t>
  </si>
  <si>
    <t>Bāzes scenārija korekcija</t>
  </si>
  <si>
    <t>Citi ieņēmumi</t>
  </si>
  <si>
    <t>Citi ieņēmumi 2</t>
  </si>
  <si>
    <t>Citi ieņēmumi 3</t>
  </si>
  <si>
    <t>Ražošanas izmaksas kopā</t>
  </si>
  <si>
    <t>Mainīgās ražošanas izmaksas</t>
  </si>
  <si>
    <t>Izejvielas un materiāli</t>
  </si>
  <si>
    <t>Iepakojums</t>
  </si>
  <si>
    <t>Mainīgā darba algu daļa</t>
  </si>
  <si>
    <t>Fiksētās ražošanas izmaksas</t>
  </si>
  <si>
    <t>Fiksētā darba algu daļa</t>
  </si>
  <si>
    <t>Nolietojums</t>
  </si>
  <si>
    <t>Amortizācija</t>
  </si>
  <si>
    <t>Komunālie maksājumi</t>
  </si>
  <si>
    <t>Energoresursu izdevumi</t>
  </si>
  <si>
    <t>Iekārtu remonts un uzturēšana</t>
  </si>
  <si>
    <t>Pārējās izmaksas</t>
  </si>
  <si>
    <t>Neto apgrozījums</t>
  </si>
  <si>
    <t>Preču pārdošana</t>
  </si>
  <si>
    <t>Ražošanas izdevumi</t>
  </si>
  <si>
    <t>Ražošanas algas</t>
  </si>
  <si>
    <t>Bruto marža</t>
  </si>
  <si>
    <t>Pārdošanas un administrācijas izmaksas</t>
  </si>
  <si>
    <t>Peļņa pirms nodokļiem</t>
  </si>
  <si>
    <t>UIN</t>
  </si>
  <si>
    <t>Neto marža</t>
  </si>
  <si>
    <t>Procentu maksājumi</t>
  </si>
  <si>
    <t>Transporta izmaksas</t>
  </si>
  <si>
    <t>Mainīgās ražošanas algas, % no cenas</t>
  </si>
  <si>
    <t>Algu budžets kopā</t>
  </si>
  <si>
    <t>Mēnešalgas fiksētā daļa</t>
  </si>
  <si>
    <t>Administrācijas darbinieki</t>
  </si>
  <si>
    <t>Ražošanas darbinieki</t>
  </si>
  <si>
    <t>Vidējais darbinieku skaits mēnesī</t>
  </si>
  <si>
    <t>Administrācijas algas kopā</t>
  </si>
  <si>
    <t>Bruto algas</t>
  </si>
  <si>
    <t>Fiksētās algas</t>
  </si>
  <si>
    <t>Mainīgās algas</t>
  </si>
  <si>
    <t>Darbinieku skaits</t>
  </si>
  <si>
    <t>Vidējā alga</t>
  </si>
  <si>
    <t>Vidējais algu fonds</t>
  </si>
  <si>
    <t>Ražošanas algas kopā</t>
  </si>
  <si>
    <t>Vidējā mēnešalga</t>
  </si>
  <si>
    <t>Valde</t>
  </si>
  <si>
    <t>Pārdošana un mārketings</t>
  </si>
  <si>
    <t>Sagādes daļa</t>
  </si>
  <si>
    <t>Finanšu daļa</t>
  </si>
  <si>
    <t>Pārējie administrācijas darbinieki</t>
  </si>
  <si>
    <t>Administrācija</t>
  </si>
  <si>
    <t>Personāla daļa</t>
  </si>
  <si>
    <t>Bruto algas kopā</t>
  </si>
  <si>
    <t>Bruto algas (fiksētās) kopā</t>
  </si>
  <si>
    <t>Bruto algas (mainīgās) kopā</t>
  </si>
  <si>
    <t>Ražošanas algas (mainīgā daļa)</t>
  </si>
  <si>
    <t>Ražošanas algas (fiksētā daļa)</t>
  </si>
  <si>
    <t>CAPEX norakstīšana</t>
  </si>
  <si>
    <t>Pārējās personāla izmaksas</t>
  </si>
  <si>
    <t>Pārējās administrācijas izmaksas</t>
  </si>
  <si>
    <t>Mārketinga izmaksas</t>
  </si>
  <si>
    <t>Administrācijas algas</t>
  </si>
  <si>
    <t>Pārējās pārdošanas izmaksas</t>
  </si>
  <si>
    <t>Ražošanas strādnieki</t>
  </si>
  <si>
    <t>Noliktavas strādnieki</t>
  </si>
  <si>
    <t>Administrācijas algas un nodokļi</t>
  </si>
  <si>
    <t>Apgrozījums</t>
  </si>
  <si>
    <t>Priekšapmaksa, %</t>
  </si>
  <si>
    <t>Pircēju parādi</t>
  </si>
  <si>
    <t>Saņemtie avansi</t>
  </si>
  <si>
    <t>Iepriekšējā gada priekšapmaksas</t>
  </si>
  <si>
    <t>Iepriekšējā gada nedzēstie debitori</t>
  </si>
  <si>
    <t>Transporta izmaksas, % no cenas</t>
  </si>
  <si>
    <t>Pārējās attiecināmās izmaksas</t>
  </si>
  <si>
    <t>Iepriekšējā gada parādi piegādātājiem</t>
  </si>
  <si>
    <t>CapEx projektu kopsavilkums</t>
  </si>
  <si>
    <t>Nekapitalizējamās izmaksas</t>
  </si>
  <si>
    <t>Nolietojuma un amortizācijas prognoze</t>
  </si>
  <si>
    <t>Pamatlīdzekļu nolietojums</t>
  </si>
  <si>
    <t>Nemateriālo ieguldījumu amortizācija</t>
  </si>
  <si>
    <t>Esošie PL</t>
  </si>
  <si>
    <t>Jaunie PL</t>
  </si>
  <si>
    <t>Esošie nemateriālie ieguldījumi</t>
  </si>
  <si>
    <t>Jaunie nemateriālie ieguldījumi</t>
  </si>
  <si>
    <t>Projekts 1</t>
  </si>
  <si>
    <t>Nemateriālo ieguldījumu projekti</t>
  </si>
  <si>
    <t>Pamatlīdzekļu iegādes projekti</t>
  </si>
  <si>
    <t>Gadi</t>
  </si>
  <si>
    <t>Kopā</t>
  </si>
  <si>
    <t>Kapitālieguldījumi</t>
  </si>
  <si>
    <t>Izmaksas</t>
  </si>
  <si>
    <t>Izmaksas 1</t>
  </si>
  <si>
    <t>Izmaksas 2</t>
  </si>
  <si>
    <t>Ieguldījums 1</t>
  </si>
  <si>
    <t>Ieguldījums 2</t>
  </si>
  <si>
    <t>Ieguldījums 3</t>
  </si>
  <si>
    <t>Ieguldījums 4</t>
  </si>
  <si>
    <t>Ieguldījums 5</t>
  </si>
  <si>
    <t>Projekts 3</t>
  </si>
  <si>
    <t>Projekts 2</t>
  </si>
  <si>
    <t>Projekts 10</t>
  </si>
  <si>
    <t>Projekts 9</t>
  </si>
  <si>
    <t>Projekts 8</t>
  </si>
  <si>
    <t>Projekts 7</t>
  </si>
  <si>
    <t>Projekts 6</t>
  </si>
  <si>
    <t>Projekts 5</t>
  </si>
  <si>
    <t>Projekts 4</t>
  </si>
  <si>
    <t>Sākotnējie krājumi</t>
  </si>
  <si>
    <t>Krājumu aprite, d</t>
  </si>
  <si>
    <t>Iepirkumi</t>
  </si>
  <si>
    <t>Beigu krājumi</t>
  </si>
  <si>
    <t>*Pieejamie līdzekļi</t>
  </si>
  <si>
    <t>Izlietotie materiāli un iepakojums</t>
  </si>
  <si>
    <t>Nauda</t>
  </si>
  <si>
    <t>Krājumi</t>
  </si>
  <si>
    <t>Apgrozāmie līdzekļi kopā</t>
  </si>
  <si>
    <t>Ilgtermiņa aktīvi kopā</t>
  </si>
  <si>
    <t>Nemateriālie ieguldījumi</t>
  </si>
  <si>
    <t>Pamatlīdzekļi</t>
  </si>
  <si>
    <t>Saņemtie avansi no pircējiem</t>
  </si>
  <si>
    <t>Īstermiņa kreditori</t>
  </si>
  <si>
    <t>Ilgtermiņa kreditori</t>
  </si>
  <si>
    <t>Bankas aizdevumi</t>
  </si>
  <si>
    <t>Līzingi</t>
  </si>
  <si>
    <t>Īpašnieku aizdevumi</t>
  </si>
  <si>
    <t>Kreditori kopā</t>
  </si>
  <si>
    <t>Pamatkapitāls</t>
  </si>
  <si>
    <t>Iepriekšējo gadu nesadalītā peļņa</t>
  </si>
  <si>
    <t>Pārskata gada nesadalītā peļņa</t>
  </si>
  <si>
    <t>Nesadalītā peļņa kopā</t>
  </si>
  <si>
    <t>Pašu kapitāls</t>
  </si>
  <si>
    <t>Kontrole</t>
  </si>
  <si>
    <t>Vai aktīvi un pasīvi sakrīt?</t>
  </si>
  <si>
    <t>Kāda ir starpība?</t>
  </si>
  <si>
    <t>Cik ātri tā pieaug?</t>
  </si>
  <si>
    <t>Naudas plūsmas prognoze</t>
  </si>
  <si>
    <t>Sākuma atlikums</t>
  </si>
  <si>
    <t>Pamatdarbības naudas plūsma</t>
  </si>
  <si>
    <t>Korekcijas</t>
  </si>
  <si>
    <t>+ Nolietojums un amortizācija</t>
  </si>
  <si>
    <t>-  Pircēju parādu pieaugums</t>
  </si>
  <si>
    <t>-  Krājumu pieaugums</t>
  </si>
  <si>
    <t>+  Saistību pieaugums</t>
  </si>
  <si>
    <t>Ieguldījumu naudas plūsma</t>
  </si>
  <si>
    <t>Pamatdarbība</t>
  </si>
  <si>
    <t>Ieguldījumu darbība</t>
  </si>
  <si>
    <t>Finansēšanas darbība</t>
  </si>
  <si>
    <t>Finansēšanas naudas plūsma</t>
  </si>
  <si>
    <t>Banku kredītu (+) saņemšana / (-) atmaksa</t>
  </si>
  <si>
    <t>Īpašnieku aizdevumu (+) saņemšana / (-) atmaksa</t>
  </si>
  <si>
    <t xml:space="preserve"> - Dividenžu izmaksas</t>
  </si>
  <si>
    <t>Ieguldījumu pamatkapitālā (+)/ pamatkapitāla samazināšana (-)</t>
  </si>
  <si>
    <t>Sākotnējā bilance</t>
  </si>
  <si>
    <t>Beigu bilance</t>
  </si>
  <si>
    <t>Banku finansējums</t>
  </si>
  <si>
    <t>Bankas kredīts 2</t>
  </si>
  <si>
    <t>Bankas kredīts 3</t>
  </si>
  <si>
    <t>Bankas kredīts 4</t>
  </si>
  <si>
    <t>Bankas kredīts 5</t>
  </si>
  <si>
    <t>Bankas kredīts 6</t>
  </si>
  <si>
    <t>Bankas kredīts 7</t>
  </si>
  <si>
    <t>Īpašnieku aizdevums 1</t>
  </si>
  <si>
    <t>Īpašnieku aizdevums 2</t>
  </si>
  <si>
    <t>Līzings 3</t>
  </si>
  <si>
    <t>Kredīts ražotnes modernizācijai</t>
  </si>
  <si>
    <t>Iekārtu līzings</t>
  </si>
  <si>
    <t>Autolīzings</t>
  </si>
  <si>
    <t>Līzinga līgumu pakas</t>
  </si>
  <si>
    <t>Produkti un ražošanas izmaksas</t>
  </si>
  <si>
    <t>Pārdošanas un administrācijas izmaksas kopā</t>
  </si>
  <si>
    <t>Ražošanas vadība</t>
  </si>
  <si>
    <t>Pārdošanas apjoms, vienības</t>
  </si>
  <si>
    <t>Vidējā cena par vienību, EUR</t>
  </si>
  <si>
    <t>Apgrozījuma daļa</t>
  </si>
  <si>
    <t>Pārdošanas kanāls</t>
  </si>
  <si>
    <t>Priekšapmaksa, dienas</t>
  </si>
  <si>
    <t>Atliktais maksājums, dienas</t>
  </si>
  <si>
    <t>Neto apgrozījums, EUR</t>
  </si>
  <si>
    <t>Darbinieks 7</t>
  </si>
  <si>
    <t>Darbinieks 8</t>
  </si>
  <si>
    <t>Darbinieks 9</t>
  </si>
  <si>
    <t>Darbinieks 10</t>
  </si>
  <si>
    <t>Darbinieks 4</t>
  </si>
  <si>
    <t>Darbinieks 6</t>
  </si>
  <si>
    <t>Darbinieks 5</t>
  </si>
  <si>
    <t>does not equal to 100%</t>
  </si>
  <si>
    <t>Realizācijas kanāli</t>
  </si>
  <si>
    <t>Jauno iekārtu iegāde</t>
  </si>
  <si>
    <t>Spēka ražotājs</t>
  </si>
  <si>
    <t>January</t>
  </si>
  <si>
    <t>EUR</t>
  </si>
  <si>
    <t>Produkts 1</t>
  </si>
  <si>
    <t>Produkts 2</t>
  </si>
  <si>
    <t>Produkts 3</t>
  </si>
  <si>
    <t>Produkts 4</t>
  </si>
  <si>
    <t>Produkts 5</t>
  </si>
  <si>
    <t>Produkts 6</t>
  </si>
  <si>
    <t>Produkts 7</t>
  </si>
  <si>
    <t>Pārdosanas kanāls 1</t>
  </si>
  <si>
    <t>Pārdosanas kanāls 2</t>
  </si>
  <si>
    <t>Pārdosanas kanāls 3</t>
  </si>
  <si>
    <t>Pārdosanas kanāls 4</t>
  </si>
  <si>
    <t>Pārdosanas kanāls 5</t>
  </si>
  <si>
    <t>Pārdosanas kanāls 6</t>
  </si>
  <si>
    <t>Citi ieņēmumi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</si>
</sst>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0.0%"/>
    <numFmt numFmtId="166" formatCode="#,##0.0000"/>
    <numFmt numFmtId="167" formatCode="0.000"/>
    <numFmt numFmtId="168" formatCode="#,##0;[Red]\(#,##0\)"/>
    <numFmt numFmtId="169" formatCode="#,##0;\(#,##0\)"/>
    <numFmt numFmtId="170" formatCode="[$EUR]\ #,##0.00"/>
  </numFmts>
  <fonts count="101" x14ac:knownFonts="1">
    <font>
      <sz val="10"/>
      <name val="Arial"/>
      <charset val="186"/>
    </font>
    <font>
      <sz val="10"/>
      <name val="Arial"/>
      <family val="2"/>
    </font>
    <font>
      <sz val="8"/>
      <name val="Arial"/>
      <family val="2"/>
      <charset val="204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22"/>
      <name val="Times New Roman"/>
      <family val="1"/>
      <charset val="186"/>
    </font>
    <font>
      <sz val="10"/>
      <color indexed="9"/>
      <name val="Times New Roman"/>
      <family val="1"/>
      <charset val="186"/>
    </font>
    <font>
      <sz val="10"/>
      <color indexed="9"/>
      <name val="Arial"/>
      <family val="2"/>
      <charset val="204"/>
    </font>
    <font>
      <sz val="11"/>
      <name val="Arial"/>
      <family val="2"/>
      <charset val="204"/>
    </font>
    <font>
      <b/>
      <sz val="10"/>
      <color indexed="9"/>
      <name val="Times New Roman"/>
      <family val="1"/>
      <charset val="186"/>
    </font>
    <font>
      <b/>
      <sz val="10"/>
      <name val="Arial"/>
      <family val="2"/>
    </font>
    <font>
      <b/>
      <sz val="11"/>
      <name val="Arial"/>
      <family val="2"/>
      <charset val="204"/>
    </font>
    <font>
      <i/>
      <sz val="10"/>
      <name val="Arial"/>
      <family val="2"/>
      <charset val="186"/>
    </font>
    <font>
      <sz val="11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sz val="12"/>
      <name val="Century Gothic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Century Gothic"/>
      <family val="2"/>
    </font>
    <font>
      <sz val="11"/>
      <color indexed="9"/>
      <name val="Century Gothic"/>
      <family val="2"/>
    </font>
    <font>
      <sz val="11"/>
      <color theme="1"/>
      <name val="Calibri"/>
      <family val="2"/>
      <charset val="186"/>
      <scheme val="minor"/>
    </font>
    <font>
      <sz val="11"/>
      <name val="Cambria"/>
      <family val="1"/>
      <charset val="204"/>
      <scheme val="major"/>
    </font>
    <font>
      <sz val="10"/>
      <color theme="0"/>
      <name val="Arial"/>
      <family val="2"/>
      <charset val="204"/>
    </font>
    <font>
      <b/>
      <sz val="11"/>
      <color theme="0"/>
      <name val="Century Gothic"/>
      <family val="2"/>
    </font>
    <font>
      <sz val="11"/>
      <color theme="4" tint="-0.499984740745262"/>
      <name val="Century Gothic"/>
      <family val="2"/>
    </font>
    <font>
      <sz val="11"/>
      <color theme="4" tint="-0.499984740745262"/>
      <name val="Cambria"/>
      <family val="1"/>
      <charset val="186"/>
      <scheme val="major"/>
    </font>
    <font>
      <sz val="11"/>
      <color theme="3" tint="0.39997558519241921"/>
      <name val="Cambria"/>
      <family val="1"/>
      <charset val="186"/>
      <scheme val="major"/>
    </font>
    <font>
      <sz val="11"/>
      <color theme="3" tint="-0.249977111117893"/>
      <name val="Cambria"/>
      <family val="1"/>
      <charset val="186"/>
      <scheme val="major"/>
    </font>
    <font>
      <sz val="11"/>
      <color theme="5" tint="-0.249977111117893"/>
      <name val="Cambria"/>
      <family val="1"/>
      <charset val="186"/>
      <scheme val="major"/>
    </font>
    <font>
      <sz val="11"/>
      <color theme="3" tint="0.39997558519241921"/>
      <name val="Century Gothic"/>
      <family val="2"/>
    </font>
    <font>
      <sz val="10"/>
      <color theme="3" tint="0.39997558519241921"/>
      <name val="Arial"/>
      <family val="2"/>
    </font>
    <font>
      <i/>
      <sz val="11"/>
      <color rgb="FF696969"/>
      <name val="Century Gothic"/>
      <family val="2"/>
    </font>
    <font>
      <b/>
      <sz val="11"/>
      <color theme="4" tint="-0.499984740745262"/>
      <name val="Century Gothic"/>
      <family val="2"/>
    </font>
    <font>
      <sz val="10"/>
      <color theme="4" tint="-0.499984740745262"/>
      <name val="Arial"/>
      <family val="2"/>
    </font>
    <font>
      <i/>
      <sz val="10"/>
      <color rgb="FF696969"/>
      <name val="Arial"/>
      <family val="2"/>
    </font>
    <font>
      <b/>
      <sz val="10"/>
      <color theme="4" tint="-0.499984740745262"/>
      <name val="Arial"/>
      <family val="2"/>
    </font>
    <font>
      <sz val="10"/>
      <color rgb="FF0F243E"/>
      <name val="Arial"/>
      <family val="2"/>
    </font>
    <font>
      <sz val="11"/>
      <color rgb="FF0F243E"/>
      <name val="Century Gothic"/>
      <family val="2"/>
    </font>
    <font>
      <i/>
      <sz val="10"/>
      <color rgb="FF0F243E"/>
      <name val="Arial"/>
      <family val="2"/>
    </font>
    <font>
      <sz val="10"/>
      <color theme="0"/>
      <name val="Arial"/>
      <family val="2"/>
    </font>
    <font>
      <sz val="11"/>
      <color theme="0"/>
      <name val="Century Gothic"/>
      <family val="2"/>
    </font>
    <font>
      <b/>
      <sz val="11"/>
      <color theme="0"/>
      <name val="Cambria"/>
      <family val="1"/>
      <charset val="186"/>
      <scheme val="major"/>
    </font>
    <font>
      <b/>
      <sz val="11"/>
      <color theme="3" tint="-0.249977111117893"/>
      <name val="Century Gothic"/>
      <family val="2"/>
    </font>
    <font>
      <sz val="11"/>
      <color theme="3" tint="-0.249977111117893"/>
      <name val="Century Gothic"/>
      <family val="2"/>
    </font>
    <font>
      <sz val="11"/>
      <color indexed="12"/>
      <name val="Cambria"/>
      <family val="1"/>
      <charset val="204"/>
      <scheme val="major"/>
    </font>
    <font>
      <i/>
      <sz val="11"/>
      <color theme="3" tint="-0.499984740745262"/>
      <name val="Century Gothic"/>
      <family val="2"/>
    </font>
    <font>
      <sz val="10"/>
      <color theme="3" tint="-0.499984740745262"/>
      <name val="Arial"/>
      <family val="2"/>
    </font>
    <font>
      <sz val="11"/>
      <color theme="3" tint="-0.499984740745262"/>
      <name val="Century Gothic"/>
      <family val="2"/>
    </font>
    <font>
      <i/>
      <sz val="11"/>
      <color theme="4" tint="-0.499984740745262"/>
      <name val="Century Gothic"/>
      <family val="2"/>
    </font>
    <font>
      <sz val="11"/>
      <color rgb="FF0000FF"/>
      <name val="Century Gothic"/>
      <family val="2"/>
    </font>
    <font>
      <sz val="10"/>
      <color rgb="FF0000FF"/>
      <name val="Arial"/>
      <family val="2"/>
    </font>
    <font>
      <sz val="11"/>
      <color theme="4" tint="-0.499984740745262"/>
      <name val="Cambria"/>
      <family val="1"/>
      <charset val="204"/>
      <scheme val="major"/>
    </font>
    <font>
      <sz val="11"/>
      <color theme="3" tint="0.39997558519241921"/>
      <name val="Cambria"/>
      <family val="1"/>
      <charset val="204"/>
      <scheme val="major"/>
    </font>
    <font>
      <b/>
      <sz val="11"/>
      <color rgb="FF0F243E"/>
      <name val="Century Gothic"/>
      <family val="2"/>
    </font>
    <font>
      <b/>
      <sz val="10"/>
      <color rgb="FF0F243E"/>
      <name val="Arial"/>
      <family val="2"/>
    </font>
    <font>
      <b/>
      <sz val="11"/>
      <color rgb="FF244062"/>
      <name val="Century Gothic"/>
      <family val="2"/>
    </font>
    <font>
      <b/>
      <sz val="10"/>
      <color rgb="FF244062"/>
      <name val="Arial"/>
      <family val="2"/>
    </font>
    <font>
      <b/>
      <sz val="11"/>
      <color rgb="FF244062"/>
      <name val="Cambria"/>
      <family val="1"/>
      <charset val="186"/>
      <scheme val="major"/>
    </font>
    <font>
      <sz val="11"/>
      <name val="Cambria"/>
      <family val="1"/>
      <charset val="186"/>
      <scheme val="major"/>
    </font>
    <font>
      <b/>
      <sz val="11"/>
      <name val="Cambria"/>
      <family val="1"/>
      <scheme val="major"/>
    </font>
    <font>
      <b/>
      <sz val="10"/>
      <color theme="3" tint="-0.499984740745262"/>
      <name val="Arial"/>
      <family val="2"/>
    </font>
    <font>
      <b/>
      <sz val="11"/>
      <color theme="4" tint="-0.499984740745262"/>
      <name val="Cambria"/>
      <family val="1"/>
      <scheme val="major"/>
    </font>
    <font>
      <sz val="10"/>
      <color theme="0"/>
      <name val="Century Gothic"/>
      <family val="2"/>
    </font>
    <font>
      <sz val="12"/>
      <name val="Cambria"/>
      <family val="1"/>
      <charset val="186"/>
      <scheme val="major"/>
    </font>
    <font>
      <b/>
      <sz val="11"/>
      <name val="Cambria"/>
      <family val="1"/>
      <charset val="186"/>
      <scheme val="major"/>
    </font>
    <font>
      <sz val="11"/>
      <color theme="0"/>
      <name val="Cambria"/>
      <family val="1"/>
      <charset val="204"/>
      <scheme val="major"/>
    </font>
    <font>
      <b/>
      <sz val="11"/>
      <color theme="0"/>
      <name val="Cambria"/>
      <family val="1"/>
      <scheme val="major"/>
    </font>
    <font>
      <b/>
      <sz val="11"/>
      <color theme="4" tint="-0.499984740745262"/>
      <name val="Cambria"/>
      <family val="1"/>
      <charset val="204"/>
      <scheme val="major"/>
    </font>
    <font>
      <b/>
      <sz val="10"/>
      <color theme="0"/>
      <name val="Arial"/>
      <family val="2"/>
    </font>
    <font>
      <b/>
      <sz val="10"/>
      <color theme="3" tint="0.39997558519241921"/>
      <name val="Arial"/>
      <family val="2"/>
    </font>
    <font>
      <b/>
      <sz val="12"/>
      <color theme="0"/>
      <name val="Century Gothic"/>
      <family val="2"/>
    </font>
    <font>
      <b/>
      <sz val="11"/>
      <color rgb="FF224462"/>
      <name val="Century Gothic"/>
      <family val="2"/>
    </font>
    <font>
      <sz val="10"/>
      <color theme="0"/>
      <name val="Times New Roman"/>
      <family val="1"/>
      <charset val="186"/>
    </font>
    <font>
      <b/>
      <sz val="14"/>
      <color theme="0"/>
      <name val="Cambria"/>
      <family val="1"/>
      <charset val="186"/>
      <scheme val="major"/>
    </font>
    <font>
      <sz val="10"/>
      <color rgb="FFFF0000"/>
      <name val="Times New Roman"/>
      <family val="1"/>
      <charset val="186"/>
    </font>
    <font>
      <b/>
      <sz val="10"/>
      <color rgb="FF224462"/>
      <name val="Arial"/>
      <family val="2"/>
    </font>
    <font>
      <sz val="11"/>
      <color indexed="22"/>
      <name val="Cambria"/>
      <family val="1"/>
      <charset val="186"/>
      <scheme val="major"/>
    </font>
    <font>
      <b/>
      <sz val="10"/>
      <color theme="0"/>
      <name val="Times New Roman"/>
      <family val="1"/>
      <charset val="186"/>
    </font>
    <font>
      <sz val="11"/>
      <color indexed="10"/>
      <name val="Cambria"/>
      <family val="1"/>
      <charset val="204"/>
      <scheme val="major"/>
    </font>
    <font>
      <b/>
      <sz val="11"/>
      <name val="Cambria"/>
      <family val="1"/>
      <charset val="204"/>
      <scheme val="major"/>
    </font>
    <font>
      <b/>
      <sz val="11"/>
      <color rgb="FF002060"/>
      <name val="Century Gothic"/>
      <family val="2"/>
    </font>
    <font>
      <b/>
      <sz val="11"/>
      <color theme="3" tint="0.39997558519241921"/>
      <name val="Century Gothic"/>
      <family val="2"/>
    </font>
    <font>
      <b/>
      <sz val="10"/>
      <color theme="3" tint="-0.249977111117893"/>
      <name val="Arial"/>
      <family val="2"/>
    </font>
    <font>
      <sz val="10"/>
      <color theme="1"/>
      <name val="Arial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mbria"/>
      <family val="1"/>
      <charset val="204"/>
      <scheme val="major"/>
    </font>
    <font>
      <b/>
      <sz val="10"/>
      <color theme="1"/>
      <name val="Arial"/>
      <family val="2"/>
    </font>
    <font>
      <b/>
      <sz val="10"/>
      <color theme="0" tint="-0.34998626667073579"/>
      <name val="Arial"/>
      <family val="2"/>
    </font>
    <font>
      <sz val="10"/>
      <color theme="3" tint="0.39997558519241921"/>
      <name val="Cambria"/>
      <family val="1"/>
      <charset val="186"/>
      <scheme val="major"/>
    </font>
    <font>
      <sz val="11"/>
      <color theme="3" tint="0.39997558519241921"/>
      <name val="Cambria"/>
      <family val="1"/>
    </font>
    <font>
      <i/>
      <sz val="8"/>
      <color rgb="FF696969"/>
      <name val="Century Gothic"/>
      <family val="2"/>
    </font>
    <font>
      <i/>
      <sz val="8"/>
      <color rgb="FF696969"/>
      <name val="Arial"/>
      <family val="2"/>
    </font>
    <font>
      <i/>
      <sz val="8"/>
      <color rgb="FF0F243E"/>
      <name val="Arial"/>
      <family val="2"/>
    </font>
    <font>
      <sz val="8"/>
      <name val="Arial"/>
      <family val="2"/>
    </font>
    <font>
      <b/>
      <sz val="10"/>
      <color theme="0"/>
      <name val="Century Gothic"/>
      <family val="2"/>
    </font>
    <font>
      <sz val="11"/>
      <color theme="0"/>
      <name val="Cambria"/>
      <family val="1"/>
      <charset val="186"/>
      <scheme val="major"/>
    </font>
    <font>
      <sz val="11"/>
      <color theme="9" tint="0.39997558519241921"/>
      <name val="Cambria"/>
      <family val="1"/>
      <charset val="186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4462"/>
        <bgColor indexed="64"/>
      </patternFill>
    </fill>
    <fill>
      <patternFill patternType="solid">
        <fgColor rgb="FFDC965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  <bgColor indexed="2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rgb="FFDDD9C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3" fillId="0" borderId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488">
    <xf numFmtId="0" fontId="0" fillId="0" borderId="0" xfId="0"/>
    <xf numFmtId="0" fontId="0" fillId="2" borderId="0" xfId="0" applyFill="1"/>
    <xf numFmtId="0" fontId="24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25" fillId="2" borderId="0" xfId="0" applyFont="1" applyFill="1" applyProtection="1">
      <protection hidden="1"/>
    </xf>
    <xf numFmtId="0" fontId="12" fillId="2" borderId="0" xfId="0" applyFont="1" applyFill="1" applyAlignment="1" applyProtection="1">
      <alignment vertical="center"/>
      <protection hidden="1"/>
    </xf>
    <xf numFmtId="38" fontId="26" fillId="3" borderId="1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/>
    </xf>
    <xf numFmtId="0" fontId="15" fillId="2" borderId="0" xfId="0" applyFont="1" applyFill="1" applyProtection="1">
      <protection hidden="1"/>
    </xf>
    <xf numFmtId="0" fontId="26" fillId="4" borderId="1" xfId="0" applyFont="1" applyFill="1" applyBorder="1" applyProtection="1">
      <protection hidden="1"/>
    </xf>
    <xf numFmtId="38" fontId="26" fillId="4" borderId="1" xfId="0" applyNumberFormat="1" applyFont="1" applyFill="1" applyBorder="1" applyAlignment="1" applyProtection="1">
      <alignment horizontal="center"/>
      <protection hidden="1"/>
    </xf>
    <xf numFmtId="3" fontId="26" fillId="4" borderId="1" xfId="0" applyNumberFormat="1" applyFont="1" applyFill="1" applyBorder="1" applyAlignment="1" applyProtection="1">
      <alignment horizontal="center"/>
      <protection hidden="1"/>
    </xf>
    <xf numFmtId="3" fontId="15" fillId="2" borderId="0" xfId="0" applyNumberFormat="1" applyFont="1" applyFill="1" applyAlignment="1" applyProtection="1">
      <alignment horizontal="center"/>
      <protection hidden="1"/>
    </xf>
    <xf numFmtId="0" fontId="27" fillId="5" borderId="0" xfId="0" applyFont="1" applyFill="1" applyAlignment="1">
      <alignment horizontal="left" indent="1"/>
    </xf>
    <xf numFmtId="0" fontId="27" fillId="5" borderId="0" xfId="0" applyFont="1" applyFill="1" applyAlignment="1" applyProtection="1">
      <alignment horizontal="left" indent="1"/>
      <protection locked="0"/>
    </xf>
    <xf numFmtId="0" fontId="28" fillId="5" borderId="2" xfId="0" applyFont="1" applyFill="1" applyBorder="1" applyAlignment="1" applyProtection="1">
      <alignment horizontal="left" indent="1"/>
      <protection locked="0"/>
    </xf>
    <xf numFmtId="164" fontId="30" fillId="5" borderId="2" xfId="0" applyNumberFormat="1" applyFont="1" applyFill="1" applyBorder="1" applyAlignment="1" applyProtection="1">
      <alignment horizontal="left" indent="1" shrinkToFit="1"/>
      <protection locked="0"/>
    </xf>
    <xf numFmtId="167" fontId="31" fillId="5" borderId="2" xfId="0" applyNumberFormat="1" applyFont="1" applyFill="1" applyBorder="1" applyAlignment="1">
      <alignment horizontal="center" shrinkToFit="1"/>
    </xf>
    <xf numFmtId="167" fontId="29" fillId="5" borderId="2" xfId="0" applyNumberFormat="1" applyFont="1" applyFill="1" applyBorder="1" applyAlignment="1" applyProtection="1">
      <alignment horizontal="center" shrinkToFit="1"/>
      <protection locked="0"/>
    </xf>
    <xf numFmtId="0" fontId="32" fillId="5" borderId="0" xfId="0" applyFont="1" applyFill="1" applyAlignment="1" applyProtection="1">
      <alignment horizontal="left" indent="1" shrinkToFit="1"/>
      <protection locked="0"/>
    </xf>
    <xf numFmtId="165" fontId="33" fillId="5" borderId="0" xfId="2" applyNumberFormat="1" applyFont="1" applyFill="1" applyBorder="1" applyAlignment="1" applyProtection="1">
      <alignment horizontal="center" shrinkToFit="1"/>
      <protection locked="0"/>
    </xf>
    <xf numFmtId="0" fontId="29" fillId="5" borderId="2" xfId="0" applyFont="1" applyFill="1" applyBorder="1" applyAlignment="1" applyProtection="1">
      <alignment horizontal="left" shrinkToFit="1"/>
      <protection locked="0"/>
    </xf>
    <xf numFmtId="0" fontId="27" fillId="5" borderId="0" xfId="0" applyFont="1" applyFill="1" applyAlignment="1" applyProtection="1">
      <alignment horizontal="left" indent="1"/>
      <protection hidden="1"/>
    </xf>
    <xf numFmtId="0" fontId="27" fillId="5" borderId="2" xfId="0" applyFont="1" applyFill="1" applyBorder="1" applyAlignment="1" applyProtection="1">
      <alignment horizontal="left" indent="1"/>
      <protection hidden="1"/>
    </xf>
    <xf numFmtId="38" fontId="27" fillId="5" borderId="2" xfId="0" applyNumberFormat="1" applyFont="1" applyFill="1" applyBorder="1" applyAlignment="1" applyProtection="1">
      <alignment horizontal="right" shrinkToFit="1"/>
      <protection hidden="1"/>
    </xf>
    <xf numFmtId="168" fontId="27" fillId="5" borderId="2" xfId="0" applyNumberFormat="1" applyFont="1" applyFill="1" applyBorder="1" applyAlignment="1" applyProtection="1">
      <alignment horizontal="right" shrinkToFit="1"/>
      <protection hidden="1"/>
    </xf>
    <xf numFmtId="0" fontId="27" fillId="5" borderId="0" xfId="0" applyFont="1" applyFill="1" applyAlignment="1" applyProtection="1">
      <alignment horizontal="left" indent="2"/>
      <protection hidden="1"/>
    </xf>
    <xf numFmtId="0" fontId="34" fillId="5" borderId="0" xfId="0" applyFont="1" applyFill="1" applyAlignment="1" applyProtection="1">
      <alignment horizontal="left" indent="1"/>
      <protection hidden="1"/>
    </xf>
    <xf numFmtId="0" fontId="35" fillId="5" borderId="1" xfId="0" applyFont="1" applyFill="1" applyBorder="1" applyProtection="1">
      <protection hidden="1"/>
    </xf>
    <xf numFmtId="0" fontId="27" fillId="5" borderId="0" xfId="0" applyFont="1" applyFill="1" applyProtection="1">
      <protection hidden="1"/>
    </xf>
    <xf numFmtId="0" fontId="35" fillId="5" borderId="0" xfId="0" applyFont="1" applyFill="1" applyProtection="1">
      <protection hidden="1"/>
    </xf>
    <xf numFmtId="3" fontId="36" fillId="5" borderId="0" xfId="0" applyNumberFormat="1" applyFont="1" applyFill="1" applyProtection="1">
      <protection hidden="1"/>
    </xf>
    <xf numFmtId="168" fontId="36" fillId="5" borderId="0" xfId="0" applyNumberFormat="1" applyFont="1" applyFill="1" applyProtection="1">
      <protection hidden="1"/>
    </xf>
    <xf numFmtId="168" fontId="36" fillId="5" borderId="0" xfId="0" applyNumberFormat="1" applyFont="1" applyFill="1" applyAlignment="1" applyProtection="1">
      <alignment shrinkToFit="1"/>
      <protection hidden="1"/>
    </xf>
    <xf numFmtId="9" fontId="37" fillId="5" borderId="0" xfId="2" applyFont="1" applyFill="1" applyAlignment="1" applyProtection="1">
      <alignment shrinkToFit="1"/>
      <protection hidden="1"/>
    </xf>
    <xf numFmtId="38" fontId="42" fillId="2" borderId="0" xfId="0" applyNumberFormat="1" applyFont="1" applyFill="1" applyAlignment="1" applyProtection="1">
      <alignment horizontal="right" shrinkToFit="1"/>
      <protection hidden="1"/>
    </xf>
    <xf numFmtId="0" fontId="27" fillId="7" borderId="0" xfId="0" applyFont="1" applyFill="1" applyAlignment="1">
      <alignment horizontal="left" indent="1" shrinkToFit="1"/>
    </xf>
    <xf numFmtId="0" fontId="43" fillId="2" borderId="0" xfId="0" applyFont="1" applyFill="1" applyProtection="1">
      <protection hidden="1"/>
    </xf>
    <xf numFmtId="0" fontId="26" fillId="4" borderId="1" xfId="0" applyFont="1" applyFill="1" applyBorder="1" applyAlignment="1">
      <alignment horizontal="center"/>
    </xf>
    <xf numFmtId="4" fontId="26" fillId="4" borderId="3" xfId="0" applyNumberFormat="1" applyFont="1" applyFill="1" applyBorder="1" applyAlignment="1">
      <alignment horizontal="center"/>
    </xf>
    <xf numFmtId="38" fontId="26" fillId="4" borderId="1" xfId="0" applyNumberFormat="1" applyFont="1" applyFill="1" applyBorder="1" applyAlignment="1">
      <alignment horizontal="center"/>
    </xf>
    <xf numFmtId="3" fontId="26" fillId="4" borderId="3" xfId="0" applyNumberFormat="1" applyFont="1" applyFill="1" applyBorder="1" applyAlignment="1">
      <alignment horizontal="center" shrinkToFit="1"/>
    </xf>
    <xf numFmtId="3" fontId="26" fillId="4" borderId="4" xfId="0" applyNumberFormat="1" applyFont="1" applyFill="1" applyBorder="1" applyAlignment="1">
      <alignment horizontal="center" shrinkToFit="1"/>
    </xf>
    <xf numFmtId="3" fontId="26" fillId="4" borderId="1" xfId="0" applyNumberFormat="1" applyFont="1" applyFill="1" applyBorder="1" applyAlignment="1">
      <alignment horizontal="center" shrinkToFit="1"/>
    </xf>
    <xf numFmtId="0" fontId="26" fillId="4" borderId="1" xfId="0" applyFont="1" applyFill="1" applyBorder="1"/>
    <xf numFmtId="0" fontId="44" fillId="4" borderId="1" xfId="0" applyFont="1" applyFill="1" applyBorder="1"/>
    <xf numFmtId="0" fontId="44" fillId="4" borderId="1" xfId="0" applyFont="1" applyFill="1" applyBorder="1" applyAlignment="1">
      <alignment horizontal="center"/>
    </xf>
    <xf numFmtId="3" fontId="26" fillId="4" borderId="1" xfId="0" applyNumberFormat="1" applyFont="1" applyFill="1" applyBorder="1" applyAlignment="1">
      <alignment horizontal="center"/>
    </xf>
    <xf numFmtId="0" fontId="35" fillId="5" borderId="2" xfId="0" applyFont="1" applyFill="1" applyBorder="1"/>
    <xf numFmtId="168" fontId="36" fillId="5" borderId="0" xfId="0" applyNumberFormat="1" applyFont="1" applyFill="1" applyAlignment="1">
      <alignment shrinkToFit="1"/>
    </xf>
    <xf numFmtId="168" fontId="36" fillId="5" borderId="0" xfId="0" applyNumberFormat="1" applyFont="1" applyFill="1" applyAlignment="1">
      <alignment horizontal="right" shrinkToFit="1"/>
    </xf>
    <xf numFmtId="168" fontId="36" fillId="5" borderId="2" xfId="0" applyNumberFormat="1" applyFont="1" applyFill="1" applyBorder="1" applyAlignment="1">
      <alignment shrinkToFit="1"/>
    </xf>
    <xf numFmtId="168" fontId="36" fillId="5" borderId="2" xfId="0" applyNumberFormat="1" applyFont="1" applyFill="1" applyBorder="1" applyAlignment="1">
      <alignment horizontal="right" shrinkToFit="1"/>
    </xf>
    <xf numFmtId="0" fontId="27" fillId="5" borderId="0" xfId="0" applyFont="1" applyFill="1" applyAlignment="1">
      <alignment horizontal="left" indent="2"/>
    </xf>
    <xf numFmtId="0" fontId="27" fillId="5" borderId="5" xfId="0" applyFont="1" applyFill="1" applyBorder="1" applyAlignment="1">
      <alignment horizontal="left" indent="1"/>
    </xf>
    <xf numFmtId="166" fontId="27" fillId="5" borderId="5" xfId="0" applyNumberFormat="1" applyFont="1" applyFill="1" applyBorder="1" applyAlignment="1">
      <alignment shrinkToFit="1"/>
    </xf>
    <xf numFmtId="166" fontId="27" fillId="5" borderId="5" xfId="0" applyNumberFormat="1" applyFont="1" applyFill="1" applyBorder="1" applyAlignment="1">
      <alignment horizontal="center" shrinkToFit="1"/>
    </xf>
    <xf numFmtId="0" fontId="27" fillId="5" borderId="2" xfId="0" applyFont="1" applyFill="1" applyBorder="1" applyAlignment="1">
      <alignment horizontal="left" indent="1"/>
    </xf>
    <xf numFmtId="0" fontId="14" fillId="5" borderId="0" xfId="0" applyFont="1" applyFill="1" applyProtection="1">
      <protection hidden="1"/>
    </xf>
    <xf numFmtId="168" fontId="17" fillId="5" borderId="0" xfId="0" applyNumberFormat="1" applyFont="1" applyFill="1" applyAlignment="1" applyProtection="1">
      <alignment horizontal="right" shrinkToFit="1"/>
      <protection hidden="1"/>
    </xf>
    <xf numFmtId="0" fontId="35" fillId="5" borderId="0" xfId="0" applyFont="1" applyFill="1" applyAlignment="1" applyProtection="1">
      <alignment horizontal="left"/>
      <protection hidden="1"/>
    </xf>
    <xf numFmtId="168" fontId="36" fillId="8" borderId="0" xfId="0" applyNumberFormat="1" applyFont="1" applyFill="1" applyAlignment="1" applyProtection="1">
      <alignment horizontal="right" shrinkToFit="1"/>
      <protection hidden="1"/>
    </xf>
    <xf numFmtId="0" fontId="27" fillId="5" borderId="0" xfId="0" quotePrefix="1" applyFont="1" applyFill="1" applyAlignment="1" applyProtection="1">
      <alignment horizontal="left" indent="1"/>
      <protection hidden="1"/>
    </xf>
    <xf numFmtId="0" fontId="35" fillId="5" borderId="2" xfId="0" applyFont="1" applyFill="1" applyBorder="1" applyAlignment="1" applyProtection="1">
      <alignment horizontal="left"/>
      <protection hidden="1"/>
    </xf>
    <xf numFmtId="0" fontId="13" fillId="5" borderId="0" xfId="0" applyFont="1" applyFill="1" applyProtection="1">
      <protection hidden="1"/>
    </xf>
    <xf numFmtId="168" fontId="36" fillId="5" borderId="2" xfId="0" applyNumberFormat="1" applyFont="1" applyFill="1" applyBorder="1" applyProtection="1">
      <protection hidden="1"/>
    </xf>
    <xf numFmtId="0" fontId="45" fillId="5" borderId="1" xfId="0" applyFont="1" applyFill="1" applyBorder="1" applyAlignment="1">
      <alignment shrinkToFit="1"/>
    </xf>
    <xf numFmtId="0" fontId="32" fillId="5" borderId="0" xfId="0" applyFont="1" applyFill="1" applyAlignment="1" applyProtection="1">
      <alignment horizontal="left" indent="1"/>
      <protection locked="0"/>
    </xf>
    <xf numFmtId="0" fontId="32" fillId="5" borderId="2" xfId="0" applyFont="1" applyFill="1" applyBorder="1" applyAlignment="1" applyProtection="1">
      <alignment horizontal="left"/>
      <protection locked="0"/>
    </xf>
    <xf numFmtId="168" fontId="33" fillId="5" borderId="2" xfId="0" applyNumberFormat="1" applyFont="1" applyFill="1" applyBorder="1" applyAlignment="1" applyProtection="1">
      <alignment horizontal="right"/>
      <protection locked="0"/>
    </xf>
    <xf numFmtId="0" fontId="13" fillId="5" borderId="0" xfId="0" applyFont="1" applyFill="1"/>
    <xf numFmtId="0" fontId="17" fillId="5" borderId="0" xfId="0" applyFont="1" applyFill="1"/>
    <xf numFmtId="0" fontId="27" fillId="5" borderId="2" xfId="0" applyFont="1" applyFill="1" applyBorder="1" applyProtection="1">
      <protection hidden="1"/>
    </xf>
    <xf numFmtId="3" fontId="47" fillId="5" borderId="2" xfId="0" applyNumberFormat="1" applyFont="1" applyFill="1" applyBorder="1" applyProtection="1">
      <protection hidden="1"/>
    </xf>
    <xf numFmtId="0" fontId="48" fillId="5" borderId="0" xfId="0" applyFont="1" applyFill="1" applyAlignment="1">
      <alignment horizontal="left" indent="1" shrinkToFit="1"/>
    </xf>
    <xf numFmtId="0" fontId="49" fillId="5" borderId="0" xfId="0" applyFont="1" applyFill="1"/>
    <xf numFmtId="3" fontId="49" fillId="5" borderId="1" xfId="0" applyNumberFormat="1" applyFont="1" applyFill="1" applyBorder="1" applyAlignment="1">
      <alignment shrinkToFit="1"/>
    </xf>
    <xf numFmtId="0" fontId="50" fillId="5" borderId="0" xfId="0" applyFont="1" applyFill="1" applyAlignment="1">
      <alignment horizontal="left" indent="1" shrinkToFit="1"/>
    </xf>
    <xf numFmtId="3" fontId="49" fillId="5" borderId="0" xfId="0" applyNumberFormat="1" applyFont="1" applyFill="1" applyAlignment="1">
      <alignment shrinkToFit="1"/>
    </xf>
    <xf numFmtId="0" fontId="48" fillId="5" borderId="0" xfId="0" applyFont="1" applyFill="1" applyAlignment="1">
      <alignment shrinkToFit="1"/>
    </xf>
    <xf numFmtId="0" fontId="48" fillId="5" borderId="2" xfId="0" applyFont="1" applyFill="1" applyBorder="1" applyAlignment="1">
      <alignment shrinkToFit="1"/>
    </xf>
    <xf numFmtId="0" fontId="49" fillId="5" borderId="2" xfId="0" applyFont="1" applyFill="1" applyBorder="1"/>
    <xf numFmtId="0" fontId="32" fillId="5" borderId="0" xfId="0" applyFont="1" applyFill="1" applyAlignment="1">
      <alignment horizontal="left" indent="1" shrinkToFit="1"/>
    </xf>
    <xf numFmtId="3" fontId="33" fillId="8" borderId="0" xfId="0" applyNumberFormat="1" applyFont="1" applyFill="1" applyAlignment="1">
      <alignment shrinkToFit="1"/>
    </xf>
    <xf numFmtId="3" fontId="36" fillId="8" borderId="0" xfId="0" applyNumberFormat="1" applyFont="1" applyFill="1" applyAlignment="1">
      <alignment shrinkToFit="1"/>
    </xf>
    <xf numFmtId="0" fontId="32" fillId="5" borderId="2" xfId="0" applyFont="1" applyFill="1" applyBorder="1" applyAlignment="1">
      <alignment horizontal="left" indent="1" shrinkToFit="1"/>
    </xf>
    <xf numFmtId="3" fontId="36" fillId="8" borderId="2" xfId="0" applyNumberFormat="1" applyFont="1" applyFill="1" applyBorder="1" applyAlignment="1">
      <alignment shrinkToFit="1"/>
    </xf>
    <xf numFmtId="0" fontId="27" fillId="5" borderId="0" xfId="0" applyFont="1" applyFill="1" applyAlignment="1">
      <alignment horizontal="left" shrinkToFit="1"/>
    </xf>
    <xf numFmtId="3" fontId="36" fillId="5" borderId="0" xfId="0" applyNumberFormat="1" applyFont="1" applyFill="1" applyAlignment="1">
      <alignment shrinkToFit="1"/>
    </xf>
    <xf numFmtId="0" fontId="27" fillId="5" borderId="0" xfId="0" applyFont="1" applyFill="1" applyAlignment="1" applyProtection="1">
      <alignment horizontal="left" indent="1" shrinkToFit="1"/>
      <protection locked="0"/>
    </xf>
    <xf numFmtId="0" fontId="32" fillId="5" borderId="2" xfId="0" applyFont="1" applyFill="1" applyBorder="1" applyAlignment="1" applyProtection="1">
      <alignment horizontal="left" shrinkToFit="1"/>
      <protection locked="0"/>
    </xf>
    <xf numFmtId="3" fontId="29" fillId="5" borderId="2" xfId="0" applyNumberFormat="1" applyFont="1" applyFill="1" applyBorder="1" applyAlignment="1" applyProtection="1">
      <alignment shrinkToFit="1"/>
      <protection locked="0"/>
    </xf>
    <xf numFmtId="0" fontId="51" fillId="5" borderId="0" xfId="0" applyFont="1" applyFill="1" applyAlignment="1">
      <alignment horizontal="left" indent="1"/>
    </xf>
    <xf numFmtId="0" fontId="51" fillId="5" borderId="1" xfId="0" applyFont="1" applyFill="1" applyBorder="1" applyAlignment="1" applyProtection="1">
      <alignment vertical="center" shrinkToFit="1"/>
      <protection hidden="1"/>
    </xf>
    <xf numFmtId="0" fontId="35" fillId="5" borderId="5" xfId="0" applyFont="1" applyFill="1" applyBorder="1"/>
    <xf numFmtId="0" fontId="35" fillId="5" borderId="0" xfId="0" applyFont="1" applyFill="1"/>
    <xf numFmtId="0" fontId="35" fillId="5" borderId="5" xfId="0" applyFont="1" applyFill="1" applyBorder="1" applyProtection="1">
      <protection hidden="1"/>
    </xf>
    <xf numFmtId="0" fontId="35" fillId="5" borderId="2" xfId="0" applyFont="1" applyFill="1" applyBorder="1" applyProtection="1">
      <protection hidden="1"/>
    </xf>
    <xf numFmtId="0" fontId="13" fillId="5" borderId="2" xfId="0" applyFont="1" applyFill="1" applyBorder="1" applyAlignment="1">
      <alignment shrinkToFit="1"/>
    </xf>
    <xf numFmtId="168" fontId="17" fillId="5" borderId="2" xfId="0" applyNumberFormat="1" applyFont="1" applyFill="1" applyBorder="1" applyAlignment="1">
      <alignment horizontal="center" shrinkToFit="1"/>
    </xf>
    <xf numFmtId="168" fontId="17" fillId="5" borderId="2" xfId="0" applyNumberFormat="1" applyFont="1" applyFill="1" applyBorder="1" applyAlignment="1">
      <alignment shrinkToFit="1"/>
    </xf>
    <xf numFmtId="0" fontId="52" fillId="5" borderId="2" xfId="0" applyFont="1" applyFill="1" applyBorder="1" applyAlignment="1">
      <alignment horizontal="left" shrinkToFit="1"/>
    </xf>
    <xf numFmtId="3" fontId="53" fillId="5" borderId="2" xfId="0" applyNumberFormat="1" applyFont="1" applyFill="1" applyBorder="1" applyAlignment="1">
      <alignment horizontal="center" shrinkToFit="1"/>
    </xf>
    <xf numFmtId="3" fontId="17" fillId="5" borderId="2" xfId="0" applyNumberFormat="1" applyFont="1" applyFill="1" applyBorder="1" applyAlignment="1">
      <alignment shrinkToFit="1"/>
    </xf>
    <xf numFmtId="0" fontId="32" fillId="5" borderId="2" xfId="0" applyFont="1" applyFill="1" applyBorder="1" applyAlignment="1" applyProtection="1">
      <alignment shrinkToFit="1"/>
      <protection locked="0"/>
    </xf>
    <xf numFmtId="3" fontId="33" fillId="5" borderId="2" xfId="0" applyNumberFormat="1" applyFont="1" applyFill="1" applyBorder="1" applyAlignment="1" applyProtection="1">
      <alignment horizontal="center" shrinkToFit="1"/>
      <protection locked="0"/>
    </xf>
    <xf numFmtId="3" fontId="33" fillId="5" borderId="2" xfId="0" applyNumberFormat="1" applyFont="1" applyFill="1" applyBorder="1" applyAlignment="1" applyProtection="1">
      <alignment shrinkToFit="1"/>
      <protection locked="0"/>
    </xf>
    <xf numFmtId="0" fontId="27" fillId="5" borderId="0" xfId="0" applyFont="1" applyFill="1" applyAlignment="1">
      <alignment horizontal="left" indent="1" shrinkToFit="1"/>
    </xf>
    <xf numFmtId="165" fontId="33" fillId="5" borderId="0" xfId="2" applyNumberFormat="1" applyFont="1" applyFill="1" applyAlignment="1" applyProtection="1">
      <alignment horizontal="center" shrinkToFit="1"/>
      <protection locked="0"/>
    </xf>
    <xf numFmtId="0" fontId="50" fillId="5" borderId="2" xfId="0" applyFont="1" applyFill="1" applyBorder="1" applyAlignment="1">
      <alignment shrinkToFit="1"/>
    </xf>
    <xf numFmtId="165" fontId="33" fillId="5" borderId="2" xfId="2" applyNumberFormat="1" applyFont="1" applyFill="1" applyBorder="1" applyAlignment="1" applyProtection="1">
      <alignment horizontal="center" shrinkToFit="1"/>
      <protection locked="0"/>
    </xf>
    <xf numFmtId="3" fontId="49" fillId="5" borderId="2" xfId="0" applyNumberFormat="1" applyFont="1" applyFill="1" applyBorder="1" applyAlignment="1">
      <alignment shrinkToFit="1"/>
    </xf>
    <xf numFmtId="0" fontId="27" fillId="5" borderId="0" xfId="0" applyFont="1" applyFill="1" applyAlignment="1">
      <alignment shrinkToFit="1"/>
    </xf>
    <xf numFmtId="0" fontId="27" fillId="5" borderId="2" xfId="0" applyFont="1" applyFill="1" applyBorder="1" applyAlignment="1">
      <alignment shrinkToFit="1"/>
    </xf>
    <xf numFmtId="0" fontId="24" fillId="5" borderId="0" xfId="0" applyFont="1" applyFill="1" applyAlignment="1">
      <alignment shrinkToFit="1"/>
    </xf>
    <xf numFmtId="0" fontId="24" fillId="5" borderId="2" xfId="0" applyFont="1" applyFill="1" applyBorder="1" applyAlignment="1">
      <alignment shrinkToFit="1"/>
    </xf>
    <xf numFmtId="0" fontId="27" fillId="5" borderId="5" xfId="0" applyFont="1" applyFill="1" applyBorder="1" applyAlignment="1">
      <alignment shrinkToFit="1"/>
    </xf>
    <xf numFmtId="0" fontId="24" fillId="5" borderId="5" xfId="0" applyFont="1" applyFill="1" applyBorder="1" applyAlignment="1">
      <alignment shrinkToFit="1"/>
    </xf>
    <xf numFmtId="0" fontId="55" fillId="5" borderId="2" xfId="0" applyFont="1" applyFill="1" applyBorder="1" applyAlignment="1">
      <alignment horizontal="center" shrinkToFit="1"/>
    </xf>
    <xf numFmtId="0" fontId="35" fillId="5" borderId="2" xfId="0" applyFont="1" applyFill="1" applyBorder="1" applyAlignment="1">
      <alignment shrinkToFit="1"/>
    </xf>
    <xf numFmtId="0" fontId="54" fillId="5" borderId="2" xfId="0" applyFont="1" applyFill="1" applyBorder="1" applyAlignment="1">
      <alignment horizontal="center" shrinkToFit="1"/>
    </xf>
    <xf numFmtId="0" fontId="35" fillId="5" borderId="5" xfId="0" applyFont="1" applyFill="1" applyBorder="1" applyAlignment="1">
      <alignment shrinkToFit="1"/>
    </xf>
    <xf numFmtId="0" fontId="54" fillId="5" borderId="5" xfId="0" applyFont="1" applyFill="1" applyBorder="1" applyAlignment="1">
      <alignment horizontal="center" shrinkToFit="1"/>
    </xf>
    <xf numFmtId="0" fontId="54" fillId="5" borderId="0" xfId="0" applyFont="1" applyFill="1" applyAlignment="1" applyProtection="1">
      <alignment horizontal="center" shrinkToFit="1"/>
      <protection locked="0"/>
    </xf>
    <xf numFmtId="0" fontId="35" fillId="5" borderId="0" xfId="0" applyFont="1" applyFill="1" applyAlignment="1">
      <alignment shrinkToFit="1"/>
    </xf>
    <xf numFmtId="0" fontId="54" fillId="5" borderId="0" xfId="0" applyFont="1" applyFill="1" applyAlignment="1">
      <alignment horizontal="center" shrinkToFit="1"/>
    </xf>
    <xf numFmtId="0" fontId="32" fillId="5" borderId="2" xfId="0" applyFont="1" applyFill="1" applyBorder="1" applyAlignment="1" applyProtection="1">
      <alignment horizontal="left" indent="1" shrinkToFit="1"/>
      <protection locked="0"/>
    </xf>
    <xf numFmtId="168" fontId="54" fillId="5" borderId="2" xfId="0" applyNumberFormat="1" applyFont="1" applyFill="1" applyBorder="1" applyAlignment="1">
      <alignment horizontal="center" shrinkToFit="1"/>
    </xf>
    <xf numFmtId="0" fontId="35" fillId="9" borderId="1" xfId="0" applyFont="1" applyFill="1" applyBorder="1" applyProtection="1">
      <protection hidden="1"/>
    </xf>
    <xf numFmtId="0" fontId="58" fillId="9" borderId="7" xfId="0" applyFont="1" applyFill="1" applyBorder="1" applyProtection="1">
      <protection hidden="1"/>
    </xf>
    <xf numFmtId="0" fontId="56" fillId="9" borderId="7" xfId="0" applyFont="1" applyFill="1" applyBorder="1" applyProtection="1">
      <protection hidden="1"/>
    </xf>
    <xf numFmtId="0" fontId="56" fillId="9" borderId="8" xfId="0" applyFont="1" applyFill="1" applyBorder="1" applyProtection="1">
      <protection hidden="1"/>
    </xf>
    <xf numFmtId="0" fontId="58" fillId="9" borderId="1" xfId="0" applyFont="1" applyFill="1" applyBorder="1"/>
    <xf numFmtId="168" fontId="59" fillId="9" borderId="1" xfId="0" applyNumberFormat="1" applyFont="1" applyFill="1" applyBorder="1" applyAlignment="1">
      <alignment horizontal="right" shrinkToFit="1"/>
    </xf>
    <xf numFmtId="0" fontId="58" fillId="9" borderId="1" xfId="0" applyFont="1" applyFill="1" applyBorder="1" applyProtection="1">
      <protection hidden="1"/>
    </xf>
    <xf numFmtId="0" fontId="58" fillId="9" borderId="1" xfId="0" applyFont="1" applyFill="1" applyBorder="1" applyAlignment="1">
      <alignment shrinkToFit="1"/>
    </xf>
    <xf numFmtId="3" fontId="59" fillId="9" borderId="1" xfId="0" applyNumberFormat="1" applyFont="1" applyFill="1" applyBorder="1" applyAlignment="1">
      <alignment shrinkToFit="1"/>
    </xf>
    <xf numFmtId="3" fontId="59" fillId="9" borderId="1" xfId="0" applyNumberFormat="1" applyFont="1" applyFill="1" applyBorder="1" applyAlignment="1" applyProtection="1">
      <alignment shrinkToFit="1"/>
      <protection locked="0"/>
    </xf>
    <xf numFmtId="0" fontId="58" fillId="9" borderId="1" xfId="0" applyFont="1" applyFill="1" applyBorder="1" applyAlignment="1" applyProtection="1">
      <alignment vertical="center" shrinkToFit="1"/>
      <protection hidden="1"/>
    </xf>
    <xf numFmtId="38" fontId="58" fillId="9" borderId="5" xfId="0" applyNumberFormat="1" applyFont="1" applyFill="1" applyBorder="1" applyAlignment="1">
      <alignment horizontal="left" shrinkToFit="1"/>
    </xf>
    <xf numFmtId="38" fontId="59" fillId="9" borderId="1" xfId="0" applyNumberFormat="1" applyFont="1" applyFill="1" applyBorder="1" applyAlignment="1">
      <alignment horizontal="center" shrinkToFit="1"/>
    </xf>
    <xf numFmtId="38" fontId="60" fillId="9" borderId="1" xfId="0" applyNumberFormat="1" applyFont="1" applyFill="1" applyBorder="1" applyAlignment="1">
      <alignment horizontal="center" shrinkToFit="1"/>
    </xf>
    <xf numFmtId="168" fontId="58" fillId="9" borderId="1" xfId="0" applyNumberFormat="1" applyFont="1" applyFill="1" applyBorder="1" applyAlignment="1">
      <alignment horizontal="left" shrinkToFit="1"/>
    </xf>
    <xf numFmtId="38" fontId="59" fillId="9" borderId="1" xfId="0" applyNumberFormat="1" applyFont="1" applyFill="1" applyBorder="1" applyAlignment="1">
      <alignment horizontal="right" shrinkToFit="1"/>
    </xf>
    <xf numFmtId="0" fontId="61" fillId="0" borderId="0" xfId="0" applyFont="1"/>
    <xf numFmtId="3" fontId="62" fillId="6" borderId="2" xfId="0" applyNumberFormat="1" applyFont="1" applyFill="1" applyBorder="1" applyAlignment="1" applyProtection="1">
      <alignment horizontal="center"/>
      <protection hidden="1"/>
    </xf>
    <xf numFmtId="3" fontId="64" fillId="6" borderId="2" xfId="0" applyNumberFormat="1" applyFont="1" applyFill="1" applyBorder="1" applyAlignment="1">
      <alignment horizontal="center" shrinkToFit="1"/>
    </xf>
    <xf numFmtId="0" fontId="61" fillId="0" borderId="0" xfId="0" applyFont="1" applyAlignment="1">
      <alignment horizontal="right"/>
    </xf>
    <xf numFmtId="0" fontId="13" fillId="0" borderId="0" xfId="0" applyFont="1"/>
    <xf numFmtId="0" fontId="15" fillId="0" borderId="0" xfId="0" applyFont="1" applyProtection="1">
      <protection hidden="1"/>
    </xf>
    <xf numFmtId="0" fontId="15" fillId="0" borderId="0" xfId="0" applyFont="1"/>
    <xf numFmtId="3" fontId="15" fillId="0" borderId="0" xfId="0" applyNumberFormat="1" applyFont="1" applyAlignment="1" applyProtection="1">
      <alignment horizontal="center"/>
      <protection hidden="1"/>
    </xf>
    <xf numFmtId="0" fontId="65" fillId="0" borderId="0" xfId="0" applyFont="1" applyProtection="1">
      <protection hidden="1"/>
    </xf>
    <xf numFmtId="38" fontId="65" fillId="0" borderId="0" xfId="0" applyNumberFormat="1" applyFont="1" applyAlignment="1" applyProtection="1">
      <alignment horizontal="right"/>
      <protection hidden="1"/>
    </xf>
    <xf numFmtId="3" fontId="65" fillId="0" borderId="0" xfId="0" applyNumberFormat="1" applyFont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38" fontId="14" fillId="0" borderId="0" xfId="0" applyNumberFormat="1" applyFont="1" applyAlignment="1" applyProtection="1">
      <alignment horizontal="center"/>
      <protection hidden="1"/>
    </xf>
    <xf numFmtId="0" fontId="16" fillId="0" borderId="0" xfId="0" applyFont="1"/>
    <xf numFmtId="3" fontId="66" fillId="0" borderId="0" xfId="0" applyNumberFormat="1" applyFont="1"/>
    <xf numFmtId="0" fontId="66" fillId="0" borderId="0" xfId="0" applyFont="1"/>
    <xf numFmtId="0" fontId="66" fillId="0" borderId="0" xfId="0" applyFont="1" applyAlignment="1">
      <alignment horizontal="right"/>
    </xf>
    <xf numFmtId="38" fontId="61" fillId="0" borderId="0" xfId="0" applyNumberFormat="1" applyFont="1" applyAlignment="1">
      <alignment horizontal="right"/>
    </xf>
    <xf numFmtId="3" fontId="61" fillId="0" borderId="0" xfId="0" applyNumberFormat="1" applyFont="1"/>
    <xf numFmtId="0" fontId="61" fillId="0" borderId="0" xfId="0" applyFont="1" applyAlignment="1">
      <alignment horizontal="center"/>
    </xf>
    <xf numFmtId="3" fontId="61" fillId="0" borderId="0" xfId="0" applyNumberFormat="1" applyFont="1" applyAlignment="1">
      <alignment horizontal="right"/>
    </xf>
    <xf numFmtId="9" fontId="61" fillId="0" borderId="0" xfId="2" applyFont="1" applyFill="1"/>
    <xf numFmtId="9" fontId="61" fillId="0" borderId="0" xfId="2" applyFont="1" applyFill="1" applyAlignment="1">
      <alignment horizontal="right"/>
    </xf>
    <xf numFmtId="3" fontId="61" fillId="0" borderId="0" xfId="0" applyNumberFormat="1" applyFont="1" applyAlignment="1">
      <alignment shrinkToFit="1"/>
    </xf>
    <xf numFmtId="0" fontId="61" fillId="0" borderId="0" xfId="0" applyFont="1" applyAlignment="1">
      <alignment shrinkToFit="1"/>
    </xf>
    <xf numFmtId="0" fontId="61" fillId="0" borderId="0" xfId="0" applyFont="1" applyAlignment="1">
      <alignment horizontal="center" shrinkToFit="1"/>
    </xf>
    <xf numFmtId="3" fontId="61" fillId="0" borderId="0" xfId="0" applyNumberFormat="1" applyFont="1" applyAlignment="1">
      <alignment horizontal="right" shrinkToFit="1"/>
    </xf>
    <xf numFmtId="0" fontId="3" fillId="0" borderId="0" xfId="0" applyFont="1" applyProtection="1">
      <protection hidden="1"/>
    </xf>
    <xf numFmtId="0" fontId="13" fillId="0" borderId="0" xfId="0" applyFont="1" applyProtection="1">
      <protection hidden="1"/>
    </xf>
    <xf numFmtId="3" fontId="3" fillId="0" borderId="0" xfId="0" applyNumberFormat="1" applyFont="1" applyProtection="1">
      <protection hidden="1"/>
    </xf>
    <xf numFmtId="3" fontId="4" fillId="0" borderId="0" xfId="0" applyNumberFormat="1" applyFont="1" applyAlignment="1" applyProtection="1">
      <alignment horizontal="center"/>
      <protection hidden="1"/>
    </xf>
    <xf numFmtId="3" fontId="3" fillId="0" borderId="0" xfId="0" applyNumberFormat="1" applyFont="1" applyAlignment="1" applyProtection="1">
      <alignment horizontal="right"/>
      <protection hidden="1"/>
    </xf>
    <xf numFmtId="0" fontId="26" fillId="0" borderId="1" xfId="0" applyFont="1" applyBorder="1" applyProtection="1">
      <protection hidden="1"/>
    </xf>
    <xf numFmtId="38" fontId="44" fillId="0" borderId="1" xfId="0" applyNumberFormat="1" applyFont="1" applyBorder="1" applyAlignment="1" applyProtection="1">
      <alignment horizontal="center"/>
      <protection hidden="1"/>
    </xf>
    <xf numFmtId="3" fontId="44" fillId="0" borderId="1" xfId="0" applyNumberFormat="1" applyFont="1" applyBorder="1" applyAlignment="1" applyProtection="1">
      <alignment horizontal="center"/>
      <protection hidden="1"/>
    </xf>
    <xf numFmtId="0" fontId="24" fillId="0" borderId="0" xfId="0" applyFont="1" applyProtection="1">
      <protection hidden="1"/>
    </xf>
    <xf numFmtId="0" fontId="54" fillId="0" borderId="0" xfId="0" applyFont="1" applyProtection="1">
      <protection hidden="1"/>
    </xf>
    <xf numFmtId="38" fontId="24" fillId="0" borderId="0" xfId="0" applyNumberFormat="1" applyFont="1" applyAlignment="1" applyProtection="1">
      <alignment horizontal="right"/>
      <protection hidden="1"/>
    </xf>
    <xf numFmtId="0" fontId="68" fillId="0" borderId="0" xfId="0" applyFont="1" applyProtection="1">
      <protection hidden="1"/>
    </xf>
    <xf numFmtId="0" fontId="42" fillId="0" borderId="0" xfId="0" applyFont="1" applyProtection="1">
      <protection hidden="1"/>
    </xf>
    <xf numFmtId="0" fontId="62" fillId="0" borderId="0" xfId="0" applyFont="1" applyAlignment="1" applyProtection="1">
      <alignment horizontal="center"/>
      <protection hidden="1"/>
    </xf>
    <xf numFmtId="38" fontId="62" fillId="0" borderId="0" xfId="0" applyNumberFormat="1" applyFont="1" applyAlignment="1" applyProtection="1">
      <alignment horizontal="center"/>
      <protection hidden="1"/>
    </xf>
    <xf numFmtId="0" fontId="43" fillId="0" borderId="0" xfId="0" applyFont="1" applyProtection="1">
      <protection hidden="1"/>
    </xf>
    <xf numFmtId="38" fontId="68" fillId="0" borderId="0" xfId="0" applyNumberFormat="1" applyFont="1" applyAlignment="1" applyProtection="1">
      <alignment horizontal="right"/>
      <protection hidden="1"/>
    </xf>
    <xf numFmtId="38" fontId="69" fillId="0" borderId="0" xfId="0" applyNumberFormat="1" applyFont="1" applyAlignment="1" applyProtection="1">
      <alignment horizontal="center"/>
      <protection hidden="1"/>
    </xf>
    <xf numFmtId="49" fontId="24" fillId="0" borderId="0" xfId="0" applyNumberFormat="1" applyFont="1" applyAlignment="1" applyProtection="1">
      <alignment horizontal="left"/>
      <protection hidden="1"/>
    </xf>
    <xf numFmtId="38" fontId="26" fillId="3" borderId="0" xfId="0" applyNumberFormat="1" applyFont="1" applyFill="1" applyAlignment="1">
      <alignment horizontal="center" vertical="center"/>
    </xf>
    <xf numFmtId="0" fontId="73" fillId="3" borderId="7" xfId="0" applyFont="1" applyFill="1" applyBorder="1" applyAlignment="1">
      <alignment horizontal="centerContinuous"/>
    </xf>
    <xf numFmtId="0" fontId="14" fillId="4" borderId="2" xfId="0" applyFont="1" applyFill="1" applyBorder="1" applyAlignment="1">
      <alignment horizontal="centerContinuous"/>
    </xf>
    <xf numFmtId="0" fontId="14" fillId="4" borderId="0" xfId="0" applyFont="1" applyFill="1" applyAlignment="1">
      <alignment horizontal="centerContinuous"/>
    </xf>
    <xf numFmtId="0" fontId="74" fillId="9" borderId="2" xfId="0" applyFont="1" applyFill="1" applyBorder="1" applyAlignment="1">
      <alignment shrinkToFit="1"/>
    </xf>
    <xf numFmtId="38" fontId="74" fillId="9" borderId="2" xfId="0" applyNumberFormat="1" applyFont="1" applyFill="1" applyBorder="1"/>
    <xf numFmtId="0" fontId="3" fillId="0" borderId="0" xfId="0" applyFont="1"/>
    <xf numFmtId="0" fontId="4" fillId="0" borderId="0" xfId="0" applyFont="1"/>
    <xf numFmtId="0" fontId="75" fillId="0" borderId="0" xfId="0" applyFont="1"/>
    <xf numFmtId="0" fontId="26" fillId="0" borderId="1" xfId="0" applyFont="1" applyBorder="1" applyAlignment="1">
      <alignment horizontal="center"/>
    </xf>
    <xf numFmtId="0" fontId="76" fillId="0" borderId="1" xfId="0" applyFont="1" applyBorder="1" applyAlignment="1">
      <alignment horizontal="center"/>
    </xf>
    <xf numFmtId="38" fontId="44" fillId="0" borderId="1" xfId="0" applyNumberFormat="1" applyFont="1" applyBorder="1" applyAlignment="1">
      <alignment horizontal="center"/>
    </xf>
    <xf numFmtId="0" fontId="22" fillId="0" borderId="0" xfId="0" applyFont="1"/>
    <xf numFmtId="0" fontId="19" fillId="0" borderId="0" xfId="0" applyFont="1"/>
    <xf numFmtId="3" fontId="78" fillId="9" borderId="2" xfId="0" applyNumberFormat="1" applyFont="1" applyFill="1" applyBorder="1" applyAlignment="1">
      <alignment shrinkToFit="1"/>
    </xf>
    <xf numFmtId="0" fontId="17" fillId="0" borderId="0" xfId="0" applyFont="1"/>
    <xf numFmtId="3" fontId="36" fillId="10" borderId="0" xfId="0" applyNumberFormat="1" applyFont="1" applyFill="1" applyAlignment="1">
      <alignment shrinkToFit="1"/>
    </xf>
    <xf numFmtId="0" fontId="62" fillId="0" borderId="0" xfId="0" applyFont="1" applyAlignment="1">
      <alignment horizontal="center"/>
    </xf>
    <xf numFmtId="0" fontId="79" fillId="0" borderId="0" xfId="0" applyFont="1"/>
    <xf numFmtId="38" fontId="62" fillId="0" borderId="0" xfId="0" applyNumberFormat="1" applyFont="1" applyAlignment="1">
      <alignment horizontal="center"/>
    </xf>
    <xf numFmtId="38" fontId="61" fillId="0" borderId="0" xfId="0" applyNumberFormat="1" applyFont="1"/>
    <xf numFmtId="0" fontId="0" fillId="0" borderId="0" xfId="0" applyProtection="1">
      <protection hidden="1"/>
    </xf>
    <xf numFmtId="0" fontId="22" fillId="0" borderId="0" xfId="0" applyFont="1" applyProtection="1">
      <protection hidden="1"/>
    </xf>
    <xf numFmtId="38" fontId="6" fillId="0" borderId="0" xfId="0" applyNumberFormat="1" applyFont="1" applyAlignment="1" applyProtection="1">
      <alignment horizontal="right"/>
      <protection hidden="1"/>
    </xf>
    <xf numFmtId="0" fontId="25" fillId="0" borderId="0" xfId="0" applyFont="1" applyProtection="1">
      <protection hidden="1"/>
    </xf>
    <xf numFmtId="38" fontId="75" fillId="0" borderId="0" xfId="0" applyNumberFormat="1" applyFont="1" applyAlignment="1" applyProtection="1">
      <alignment horizontal="right" shrinkToFit="1"/>
      <protection hidden="1"/>
    </xf>
    <xf numFmtId="0" fontId="35" fillId="0" borderId="0" xfId="0" applyFont="1"/>
    <xf numFmtId="38" fontId="70" fillId="0" borderId="0" xfId="0" applyNumberFormat="1" applyFont="1" applyAlignment="1">
      <alignment horizontal="right" shrinkToFit="1"/>
    </xf>
    <xf numFmtId="0" fontId="24" fillId="0" borderId="0" xfId="0" applyFont="1" applyAlignment="1">
      <alignment shrinkToFit="1"/>
    </xf>
    <xf numFmtId="38" fontId="75" fillId="0" borderId="0" xfId="0" applyNumberFormat="1" applyFont="1" applyAlignment="1" applyProtection="1">
      <alignment horizontal="right"/>
      <protection hidden="1"/>
    </xf>
    <xf numFmtId="38" fontId="42" fillId="0" borderId="0" xfId="0" applyNumberFormat="1" applyFont="1" applyAlignment="1" applyProtection="1">
      <alignment horizontal="right"/>
      <protection hidden="1"/>
    </xf>
    <xf numFmtId="0" fontId="17" fillId="0" borderId="0" xfId="0" applyFont="1" applyAlignment="1" applyProtection="1">
      <alignment shrinkToFit="1"/>
      <protection hidden="1"/>
    </xf>
    <xf numFmtId="0" fontId="24" fillId="0" borderId="0" xfId="0" applyFont="1" applyAlignment="1" applyProtection="1">
      <alignment shrinkToFit="1"/>
      <protection hidden="1"/>
    </xf>
    <xf numFmtId="0" fontId="7" fillId="0" borderId="0" xfId="0" applyFont="1"/>
    <xf numFmtId="0" fontId="25" fillId="0" borderId="0" xfId="0" applyFont="1"/>
    <xf numFmtId="0" fontId="10" fillId="0" borderId="0" xfId="0" applyFont="1" applyAlignment="1">
      <alignment horizontal="center"/>
    </xf>
    <xf numFmtId="0" fontId="21" fillId="0" borderId="0" xfId="0" applyFont="1"/>
    <xf numFmtId="0" fontId="6" fillId="0" borderId="0" xfId="0" applyFont="1"/>
    <xf numFmtId="38" fontId="6" fillId="0" borderId="0" xfId="0" applyNumberFormat="1" applyFont="1" applyAlignment="1">
      <alignment horizontal="right"/>
    </xf>
    <xf numFmtId="38" fontId="9" fillId="0" borderId="0" xfId="0" applyNumberFormat="1" applyFont="1" applyAlignment="1">
      <alignment horizontal="center"/>
    </xf>
    <xf numFmtId="0" fontId="65" fillId="0" borderId="0" xfId="0" applyFont="1"/>
    <xf numFmtId="0" fontId="75" fillId="0" borderId="0" xfId="0" applyFont="1" applyAlignment="1">
      <alignment horizontal="center"/>
    </xf>
    <xf numFmtId="38" fontId="75" fillId="0" borderId="0" xfId="0" applyNumberFormat="1" applyFont="1" applyAlignment="1">
      <alignment horizontal="right"/>
    </xf>
    <xf numFmtId="38" fontId="80" fillId="0" borderId="0" xfId="0" applyNumberFormat="1" applyFont="1" applyAlignment="1">
      <alignment horizontal="center"/>
    </xf>
    <xf numFmtId="0" fontId="13" fillId="0" borderId="0" xfId="0" applyFont="1" applyAlignment="1">
      <alignment shrinkToFit="1"/>
    </xf>
    <xf numFmtId="168" fontId="17" fillId="0" borderId="0" xfId="0" applyNumberFormat="1" applyFont="1" applyAlignment="1">
      <alignment horizontal="center" shrinkToFit="1"/>
    </xf>
    <xf numFmtId="168" fontId="17" fillId="0" borderId="0" xfId="0" applyNumberFormat="1" applyFont="1" applyAlignment="1">
      <alignment shrinkToFit="1"/>
    </xf>
    <xf numFmtId="3" fontId="17" fillId="0" borderId="0" xfId="0" applyNumberFormat="1" applyFont="1"/>
    <xf numFmtId="3" fontId="18" fillId="0" borderId="0" xfId="0" applyNumberFormat="1" applyFont="1"/>
    <xf numFmtId="3" fontId="24" fillId="0" borderId="0" xfId="0" applyNumberFormat="1" applyFont="1"/>
    <xf numFmtId="0" fontId="24" fillId="0" borderId="0" xfId="0" applyFont="1"/>
    <xf numFmtId="0" fontId="8" fillId="0" borderId="0" xfId="0" applyFont="1"/>
    <xf numFmtId="3" fontId="81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3" fillId="0" borderId="0" xfId="0" applyFont="1"/>
    <xf numFmtId="0" fontId="5" fillId="0" borderId="0" xfId="0" applyFont="1"/>
    <xf numFmtId="38" fontId="42" fillId="0" borderId="0" xfId="0" applyNumberFormat="1" applyFont="1" applyAlignment="1">
      <alignment horizontal="right"/>
    </xf>
    <xf numFmtId="0" fontId="3" fillId="0" borderId="0" xfId="0" applyFont="1" applyAlignment="1">
      <alignment shrinkToFit="1"/>
    </xf>
    <xf numFmtId="0" fontId="17" fillId="0" borderId="0" xfId="0" applyFont="1" applyAlignment="1">
      <alignment shrinkToFit="1"/>
    </xf>
    <xf numFmtId="0" fontId="73" fillId="3" borderId="1" xfId="0" applyFont="1" applyFill="1" applyBorder="1" applyAlignment="1">
      <alignment horizontal="centerContinuous"/>
    </xf>
    <xf numFmtId="0" fontId="73" fillId="3" borderId="7" xfId="0" applyFont="1" applyFill="1" applyBorder="1" applyAlignment="1" applyProtection="1">
      <alignment horizontal="centerContinuous"/>
      <protection hidden="1"/>
    </xf>
    <xf numFmtId="0" fontId="73" fillId="3" borderId="1" xfId="0" applyFont="1" applyFill="1" applyBorder="1" applyAlignment="1" applyProtection="1">
      <alignment horizontal="centerContinuous"/>
      <protection hidden="1"/>
    </xf>
    <xf numFmtId="169" fontId="36" fillId="8" borderId="0" xfId="0" applyNumberFormat="1" applyFont="1" applyFill="1" applyAlignment="1" applyProtection="1">
      <alignment horizontal="right" shrinkToFit="1"/>
      <protection hidden="1"/>
    </xf>
    <xf numFmtId="169" fontId="38" fillId="8" borderId="2" xfId="0" applyNumberFormat="1" applyFont="1" applyFill="1" applyBorder="1" applyAlignment="1" applyProtection="1">
      <alignment horizontal="right" shrinkToFit="1"/>
      <protection hidden="1"/>
    </xf>
    <xf numFmtId="169" fontId="10" fillId="5" borderId="0" xfId="0" applyNumberFormat="1" applyFont="1" applyFill="1" applyAlignment="1" applyProtection="1">
      <alignment horizontal="right" shrinkToFit="1"/>
      <protection hidden="1"/>
    </xf>
    <xf numFmtId="169" fontId="17" fillId="5" borderId="0" xfId="0" applyNumberFormat="1" applyFont="1" applyFill="1" applyAlignment="1" applyProtection="1">
      <alignment horizontal="right" shrinkToFit="1"/>
      <protection hidden="1"/>
    </xf>
    <xf numFmtId="169" fontId="59" fillId="9" borderId="1" xfId="0" applyNumberFormat="1" applyFont="1" applyFill="1" applyBorder="1" applyAlignment="1" applyProtection="1">
      <alignment horizontal="right" shrinkToFit="1"/>
      <protection hidden="1"/>
    </xf>
    <xf numFmtId="169" fontId="38" fillId="9" borderId="1" xfId="0" applyNumberFormat="1" applyFont="1" applyFill="1" applyBorder="1" applyAlignment="1" applyProtection="1">
      <alignment shrinkToFit="1"/>
      <protection hidden="1"/>
    </xf>
    <xf numFmtId="169" fontId="36" fillId="5" borderId="0" xfId="0" applyNumberFormat="1" applyFont="1" applyFill="1" applyProtection="1">
      <protection hidden="1"/>
    </xf>
    <xf numFmtId="169" fontId="59" fillId="9" borderId="7" xfId="0" applyNumberFormat="1" applyFont="1" applyFill="1" applyBorder="1" applyAlignment="1" applyProtection="1">
      <alignment shrinkToFit="1"/>
      <protection hidden="1"/>
    </xf>
    <xf numFmtId="169" fontId="38" fillId="5" borderId="1" xfId="0" applyNumberFormat="1" applyFont="1" applyFill="1" applyBorder="1" applyAlignment="1" applyProtection="1">
      <alignment shrinkToFit="1"/>
      <protection hidden="1"/>
    </xf>
    <xf numFmtId="169" fontId="36" fillId="5" borderId="0" xfId="0" applyNumberFormat="1" applyFont="1" applyFill="1" applyAlignment="1" applyProtection="1">
      <alignment shrinkToFit="1"/>
      <protection hidden="1"/>
    </xf>
    <xf numFmtId="169" fontId="33" fillId="5" borderId="0" xfId="0" applyNumberFormat="1" applyFont="1" applyFill="1" applyAlignment="1" applyProtection="1">
      <alignment shrinkToFit="1"/>
      <protection locked="0"/>
    </xf>
    <xf numFmtId="169" fontId="57" fillId="9" borderId="7" xfId="0" applyNumberFormat="1" applyFont="1" applyFill="1" applyBorder="1" applyAlignment="1" applyProtection="1">
      <alignment shrinkToFit="1"/>
      <protection hidden="1"/>
    </xf>
    <xf numFmtId="169" fontId="57" fillId="9" borderId="8" xfId="0" applyNumberFormat="1" applyFont="1" applyFill="1" applyBorder="1" applyAlignment="1" applyProtection="1">
      <alignment shrinkToFit="1"/>
      <protection hidden="1"/>
    </xf>
    <xf numFmtId="169" fontId="36" fillId="5" borderId="11" xfId="0" applyNumberFormat="1" applyFont="1" applyFill="1" applyBorder="1" applyAlignment="1">
      <alignment shrinkToFit="1"/>
    </xf>
    <xf numFmtId="169" fontId="36" fillId="5" borderId="5" xfId="0" applyNumberFormat="1" applyFont="1" applyFill="1" applyBorder="1" applyAlignment="1">
      <alignment shrinkToFit="1"/>
    </xf>
    <xf numFmtId="169" fontId="36" fillId="5" borderId="5" xfId="0" applyNumberFormat="1" applyFont="1" applyFill="1" applyBorder="1" applyAlignment="1">
      <alignment horizontal="right" shrinkToFit="1"/>
    </xf>
    <xf numFmtId="169" fontId="36" fillId="5" borderId="0" xfId="0" applyNumberFormat="1" applyFont="1" applyFill="1" applyAlignment="1">
      <alignment shrinkToFit="1"/>
    </xf>
    <xf numFmtId="169" fontId="36" fillId="5" borderId="0" xfId="0" applyNumberFormat="1" applyFont="1" applyFill="1" applyAlignment="1">
      <alignment horizontal="right" shrinkToFit="1"/>
    </xf>
    <xf numFmtId="169" fontId="36" fillId="5" borderId="10" xfId="0" applyNumberFormat="1" applyFont="1" applyFill="1" applyBorder="1" applyAlignment="1">
      <alignment shrinkToFit="1"/>
    </xf>
    <xf numFmtId="169" fontId="38" fillId="5" borderId="12" xfId="0" applyNumberFormat="1" applyFont="1" applyFill="1" applyBorder="1" applyAlignment="1">
      <alignment shrinkToFit="1"/>
    </xf>
    <xf numFmtId="169" fontId="38" fillId="5" borderId="2" xfId="0" applyNumberFormat="1" applyFont="1" applyFill="1" applyBorder="1" applyAlignment="1">
      <alignment shrinkToFit="1"/>
    </xf>
    <xf numFmtId="169" fontId="38" fillId="5" borderId="2" xfId="0" applyNumberFormat="1" applyFont="1" applyFill="1" applyBorder="1" applyAlignment="1">
      <alignment horizontal="right" shrinkToFit="1"/>
    </xf>
    <xf numFmtId="169" fontId="33" fillId="5" borderId="11" xfId="0" applyNumberFormat="1" applyFont="1" applyFill="1" applyBorder="1" applyAlignment="1" applyProtection="1">
      <alignment shrinkToFit="1"/>
      <protection locked="0"/>
    </xf>
    <xf numFmtId="169" fontId="33" fillId="5" borderId="0" xfId="0" applyNumberFormat="1" applyFont="1" applyFill="1" applyAlignment="1" applyProtection="1">
      <alignment horizontal="right" shrinkToFit="1"/>
      <protection locked="0"/>
    </xf>
    <xf numFmtId="169" fontId="36" fillId="5" borderId="12" xfId="0" applyNumberFormat="1" applyFont="1" applyFill="1" applyBorder="1" applyAlignment="1">
      <alignment shrinkToFit="1"/>
    </xf>
    <xf numFmtId="169" fontId="36" fillId="5" borderId="9" xfId="0" applyNumberFormat="1" applyFont="1" applyFill="1" applyBorder="1" applyAlignment="1">
      <alignment shrinkToFit="1"/>
    </xf>
    <xf numFmtId="169" fontId="36" fillId="5" borderId="2" xfId="0" applyNumberFormat="1" applyFont="1" applyFill="1" applyBorder="1" applyAlignment="1">
      <alignment shrinkToFit="1"/>
    </xf>
    <xf numFmtId="169" fontId="36" fillId="5" borderId="2" xfId="0" applyNumberFormat="1" applyFont="1" applyFill="1" applyBorder="1" applyAlignment="1">
      <alignment horizontal="right" shrinkToFit="1"/>
    </xf>
    <xf numFmtId="169" fontId="59" fillId="9" borderId="3" xfId="0" applyNumberFormat="1" applyFont="1" applyFill="1" applyBorder="1" applyAlignment="1">
      <alignment shrinkToFit="1"/>
    </xf>
    <xf numFmtId="169" fontId="59" fillId="9" borderId="1" xfId="0" applyNumberFormat="1" applyFont="1" applyFill="1" applyBorder="1" applyAlignment="1">
      <alignment shrinkToFit="1"/>
    </xf>
    <xf numFmtId="169" fontId="59" fillId="9" borderId="1" xfId="0" applyNumberFormat="1" applyFont="1" applyFill="1" applyBorder="1" applyAlignment="1">
      <alignment horizontal="right" shrinkToFit="1"/>
    </xf>
    <xf numFmtId="169" fontId="59" fillId="9" borderId="1" xfId="0" applyNumberFormat="1" applyFont="1" applyFill="1" applyBorder="1" applyProtection="1">
      <protection hidden="1"/>
    </xf>
    <xf numFmtId="169" fontId="33" fillId="5" borderId="0" xfId="0" applyNumberFormat="1" applyFont="1" applyFill="1" applyAlignment="1" applyProtection="1">
      <alignment horizontal="right"/>
      <protection locked="0"/>
    </xf>
    <xf numFmtId="169" fontId="85" fillId="5" borderId="1" xfId="0" applyNumberFormat="1" applyFont="1" applyFill="1" applyBorder="1" applyAlignment="1">
      <alignment horizontal="right" shrinkToFit="1"/>
    </xf>
    <xf numFmtId="169" fontId="36" fillId="5" borderId="0" xfId="0" applyNumberFormat="1" applyFont="1" applyFill="1" applyProtection="1">
      <protection locked="0"/>
    </xf>
    <xf numFmtId="169" fontId="33" fillId="5" borderId="0" xfId="0" applyNumberFormat="1" applyFont="1" applyFill="1" applyProtection="1">
      <protection locked="0"/>
    </xf>
    <xf numFmtId="169" fontId="36" fillId="5" borderId="0" xfId="0" applyNumberFormat="1" applyFont="1" applyFill="1" applyAlignment="1" applyProtection="1">
      <alignment shrinkToFit="1"/>
      <protection locked="0"/>
    </xf>
    <xf numFmtId="169" fontId="36" fillId="8" borderId="1" xfId="0" applyNumberFormat="1" applyFont="1" applyFill="1" applyBorder="1" applyAlignment="1" applyProtection="1">
      <alignment horizontal="right" shrinkToFit="1"/>
      <protection hidden="1"/>
    </xf>
    <xf numFmtId="169" fontId="33" fillId="5" borderId="0" xfId="0" applyNumberFormat="1" applyFont="1" applyFill="1" applyAlignment="1">
      <alignment shrinkToFit="1"/>
    </xf>
    <xf numFmtId="169" fontId="49" fillId="5" borderId="0" xfId="0" applyNumberFormat="1" applyFont="1" applyFill="1" applyAlignment="1">
      <alignment shrinkToFit="1"/>
    </xf>
    <xf numFmtId="169" fontId="72" fillId="5" borderId="5" xfId="0" applyNumberFormat="1" applyFont="1" applyFill="1" applyBorder="1" applyAlignment="1">
      <alignment shrinkToFit="1"/>
    </xf>
    <xf numFmtId="169" fontId="72" fillId="5" borderId="2" xfId="0" applyNumberFormat="1" applyFont="1" applyFill="1" applyBorder="1" applyAlignment="1">
      <alignment shrinkToFit="1"/>
    </xf>
    <xf numFmtId="169" fontId="42" fillId="0" borderId="0" xfId="0" applyNumberFormat="1" applyFont="1" applyAlignment="1" applyProtection="1">
      <alignment horizontal="right" shrinkToFit="1"/>
      <protection hidden="1"/>
    </xf>
    <xf numFmtId="169" fontId="38" fillId="5" borderId="5" xfId="0" applyNumberFormat="1" applyFont="1" applyFill="1" applyBorder="1" applyAlignment="1">
      <alignment shrinkToFit="1"/>
    </xf>
    <xf numFmtId="169" fontId="36" fillId="5" borderId="0" xfId="2" applyNumberFormat="1" applyFont="1" applyFill="1" applyBorder="1" applyAlignment="1">
      <alignment horizontal="right" shrinkToFit="1"/>
    </xf>
    <xf numFmtId="169" fontId="38" fillId="5" borderId="0" xfId="0" applyNumberFormat="1" applyFont="1" applyFill="1" applyAlignment="1">
      <alignment shrinkToFit="1"/>
    </xf>
    <xf numFmtId="169" fontId="36" fillId="0" borderId="0" xfId="0" applyNumberFormat="1" applyFont="1"/>
    <xf numFmtId="169" fontId="38" fillId="0" borderId="0" xfId="0" applyNumberFormat="1" applyFont="1" applyAlignment="1">
      <alignment horizontal="right" shrinkToFit="1"/>
    </xf>
    <xf numFmtId="169" fontId="38" fillId="5" borderId="5" xfId="0" applyNumberFormat="1" applyFont="1" applyFill="1" applyBorder="1" applyAlignment="1" applyProtection="1">
      <alignment horizontal="right" shrinkToFit="1"/>
      <protection hidden="1"/>
    </xf>
    <xf numFmtId="169" fontId="38" fillId="5" borderId="2" xfId="0" applyNumberFormat="1" applyFont="1" applyFill="1" applyBorder="1" applyAlignment="1" applyProtection="1">
      <alignment horizontal="right" shrinkToFit="1"/>
      <protection hidden="1"/>
    </xf>
    <xf numFmtId="169" fontId="59" fillId="9" borderId="1" xfId="0" applyNumberFormat="1" applyFont="1" applyFill="1" applyBorder="1" applyAlignment="1">
      <alignment horizontal="center" shrinkToFit="1"/>
    </xf>
    <xf numFmtId="169" fontId="33" fillId="5" borderId="0" xfId="0" applyNumberFormat="1" applyFont="1" applyFill="1" applyAlignment="1" applyProtection="1">
      <alignment horizontal="center" shrinkToFit="1"/>
      <protection locked="0"/>
    </xf>
    <xf numFmtId="169" fontId="33" fillId="5" borderId="5" xfId="0" applyNumberFormat="1" applyFont="1" applyFill="1" applyBorder="1" applyAlignment="1" applyProtection="1">
      <alignment shrinkToFit="1"/>
      <protection locked="0"/>
    </xf>
    <xf numFmtId="169" fontId="39" fillId="5" borderId="0" xfId="0" applyNumberFormat="1" applyFont="1" applyFill="1" applyAlignment="1" applyProtection="1">
      <alignment shrinkToFit="1"/>
      <protection locked="0"/>
    </xf>
    <xf numFmtId="169" fontId="39" fillId="5" borderId="2" xfId="0" applyNumberFormat="1" applyFont="1" applyFill="1" applyBorder="1" applyAlignment="1" applyProtection="1">
      <alignment shrinkToFit="1"/>
      <protection locked="0"/>
    </xf>
    <xf numFmtId="169" fontId="33" fillId="5" borderId="2" xfId="0" applyNumberFormat="1" applyFont="1" applyFill="1" applyBorder="1" applyAlignment="1" applyProtection="1">
      <alignment shrinkToFit="1"/>
      <protection locked="0"/>
    </xf>
    <xf numFmtId="0" fontId="35" fillId="9" borderId="0" xfId="0" applyFont="1" applyFill="1" applyAlignment="1" applyProtection="1">
      <alignment horizontal="centerContinuous"/>
      <protection hidden="1"/>
    </xf>
    <xf numFmtId="0" fontId="86" fillId="0" borderId="0" xfId="0" applyFont="1"/>
    <xf numFmtId="38" fontId="86" fillId="0" borderId="0" xfId="0" applyNumberFormat="1" applyFont="1"/>
    <xf numFmtId="9" fontId="86" fillId="0" borderId="0" xfId="2" applyFont="1"/>
    <xf numFmtId="0" fontId="87" fillId="0" borderId="0" xfId="0" applyFont="1" applyAlignment="1">
      <alignment horizontal="center"/>
    </xf>
    <xf numFmtId="38" fontId="87" fillId="0" borderId="0" xfId="0" applyNumberFormat="1" applyFont="1" applyAlignment="1" applyProtection="1">
      <alignment horizontal="center"/>
      <protection hidden="1"/>
    </xf>
    <xf numFmtId="38" fontId="87" fillId="0" borderId="0" xfId="0" applyNumberFormat="1" applyFont="1" applyAlignment="1">
      <alignment horizontal="center"/>
    </xf>
    <xf numFmtId="0" fontId="88" fillId="0" borderId="0" xfId="0" applyFont="1"/>
    <xf numFmtId="1" fontId="89" fillId="0" borderId="0" xfId="0" applyNumberFormat="1" applyFont="1"/>
    <xf numFmtId="0" fontId="89" fillId="0" borderId="0" xfId="0" applyFont="1"/>
    <xf numFmtId="0" fontId="87" fillId="0" borderId="0" xfId="0" applyFont="1"/>
    <xf numFmtId="169" fontId="90" fillId="0" borderId="0" xfId="2" applyNumberFormat="1" applyFont="1" applyFill="1" applyBorder="1" applyAlignment="1">
      <alignment horizontal="right" shrinkToFit="1"/>
    </xf>
    <xf numFmtId="169" fontId="86" fillId="0" borderId="0" xfId="0" applyNumberFormat="1" applyFont="1" applyAlignment="1">
      <alignment horizontal="right" shrinkToFit="1"/>
    </xf>
    <xf numFmtId="0" fontId="88" fillId="0" borderId="0" xfId="0" applyFont="1" applyAlignment="1">
      <alignment horizontal="left" indent="1"/>
    </xf>
    <xf numFmtId="169" fontId="86" fillId="0" borderId="0" xfId="2" applyNumberFormat="1" applyFont="1" applyFill="1" applyBorder="1" applyAlignment="1">
      <alignment horizontal="right" shrinkToFit="1"/>
    </xf>
    <xf numFmtId="169" fontId="90" fillId="0" borderId="0" xfId="0" applyNumberFormat="1" applyFont="1" applyAlignment="1">
      <alignment horizontal="right" shrinkToFit="1"/>
    </xf>
    <xf numFmtId="0" fontId="88" fillId="5" borderId="0" xfId="0" applyFont="1" applyFill="1" applyAlignment="1">
      <alignment horizontal="left" indent="1"/>
    </xf>
    <xf numFmtId="169" fontId="86" fillId="5" borderId="0" xfId="2" applyNumberFormat="1" applyFont="1" applyFill="1" applyBorder="1" applyAlignment="1">
      <alignment horizontal="right" shrinkToFit="1"/>
    </xf>
    <xf numFmtId="169" fontId="86" fillId="5" borderId="0" xfId="0" applyNumberFormat="1" applyFont="1" applyFill="1" applyAlignment="1">
      <alignment horizontal="right" shrinkToFit="1"/>
    </xf>
    <xf numFmtId="169" fontId="86" fillId="6" borderId="0" xfId="2" applyNumberFormat="1" applyFont="1" applyFill="1" applyBorder="1" applyAlignment="1">
      <alignment horizontal="right" shrinkToFit="1"/>
    </xf>
    <xf numFmtId="0" fontId="87" fillId="9" borderId="1" xfId="0" applyFont="1" applyFill="1" applyBorder="1"/>
    <xf numFmtId="169" fontId="90" fillId="9" borderId="1" xfId="0" applyNumberFormat="1" applyFont="1" applyFill="1" applyBorder="1" applyAlignment="1">
      <alignment horizontal="right" shrinkToFit="1"/>
    </xf>
    <xf numFmtId="0" fontId="73" fillId="3" borderId="7" xfId="0" applyFont="1" applyFill="1" applyBorder="1" applyAlignment="1" applyProtection="1">
      <alignment horizontal="center"/>
      <protection hidden="1"/>
    </xf>
    <xf numFmtId="168" fontId="91" fillId="5" borderId="0" xfId="0" applyNumberFormat="1" applyFont="1" applyFill="1" applyAlignment="1" applyProtection="1">
      <alignment shrinkToFit="1"/>
      <protection hidden="1"/>
    </xf>
    <xf numFmtId="3" fontId="39" fillId="6" borderId="0" xfId="0" applyNumberFormat="1" applyFont="1" applyFill="1" applyAlignment="1" applyProtection="1">
      <alignment horizontal="right"/>
      <protection hidden="1"/>
    </xf>
    <xf numFmtId="168" fontId="40" fillId="6" borderId="2" xfId="0" applyNumberFormat="1" applyFont="1" applyFill="1" applyBorder="1" applyAlignment="1" applyProtection="1">
      <alignment horizontal="right" shrinkToFit="1"/>
      <protection hidden="1"/>
    </xf>
    <xf numFmtId="169" fontId="57" fillId="9" borderId="1" xfId="0" applyNumberFormat="1" applyFont="1" applyFill="1" applyBorder="1" applyAlignment="1" applyProtection="1">
      <alignment horizontal="right" shrinkToFit="1"/>
      <protection hidden="1"/>
    </xf>
    <xf numFmtId="169" fontId="39" fillId="6" borderId="0" xfId="0" applyNumberFormat="1" applyFont="1" applyFill="1" applyAlignment="1" applyProtection="1">
      <alignment horizontal="right"/>
      <protection hidden="1"/>
    </xf>
    <xf numFmtId="168" fontId="39" fillId="6" borderId="0" xfId="0" applyNumberFormat="1" applyFont="1" applyFill="1" applyAlignment="1" applyProtection="1">
      <alignment horizontal="right" shrinkToFit="1"/>
      <protection hidden="1"/>
    </xf>
    <xf numFmtId="169" fontId="57" fillId="9" borderId="7" xfId="0" applyNumberFormat="1" applyFont="1" applyFill="1" applyBorder="1" applyAlignment="1" applyProtection="1">
      <alignment horizontal="right" shrinkToFit="1"/>
      <protection hidden="1"/>
    </xf>
    <xf numFmtId="9" fontId="41" fillId="6" borderId="0" xfId="2" applyFont="1" applyFill="1" applyAlignment="1" applyProtection="1">
      <alignment horizontal="right" shrinkToFit="1"/>
      <protection hidden="1"/>
    </xf>
    <xf numFmtId="169" fontId="57" fillId="6" borderId="1" xfId="0" applyNumberFormat="1" applyFont="1" applyFill="1" applyBorder="1" applyAlignment="1" applyProtection="1">
      <alignment horizontal="right" shrinkToFit="1"/>
      <protection hidden="1"/>
    </xf>
    <xf numFmtId="169" fontId="39" fillId="6" borderId="0" xfId="0" applyNumberFormat="1" applyFont="1" applyFill="1" applyAlignment="1" applyProtection="1">
      <alignment horizontal="right" shrinkToFit="1"/>
      <protection hidden="1"/>
    </xf>
    <xf numFmtId="169" fontId="57" fillId="6" borderId="0" xfId="0" applyNumberFormat="1" applyFont="1" applyFill="1" applyAlignment="1" applyProtection="1">
      <alignment horizontal="right" shrinkToFit="1"/>
      <protection hidden="1"/>
    </xf>
    <xf numFmtId="169" fontId="57" fillId="9" borderId="8" xfId="0" applyNumberFormat="1" applyFont="1" applyFill="1" applyBorder="1" applyAlignment="1" applyProtection="1">
      <alignment horizontal="right" shrinkToFit="1"/>
      <protection hidden="1"/>
    </xf>
    <xf numFmtId="169" fontId="38" fillId="6" borderId="0" xfId="0" applyNumberFormat="1" applyFont="1" applyFill="1" applyAlignment="1">
      <alignment horizontal="right" shrinkToFit="1"/>
    </xf>
    <xf numFmtId="169" fontId="38" fillId="6" borderId="2" xfId="0" applyNumberFormat="1" applyFont="1" applyFill="1" applyBorder="1" applyAlignment="1">
      <alignment horizontal="right" shrinkToFit="1"/>
    </xf>
    <xf numFmtId="38" fontId="71" fillId="0" borderId="0" xfId="0" applyNumberFormat="1" applyFont="1" applyAlignment="1">
      <alignment horizontal="right"/>
    </xf>
    <xf numFmtId="169" fontId="38" fillId="5" borderId="5" xfId="0" applyNumberFormat="1" applyFont="1" applyFill="1" applyBorder="1" applyAlignment="1">
      <alignment horizontal="right" shrinkToFit="1"/>
    </xf>
    <xf numFmtId="0" fontId="10" fillId="0" borderId="0" xfId="0" applyFont="1" applyAlignment="1">
      <alignment horizontal="right" shrinkToFit="1"/>
    </xf>
    <xf numFmtId="169" fontId="38" fillId="6" borderId="5" xfId="0" applyNumberFormat="1" applyFont="1" applyFill="1" applyBorder="1" applyAlignment="1">
      <alignment horizontal="right" shrinkToFit="1"/>
    </xf>
    <xf numFmtId="0" fontId="10" fillId="0" borderId="0" xfId="0" applyFont="1" applyAlignment="1">
      <alignment horizontal="right"/>
    </xf>
    <xf numFmtId="169" fontId="38" fillId="5" borderId="0" xfId="0" applyNumberFormat="1" applyFont="1" applyFill="1" applyAlignment="1">
      <alignment horizontal="right" shrinkToFit="1"/>
    </xf>
    <xf numFmtId="168" fontId="10" fillId="5" borderId="2" xfId="0" applyNumberFormat="1" applyFont="1" applyFill="1" applyBorder="1" applyAlignment="1">
      <alignment horizontal="right" shrinkToFit="1"/>
    </xf>
    <xf numFmtId="168" fontId="10" fillId="0" borderId="0" xfId="0" applyNumberFormat="1" applyFont="1" applyAlignment="1">
      <alignment horizontal="right" shrinkToFit="1"/>
    </xf>
    <xf numFmtId="3" fontId="10" fillId="5" borderId="2" xfId="0" applyNumberFormat="1" applyFont="1" applyFill="1" applyBorder="1" applyAlignment="1">
      <alignment horizontal="right" shrinkToFit="1"/>
    </xf>
    <xf numFmtId="3" fontId="10" fillId="0" borderId="0" xfId="0" applyNumberFormat="1" applyFont="1" applyAlignment="1">
      <alignment horizontal="right"/>
    </xf>
    <xf numFmtId="3" fontId="38" fillId="5" borderId="2" xfId="0" applyNumberFormat="1" applyFont="1" applyFill="1" applyBorder="1" applyAlignment="1">
      <alignment horizontal="right" shrinkToFit="1"/>
    </xf>
    <xf numFmtId="3" fontId="82" fillId="0" borderId="0" xfId="0" applyNumberFormat="1" applyFont="1" applyAlignment="1">
      <alignment horizontal="right"/>
    </xf>
    <xf numFmtId="0" fontId="82" fillId="0" borderId="0" xfId="0" applyFont="1" applyAlignment="1">
      <alignment horizontal="right"/>
    </xf>
    <xf numFmtId="2" fontId="38" fillId="5" borderId="6" xfId="2" applyNumberFormat="1" applyFont="1" applyFill="1" applyBorder="1" applyAlignment="1">
      <alignment horizontal="right" shrinkToFit="1"/>
    </xf>
    <xf numFmtId="0" fontId="11" fillId="0" borderId="0" xfId="0" applyFont="1" applyAlignment="1">
      <alignment horizontal="right"/>
    </xf>
    <xf numFmtId="168" fontId="10" fillId="6" borderId="0" xfId="0" applyNumberFormat="1" applyFont="1" applyFill="1" applyAlignment="1" applyProtection="1">
      <alignment horizontal="right" shrinkToFit="1"/>
      <protection hidden="1"/>
    </xf>
    <xf numFmtId="168" fontId="38" fillId="6" borderId="0" xfId="0" applyNumberFormat="1" applyFont="1" applyFill="1" applyAlignment="1" applyProtection="1">
      <alignment horizontal="right" shrinkToFit="1"/>
      <protection hidden="1"/>
    </xf>
    <xf numFmtId="169" fontId="38" fillId="6" borderId="0" xfId="0" applyNumberFormat="1" applyFont="1" applyFill="1" applyAlignment="1" applyProtection="1">
      <alignment horizontal="right" shrinkToFit="1"/>
      <protection hidden="1"/>
    </xf>
    <xf numFmtId="169" fontId="38" fillId="6" borderId="2" xfId="0" applyNumberFormat="1" applyFont="1" applyFill="1" applyBorder="1" applyAlignment="1" applyProtection="1">
      <alignment horizontal="right" shrinkToFit="1"/>
      <protection hidden="1"/>
    </xf>
    <xf numFmtId="169" fontId="10" fillId="6" borderId="0" xfId="0" applyNumberFormat="1" applyFont="1" applyFill="1" applyAlignment="1" applyProtection="1">
      <alignment horizontal="right" shrinkToFit="1"/>
      <protection hidden="1"/>
    </xf>
    <xf numFmtId="169" fontId="85" fillId="6" borderId="1" xfId="0" applyNumberFormat="1" applyFont="1" applyFill="1" applyBorder="1" applyAlignment="1">
      <alignment horizontal="right" shrinkToFit="1"/>
    </xf>
    <xf numFmtId="169" fontId="38" fillId="6" borderId="0" xfId="0" applyNumberFormat="1" applyFont="1" applyFill="1" applyAlignment="1" applyProtection="1">
      <alignment horizontal="right"/>
      <protection hidden="1"/>
    </xf>
    <xf numFmtId="168" fontId="38" fillId="6" borderId="0" xfId="0" applyNumberFormat="1" applyFont="1" applyFill="1" applyAlignment="1" applyProtection="1">
      <alignment horizontal="right"/>
      <protection hidden="1"/>
    </xf>
    <xf numFmtId="38" fontId="44" fillId="0" borderId="1" xfId="0" applyNumberFormat="1" applyFont="1" applyBorder="1" applyAlignment="1">
      <alignment horizontal="right"/>
    </xf>
    <xf numFmtId="3" fontId="59" fillId="9" borderId="1" xfId="0" applyNumberFormat="1" applyFont="1" applyFill="1" applyBorder="1" applyAlignment="1">
      <alignment horizontal="right" shrinkToFit="1"/>
    </xf>
    <xf numFmtId="0" fontId="63" fillId="6" borderId="0" xfId="0" applyFont="1" applyFill="1" applyAlignment="1">
      <alignment horizontal="right"/>
    </xf>
    <xf numFmtId="3" fontId="63" fillId="6" borderId="1" xfId="0" applyNumberFormat="1" applyFont="1" applyFill="1" applyBorder="1" applyAlignment="1">
      <alignment horizontal="right" shrinkToFit="1"/>
    </xf>
    <xf numFmtId="3" fontId="63" fillId="6" borderId="0" xfId="0" applyNumberFormat="1" applyFont="1" applyFill="1" applyAlignment="1">
      <alignment horizontal="right" shrinkToFit="1"/>
    </xf>
    <xf numFmtId="1" fontId="63" fillId="6" borderId="0" xfId="0" applyNumberFormat="1" applyFont="1" applyFill="1" applyAlignment="1">
      <alignment horizontal="right" shrinkToFit="1"/>
    </xf>
    <xf numFmtId="0" fontId="63" fillId="6" borderId="2" xfId="0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3" fontId="72" fillId="8" borderId="0" xfId="0" applyNumberFormat="1" applyFont="1" applyFill="1" applyAlignment="1">
      <alignment horizontal="right" shrinkToFit="1"/>
    </xf>
    <xf numFmtId="0" fontId="4" fillId="0" borderId="0" xfId="0" applyFont="1" applyAlignment="1">
      <alignment horizontal="right"/>
    </xf>
    <xf numFmtId="3" fontId="78" fillId="9" borderId="2" xfId="0" applyNumberFormat="1" applyFont="1" applyFill="1" applyBorder="1" applyAlignment="1">
      <alignment horizontal="right" shrinkToFit="1"/>
    </xf>
    <xf numFmtId="3" fontId="38" fillId="5" borderId="0" xfId="0" applyNumberFormat="1" applyFont="1" applyFill="1" applyAlignment="1">
      <alignment horizontal="right" shrinkToFit="1"/>
    </xf>
    <xf numFmtId="3" fontId="38" fillId="7" borderId="0" xfId="0" applyNumberFormat="1" applyFont="1" applyFill="1" applyAlignment="1">
      <alignment horizontal="right" shrinkToFit="1"/>
    </xf>
    <xf numFmtId="0" fontId="62" fillId="0" borderId="0" xfId="0" applyFont="1" applyAlignment="1">
      <alignment horizontal="right"/>
    </xf>
    <xf numFmtId="3" fontId="38" fillId="6" borderId="0" xfId="0" applyNumberFormat="1" applyFont="1" applyFill="1" applyAlignment="1">
      <alignment horizontal="right" shrinkToFit="1"/>
    </xf>
    <xf numFmtId="168" fontId="38" fillId="6" borderId="0" xfId="0" applyNumberFormat="1" applyFont="1" applyFill="1" applyAlignment="1">
      <alignment horizontal="right" shrinkToFit="1"/>
    </xf>
    <xf numFmtId="38" fontId="58" fillId="9" borderId="1" xfId="0" applyNumberFormat="1" applyFont="1" applyFill="1" applyBorder="1" applyAlignment="1">
      <alignment horizontal="left" shrinkToFit="1"/>
    </xf>
    <xf numFmtId="169" fontId="72" fillId="5" borderId="1" xfId="0" applyNumberFormat="1" applyFont="1" applyFill="1" applyBorder="1" applyAlignment="1">
      <alignment shrinkToFit="1"/>
    </xf>
    <xf numFmtId="38" fontId="26" fillId="3" borderId="0" xfId="0" applyNumberFormat="1" applyFont="1" applyFill="1" applyAlignment="1">
      <alignment horizontal="centerContinuous" vertical="center"/>
    </xf>
    <xf numFmtId="3" fontId="26" fillId="3" borderId="0" xfId="0" applyNumberFormat="1" applyFont="1" applyFill="1" applyAlignment="1">
      <alignment horizontal="right" vertical="center" shrinkToFit="1"/>
    </xf>
    <xf numFmtId="3" fontId="26" fillId="3" borderId="0" xfId="0" applyNumberFormat="1" applyFont="1" applyFill="1" applyAlignment="1">
      <alignment horizontal="right" vertical="center" wrapText="1" shrinkToFit="1"/>
    </xf>
    <xf numFmtId="165" fontId="92" fillId="5" borderId="2" xfId="0" applyNumberFormat="1" applyFont="1" applyFill="1" applyBorder="1" applyAlignment="1" applyProtection="1">
      <alignment horizontal="center"/>
      <protection locked="0"/>
    </xf>
    <xf numFmtId="9" fontId="36" fillId="8" borderId="0" xfId="2" applyFont="1" applyFill="1" applyBorder="1" applyAlignment="1">
      <alignment shrinkToFit="1"/>
    </xf>
    <xf numFmtId="0" fontId="84" fillId="9" borderId="3" xfId="0" applyFont="1" applyFill="1" applyBorder="1" applyAlignment="1">
      <alignment shrinkToFit="1"/>
    </xf>
    <xf numFmtId="0" fontId="93" fillId="5" borderId="2" xfId="0" applyFont="1" applyFill="1" applyBorder="1" applyAlignment="1" applyProtection="1">
      <alignment horizontal="center" shrinkToFit="1"/>
      <protection hidden="1"/>
    </xf>
    <xf numFmtId="0" fontId="55" fillId="5" borderId="0" xfId="0" applyFont="1" applyFill="1" applyAlignment="1" applyProtection="1">
      <alignment horizontal="center" shrinkToFit="1"/>
      <protection locked="0"/>
    </xf>
    <xf numFmtId="0" fontId="93" fillId="5" borderId="0" xfId="0" applyFont="1" applyFill="1" applyAlignment="1" applyProtection="1">
      <alignment horizontal="center" shrinkToFit="1"/>
      <protection hidden="1"/>
    </xf>
    <xf numFmtId="0" fontId="61" fillId="0" borderId="13" xfId="0" applyFont="1" applyBorder="1"/>
    <xf numFmtId="0" fontId="66" fillId="0" borderId="13" xfId="0" applyFont="1" applyBorder="1"/>
    <xf numFmtId="0" fontId="3" fillId="0" borderId="13" xfId="0" applyFont="1" applyBorder="1" applyProtection="1">
      <protection hidden="1"/>
    </xf>
    <xf numFmtId="0" fontId="54" fillId="0" borderId="13" xfId="0" applyFont="1" applyBorder="1" applyProtection="1">
      <protection hidden="1"/>
    </xf>
    <xf numFmtId="49" fontId="24" fillId="0" borderId="13" xfId="0" applyNumberFormat="1" applyFont="1" applyBorder="1" applyProtection="1">
      <protection hidden="1"/>
    </xf>
    <xf numFmtId="49" fontId="24" fillId="0" borderId="13" xfId="0" applyNumberFormat="1" applyFont="1" applyBorder="1" applyAlignment="1" applyProtection="1">
      <alignment horizontal="left"/>
      <protection hidden="1"/>
    </xf>
    <xf numFmtId="0" fontId="3" fillId="0" borderId="13" xfId="0" applyFont="1" applyBorder="1"/>
    <xf numFmtId="9" fontId="77" fillId="0" borderId="13" xfId="0" applyNumberFormat="1" applyFont="1" applyBorder="1"/>
    <xf numFmtId="0" fontId="75" fillId="0" borderId="13" xfId="0" applyFont="1" applyBorder="1"/>
    <xf numFmtId="0" fontId="61" fillId="0" borderId="13" xfId="0" quotePrefix="1" applyFont="1" applyBorder="1"/>
    <xf numFmtId="0" fontId="0" fillId="0" borderId="13" xfId="0" applyBorder="1" applyProtection="1">
      <protection hidden="1"/>
    </xf>
    <xf numFmtId="0" fontId="25" fillId="0" borderId="13" xfId="0" applyFont="1" applyBorder="1" applyProtection="1">
      <protection hidden="1"/>
    </xf>
    <xf numFmtId="0" fontId="0" fillId="0" borderId="13" xfId="0" applyBorder="1"/>
    <xf numFmtId="3" fontId="0" fillId="0" borderId="13" xfId="0" applyNumberFormat="1" applyBorder="1" applyProtection="1">
      <protection hidden="1"/>
    </xf>
    <xf numFmtId="0" fontId="7" fillId="0" borderId="13" xfId="0" applyFont="1" applyBorder="1"/>
    <xf numFmtId="0" fontId="25" fillId="0" borderId="13" xfId="0" applyFont="1" applyBorder="1"/>
    <xf numFmtId="0" fontId="5" fillId="0" borderId="13" xfId="0" applyFont="1" applyBorder="1"/>
    <xf numFmtId="0" fontId="15" fillId="0" borderId="13" xfId="0" applyFont="1" applyBorder="1" applyProtection="1">
      <protection hidden="1"/>
    </xf>
    <xf numFmtId="0" fontId="27" fillId="0" borderId="0" xfId="0" applyFont="1" applyAlignment="1">
      <alignment horizontal="left"/>
    </xf>
    <xf numFmtId="0" fontId="26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/>
    </xf>
    <xf numFmtId="10" fontId="33" fillId="5" borderId="0" xfId="0" applyNumberFormat="1" applyFont="1" applyFill="1" applyAlignment="1" applyProtection="1">
      <alignment horizontal="center" shrinkToFit="1"/>
      <protection locked="0"/>
    </xf>
    <xf numFmtId="10" fontId="33" fillId="5" borderId="0" xfId="0" applyNumberFormat="1" applyFont="1" applyFill="1" applyAlignment="1" applyProtection="1">
      <alignment horizontal="center"/>
      <protection locked="0"/>
    </xf>
    <xf numFmtId="0" fontId="35" fillId="5" borderId="1" xfId="0" applyFont="1" applyFill="1" applyBorder="1" applyAlignment="1">
      <alignment horizontal="left" shrinkToFit="1"/>
    </xf>
    <xf numFmtId="3" fontId="38" fillId="5" borderId="1" xfId="0" applyNumberFormat="1" applyFont="1" applyFill="1" applyBorder="1" applyAlignment="1">
      <alignment shrinkToFit="1"/>
    </xf>
    <xf numFmtId="3" fontId="38" fillId="5" borderId="1" xfId="0" applyNumberFormat="1" applyFont="1" applyFill="1" applyBorder="1" applyAlignment="1">
      <alignment horizontal="right" shrinkToFit="1"/>
    </xf>
    <xf numFmtId="0" fontId="35" fillId="7" borderId="1" xfId="0" applyFont="1" applyFill="1" applyBorder="1" applyAlignment="1">
      <alignment horizontal="left" shrinkToFit="1"/>
    </xf>
    <xf numFmtId="3" fontId="38" fillId="7" borderId="1" xfId="0" applyNumberFormat="1" applyFont="1" applyFill="1" applyBorder="1" applyAlignment="1">
      <alignment shrinkToFit="1"/>
    </xf>
    <xf numFmtId="3" fontId="38" fillId="7" borderId="1" xfId="0" applyNumberFormat="1" applyFont="1" applyFill="1" applyBorder="1" applyAlignment="1">
      <alignment horizontal="right" shrinkToFit="1"/>
    </xf>
    <xf numFmtId="0" fontId="56" fillId="9" borderId="1" xfId="0" applyFont="1" applyFill="1" applyBorder="1"/>
    <xf numFmtId="169" fontId="57" fillId="9" borderId="1" xfId="0" applyNumberFormat="1" applyFont="1" applyFill="1" applyBorder="1" applyAlignment="1" applyProtection="1">
      <alignment shrinkToFit="1"/>
      <protection hidden="1"/>
    </xf>
    <xf numFmtId="0" fontId="46" fillId="5" borderId="0" xfId="0" applyFont="1" applyFill="1" applyAlignment="1" applyProtection="1">
      <alignment horizontal="left" indent="1"/>
      <protection locked="0"/>
    </xf>
    <xf numFmtId="0" fontId="94" fillId="5" borderId="0" xfId="0" applyFont="1" applyFill="1" applyAlignment="1" applyProtection="1">
      <alignment horizontal="left" indent="1"/>
      <protection hidden="1"/>
    </xf>
    <xf numFmtId="9" fontId="95" fillId="5" borderId="0" xfId="2" applyFont="1" applyFill="1" applyAlignment="1" applyProtection="1">
      <alignment shrinkToFit="1"/>
      <protection hidden="1"/>
    </xf>
    <xf numFmtId="9" fontId="96" fillId="6" borderId="0" xfId="2" applyFont="1" applyFill="1" applyAlignment="1" applyProtection="1">
      <alignment horizontal="right" shrinkToFit="1"/>
      <protection hidden="1"/>
    </xf>
    <xf numFmtId="0" fontId="94" fillId="5" borderId="14" xfId="0" applyFont="1" applyFill="1" applyBorder="1" applyAlignment="1" applyProtection="1">
      <alignment horizontal="left" indent="1"/>
      <protection hidden="1"/>
    </xf>
    <xf numFmtId="9" fontId="95" fillId="5" borderId="14" xfId="2" applyFont="1" applyFill="1" applyBorder="1" applyAlignment="1" applyProtection="1">
      <alignment shrinkToFit="1"/>
      <protection hidden="1"/>
    </xf>
    <xf numFmtId="165" fontId="33" fillId="5" borderId="1" xfId="2" applyNumberFormat="1" applyFont="1" applyFill="1" applyBorder="1" applyAlignment="1" applyProtection="1">
      <alignment shrinkToFit="1"/>
      <protection locked="0"/>
    </xf>
    <xf numFmtId="3" fontId="38" fillId="8" borderId="1" xfId="0" applyNumberFormat="1" applyFont="1" applyFill="1" applyBorder="1" applyAlignment="1">
      <alignment shrinkToFit="1"/>
    </xf>
    <xf numFmtId="3" fontId="38" fillId="10" borderId="1" xfId="0" applyNumberFormat="1" applyFont="1" applyFill="1" applyBorder="1" applyAlignment="1">
      <alignment shrinkToFit="1"/>
    </xf>
    <xf numFmtId="3" fontId="3" fillId="0" borderId="13" xfId="0" applyNumberFormat="1" applyFont="1" applyBorder="1"/>
    <xf numFmtId="38" fontId="58" fillId="9" borderId="2" xfId="0" applyNumberFormat="1" applyFont="1" applyFill="1" applyBorder="1" applyAlignment="1">
      <alignment horizontal="left" shrinkToFit="1"/>
    </xf>
    <xf numFmtId="0" fontId="35" fillId="0" borderId="0" xfId="0" applyFont="1" applyProtection="1">
      <protection hidden="1"/>
    </xf>
    <xf numFmtId="0" fontId="27" fillId="5" borderId="1" xfId="0" applyFont="1" applyFill="1" applyBorder="1" applyAlignment="1">
      <alignment shrinkToFit="1"/>
    </xf>
    <xf numFmtId="169" fontId="36" fillId="5" borderId="1" xfId="0" applyNumberFormat="1" applyFont="1" applyFill="1" applyBorder="1" applyAlignment="1" applyProtection="1">
      <alignment horizontal="center" shrinkToFit="1"/>
      <protection locked="0"/>
    </xf>
    <xf numFmtId="169" fontId="36" fillId="5" borderId="1" xfId="0" applyNumberFormat="1" applyFont="1" applyFill="1" applyBorder="1" applyAlignment="1">
      <alignment shrinkToFit="1"/>
    </xf>
    <xf numFmtId="169" fontId="38" fillId="6" borderId="1" xfId="0" applyNumberFormat="1" applyFont="1" applyFill="1" applyBorder="1" applyAlignment="1">
      <alignment horizontal="right" shrinkToFit="1"/>
    </xf>
    <xf numFmtId="3" fontId="33" fillId="5" borderId="0" xfId="0" applyNumberFormat="1" applyFont="1" applyFill="1" applyAlignment="1" applyProtection="1">
      <alignment horizontal="right" shrinkToFit="1"/>
      <protection locked="0"/>
    </xf>
    <xf numFmtId="3" fontId="33" fillId="5" borderId="0" xfId="0" applyNumberFormat="1" applyFont="1" applyFill="1" applyAlignment="1" applyProtection="1">
      <alignment shrinkToFit="1"/>
      <protection locked="0"/>
    </xf>
    <xf numFmtId="0" fontId="61" fillId="0" borderId="2" xfId="0" applyFont="1" applyBorder="1"/>
    <xf numFmtId="38" fontId="98" fillId="3" borderId="1" xfId="0" applyNumberFormat="1" applyFont="1" applyFill="1" applyBorder="1" applyAlignment="1">
      <alignment horizontal="center" vertical="center" wrapText="1"/>
    </xf>
    <xf numFmtId="1" fontId="33" fillId="5" borderId="2" xfId="0" applyNumberFormat="1" applyFont="1" applyFill="1" applyBorder="1" applyProtection="1">
      <protection hidden="1"/>
    </xf>
    <xf numFmtId="169" fontId="38" fillId="9" borderId="1" xfId="0" applyNumberFormat="1" applyFont="1" applyFill="1" applyBorder="1" applyProtection="1">
      <protection hidden="1"/>
    </xf>
    <xf numFmtId="9" fontId="99" fillId="0" borderId="0" xfId="0" applyNumberFormat="1" applyFont="1"/>
    <xf numFmtId="164" fontId="100" fillId="5" borderId="2" xfId="0" applyNumberFormat="1" applyFont="1" applyFill="1" applyBorder="1" applyAlignment="1" applyProtection="1">
      <alignment horizontal="left" indent="1" shrinkToFit="1"/>
      <protection locked="0"/>
    </xf>
    <xf numFmtId="170" fontId="32" fillId="5" borderId="0" xfId="2" applyNumberFormat="1" applyFont="1" applyFill="1" applyBorder="1" applyAlignment="1" applyProtection="1">
      <alignment horizontal="left" indent="1" shrinkToFit="1"/>
      <protection locked="0"/>
    </xf>
    <xf numFmtId="3" fontId="33" fillId="5" borderId="0" xfId="0" applyNumberFormat="1" applyFont="1" applyFill="1" applyProtection="1">
      <protection hidden="1"/>
    </xf>
    <xf numFmtId="3" fontId="73" fillId="3" borderId="1" xfId="0" applyNumberFormat="1" applyFont="1" applyFill="1" applyBorder="1" applyAlignment="1" applyProtection="1">
      <alignment horizontal="centerContinuous"/>
      <protection hidden="1"/>
    </xf>
    <xf numFmtId="3" fontId="67" fillId="0" borderId="0" xfId="0" applyNumberFormat="1" applyFont="1" applyAlignment="1" applyProtection="1">
      <alignment horizontal="center"/>
      <protection hidden="1"/>
    </xf>
    <xf numFmtId="3" fontId="59" fillId="9" borderId="4" xfId="0" applyNumberFormat="1" applyFont="1" applyFill="1" applyBorder="1" applyProtection="1">
      <protection hidden="1"/>
    </xf>
    <xf numFmtId="3" fontId="33" fillId="5" borderId="2" xfId="0" applyNumberFormat="1" applyFont="1" applyFill="1" applyBorder="1" applyProtection="1">
      <protection hidden="1"/>
    </xf>
    <xf numFmtId="3" fontId="33" fillId="5" borderId="4" xfId="2" applyNumberFormat="1" applyFont="1" applyFill="1" applyBorder="1" applyAlignment="1" applyProtection="1">
      <alignment shrinkToFit="1"/>
      <protection locked="0"/>
    </xf>
    <xf numFmtId="3" fontId="36" fillId="5" borderId="2" xfId="0" applyNumberFormat="1" applyFont="1" applyFill="1" applyBorder="1" applyProtection="1">
      <protection hidden="1"/>
    </xf>
    <xf numFmtId="3" fontId="38" fillId="6" borderId="10" xfId="0" applyNumberFormat="1" applyFont="1" applyFill="1" applyBorder="1" applyAlignment="1" applyProtection="1">
      <alignment horizontal="right"/>
      <protection hidden="1"/>
    </xf>
    <xf numFmtId="3" fontId="59" fillId="9" borderId="4" xfId="0" applyNumberFormat="1" applyFont="1" applyFill="1" applyBorder="1" applyAlignment="1" applyProtection="1">
      <alignment horizontal="right"/>
      <protection hidden="1"/>
    </xf>
    <xf numFmtId="3" fontId="10" fillId="6" borderId="15" xfId="0" applyNumberFormat="1" applyFont="1" applyFill="1" applyBorder="1" applyAlignment="1" applyProtection="1">
      <alignment horizontal="right"/>
      <protection hidden="1"/>
    </xf>
    <xf numFmtId="3" fontId="10" fillId="0" borderId="0" xfId="0" applyNumberFormat="1" applyFont="1" applyAlignment="1" applyProtection="1">
      <alignment horizontal="right"/>
      <protection hidden="1"/>
    </xf>
    <xf numFmtId="3" fontId="0" fillId="0" borderId="0" xfId="0" applyNumberFormat="1" applyAlignment="1">
      <alignment horizontal="center"/>
    </xf>
    <xf numFmtId="3" fontId="38" fillId="5" borderId="10" xfId="0" applyNumberFormat="1" applyFont="1" applyFill="1" applyBorder="1" applyProtection="1">
      <protection hidden="1"/>
    </xf>
    <xf numFmtId="10" fontId="96" fillId="6" borderId="14" xfId="2" applyNumberFormat="1" applyFont="1" applyFill="1" applyBorder="1" applyAlignment="1" applyProtection="1">
      <alignment horizontal="right" shrinkToFit="1"/>
      <protection hidden="1"/>
    </xf>
    <xf numFmtId="3" fontId="54" fillId="0" borderId="0" xfId="0" applyNumberFormat="1" applyFont="1" applyProtection="1">
      <protection hidden="1"/>
    </xf>
    <xf numFmtId="9" fontId="15" fillId="0" borderId="0" xfId="2" applyFont="1" applyFill="1" applyProtection="1">
      <protection hidden="1"/>
    </xf>
    <xf numFmtId="9" fontId="54" fillId="0" borderId="0" xfId="2" applyFont="1" applyFill="1" applyProtection="1">
      <protection hidden="1"/>
    </xf>
    <xf numFmtId="169" fontId="49" fillId="5" borderId="0" xfId="0" applyNumberFormat="1" applyFont="1" applyFill="1" applyAlignment="1" applyProtection="1">
      <alignment shrinkToFit="1"/>
      <protection locked="0"/>
    </xf>
    <xf numFmtId="169" fontId="42" fillId="0" borderId="0" xfId="0" applyNumberFormat="1" applyFont="1"/>
    <xf numFmtId="0" fontId="42" fillId="0" borderId="13" xfId="0" applyFont="1" applyBorder="1"/>
    <xf numFmtId="168" fontId="38" fillId="5" borderId="1" xfId="0" applyNumberFormat="1" applyFont="1" applyFill="1" applyBorder="1" applyAlignment="1" applyProtection="1">
      <alignment horizontal="right" shrinkToFit="1"/>
      <protection hidden="1"/>
    </xf>
    <xf numFmtId="168" fontId="38" fillId="6" borderId="1" xfId="0" applyNumberFormat="1" applyFont="1" applyFill="1" applyBorder="1" applyAlignment="1" applyProtection="1">
      <alignment horizontal="right" shrinkToFit="1"/>
      <protection hidden="1"/>
    </xf>
    <xf numFmtId="168" fontId="10" fillId="5" borderId="0" xfId="0" applyNumberFormat="1" applyFont="1" applyFill="1" applyAlignment="1" applyProtection="1">
      <alignment horizontal="right" shrinkToFit="1"/>
      <protection hidden="1"/>
    </xf>
    <xf numFmtId="168" fontId="59" fillId="9" borderId="1" xfId="0" applyNumberFormat="1" applyFont="1" applyFill="1" applyBorder="1" applyAlignment="1" applyProtection="1">
      <alignment horizontal="right" shrinkToFit="1"/>
      <protection hidden="1"/>
    </xf>
    <xf numFmtId="0" fontId="33" fillId="5" borderId="0" xfId="0" applyFont="1" applyFill="1" applyAlignment="1" applyProtection="1">
      <alignment horizontal="center" shrinkToFit="1"/>
      <protection locked="0"/>
    </xf>
    <xf numFmtId="0" fontId="26" fillId="3" borderId="5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84" fillId="5" borderId="0" xfId="0" applyFont="1" applyFill="1" applyAlignment="1" applyProtection="1">
      <alignment horizontal="center" shrinkToFit="1"/>
      <protection locked="0"/>
    </xf>
    <xf numFmtId="0" fontId="26" fillId="3" borderId="0" xfId="0" applyFont="1" applyFill="1" applyAlignment="1">
      <alignment horizontal="left" vertical="center" wrapText="1" indent="1"/>
    </xf>
    <xf numFmtId="0" fontId="26" fillId="3" borderId="0" xfId="0" applyFont="1" applyFill="1" applyAlignment="1">
      <alignment horizontal="center" vertical="center" wrapText="1"/>
    </xf>
    <xf numFmtId="0" fontId="26" fillId="3" borderId="2" xfId="0" applyFont="1" applyFill="1" applyBorder="1" applyAlignment="1">
      <alignment horizontal="center"/>
    </xf>
    <xf numFmtId="0" fontId="83" fillId="11" borderId="0" xfId="0" applyFont="1" applyFill="1" applyAlignment="1" applyProtection="1">
      <alignment horizontal="center" shrinkToFit="1"/>
      <protection locked="0"/>
    </xf>
    <xf numFmtId="0" fontId="98" fillId="3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 xr:uid="{00000000-0005-0000-0000-000002000000}"/>
    <cellStyle name="Percent" xfId="2" builtinId="5"/>
    <cellStyle name="Percent 2" xfId="3" xr:uid="{00000000-0005-0000-0000-000004000000}"/>
  </cellStyles>
  <dxfs count="2">
    <dxf>
      <font>
        <color rgb="FFF9F9F9"/>
      </font>
    </dxf>
    <dxf>
      <font>
        <color rgb="FFF9F9F9"/>
      </font>
    </dxf>
  </dxfs>
  <tableStyles count="0" defaultTableStyle="TableStyleMedium2" defaultPivotStyle="PivotStyleLight16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Helpers'!$F$2</c:f>
              <c:strCache>
                <c:ptCount val="1"/>
                <c:pt idx="0">
                  <c:v>Neto peļņa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</c:spPr>
          <c:invertIfNegative val="0"/>
          <c:cat>
            <c:strRef>
              <c:f>'Chart Helpers'!$G$1:$R$1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Helpers'!$G$2:$R$2</c:f>
              <c:numCache>
                <c:formatCode>#,##0_);[Red]\(#,##0\)</c:formatCode>
                <c:ptCount val="12"/>
                <c:pt idx="0">
                  <c:v>-3030.3030303030305</c:v>
                </c:pt>
                <c:pt idx="1">
                  <c:v>-3030.3030303030305</c:v>
                </c:pt>
                <c:pt idx="2">
                  <c:v>-3030.3030303030305</c:v>
                </c:pt>
                <c:pt idx="3">
                  <c:v>-3030.3030303030305</c:v>
                </c:pt>
                <c:pt idx="4">
                  <c:v>-3030.3030303030305</c:v>
                </c:pt>
                <c:pt idx="5">
                  <c:v>-3030.3030303030305</c:v>
                </c:pt>
                <c:pt idx="6">
                  <c:v>-3030.3030303030305</c:v>
                </c:pt>
                <c:pt idx="7">
                  <c:v>-3030.3030303030305</c:v>
                </c:pt>
                <c:pt idx="8">
                  <c:v>-3030.3030303030305</c:v>
                </c:pt>
                <c:pt idx="9">
                  <c:v>-3030.3030303030305</c:v>
                </c:pt>
                <c:pt idx="10">
                  <c:v>-3030.3030303030305</c:v>
                </c:pt>
                <c:pt idx="11">
                  <c:v>-3030.3030303030305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1-446A-AB89-7D9B43538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7468920"/>
        <c:axId val="1"/>
      </c:barChart>
      <c:lineChart>
        <c:grouping val="standard"/>
        <c:varyColors val="0"/>
        <c:ser>
          <c:idx val="1"/>
          <c:order val="1"/>
          <c:tx>
            <c:strRef>
              <c:f>'Chart Helpers'!$F$3</c:f>
              <c:strCache>
                <c:ptCount val="1"/>
                <c:pt idx="0">
                  <c:v>% no apgrozījuma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'Chart Helpers'!$G$1:$R$1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Helpers'!$G$3:$R$3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1-446A-AB89-7D9B43538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6746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6746892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80808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Helpers'!$F$5</c:f>
              <c:strCache>
                <c:ptCount val="1"/>
                <c:pt idx="0">
                  <c:v>Naudas pieaugums/samazinājums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</c:spPr>
          <c:invertIfNegative val="0"/>
          <c:cat>
            <c:strRef>
              <c:f>'Chart Helpers'!$G$4:$R$4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Helpers'!$G$5:$R$5</c:f>
              <c:numCache>
                <c:formatCode>#,##0_);[Red]\(#,##0\)</c:formatCode>
                <c:ptCount val="12"/>
                <c:pt idx="0">
                  <c:v>-20000</c:v>
                </c:pt>
                <c:pt idx="1">
                  <c:v>-10000</c:v>
                </c:pt>
                <c:pt idx="2">
                  <c:v>-30000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E-4EF9-8746-977889A6E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6526552"/>
        <c:axId val="1"/>
      </c:barChart>
      <c:lineChart>
        <c:grouping val="standard"/>
        <c:varyColors val="0"/>
        <c:ser>
          <c:idx val="1"/>
          <c:order val="1"/>
          <c:tx>
            <c:strRef>
              <c:f>'Chart Helpers'!$F$6</c:f>
              <c:strCache>
                <c:ptCount val="1"/>
                <c:pt idx="0">
                  <c:v>Naudas atlikums</c:v>
                </c:pt>
              </c:strCache>
            </c:strRef>
          </c:tx>
          <c:marker>
            <c:symbol val="none"/>
          </c:marker>
          <c:cat>
            <c:strRef>
              <c:f>'Chart Helpers'!$G$4:$R$4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Helpers'!$G$6:$R$6</c:f>
              <c:numCache>
                <c:formatCode>#,##0_);[Red]\(#,##0\)</c:formatCode>
                <c:ptCount val="12"/>
                <c:pt idx="0">
                  <c:v>136126.97544731706</c:v>
                </c:pt>
                <c:pt idx="1">
                  <c:v>126126.97544731706</c:v>
                </c:pt>
                <c:pt idx="2">
                  <c:v>96126.975447317061</c:v>
                </c:pt>
                <c:pt idx="3">
                  <c:v>96126.975447317061</c:v>
                </c:pt>
                <c:pt idx="4">
                  <c:v>96126.975447317061</c:v>
                </c:pt>
                <c:pt idx="5">
                  <c:v>96126.975447317061</c:v>
                </c:pt>
                <c:pt idx="6">
                  <c:v>96126.975447317061</c:v>
                </c:pt>
                <c:pt idx="7">
                  <c:v>96126.975447317061</c:v>
                </c:pt>
                <c:pt idx="8">
                  <c:v>96126.975447317061</c:v>
                </c:pt>
                <c:pt idx="9">
                  <c:v>96126.975447317061</c:v>
                </c:pt>
                <c:pt idx="10">
                  <c:v>96126.975447317061</c:v>
                </c:pt>
                <c:pt idx="11">
                  <c:v>96126.975447317061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FE-4EF9-8746-977889A6E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526552"/>
        <c:axId val="1"/>
      </c:lineChart>
      <c:catAx>
        <c:axId val="37652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90000"/>
          <c:min val="-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65265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Bilance!$B$5</c:f>
              <c:strCache>
                <c:ptCount val="1"/>
                <c:pt idx="0">
                  <c:v>Nauda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Bilance!$C$5:$O$5</c:f>
              <c:numCache>
                <c:formatCode>#,##0;\(#,##0\)</c:formatCode>
                <c:ptCount val="13"/>
                <c:pt idx="0">
                  <c:v>156126.97544731706</c:v>
                </c:pt>
                <c:pt idx="1">
                  <c:v>136126.97544731706</c:v>
                </c:pt>
                <c:pt idx="2">
                  <c:v>126126.97544731706</c:v>
                </c:pt>
                <c:pt idx="3">
                  <c:v>96126.975447317061</c:v>
                </c:pt>
                <c:pt idx="4">
                  <c:v>96126.975447317061</c:v>
                </c:pt>
                <c:pt idx="5">
                  <c:v>96126.975447317061</c:v>
                </c:pt>
                <c:pt idx="6">
                  <c:v>96126.975447317061</c:v>
                </c:pt>
                <c:pt idx="7">
                  <c:v>96126.975447317061</c:v>
                </c:pt>
                <c:pt idx="8">
                  <c:v>96126.975447317061</c:v>
                </c:pt>
                <c:pt idx="9">
                  <c:v>96126.975447317061</c:v>
                </c:pt>
                <c:pt idx="10">
                  <c:v>96126.975447317061</c:v>
                </c:pt>
                <c:pt idx="11">
                  <c:v>96126.975447317061</c:v>
                </c:pt>
                <c:pt idx="12">
                  <c:v>96126.975447317061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4-43A9-AB65-E7AF9F4E8B82}"/>
            </c:ext>
          </c:extLst>
        </c:ser>
        <c:ser>
          <c:idx val="1"/>
          <c:order val="1"/>
          <c:tx>
            <c:strRef>
              <c:f>Bilance!$B$6</c:f>
              <c:strCache>
                <c:ptCount val="1"/>
                <c:pt idx="0">
                  <c:v>Pircēju parādi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Bilance!$C$6:$O$6</c:f>
              <c:numCache>
                <c:formatCode>#,##0;\(#,##0\)</c:formatCode>
                <c:ptCount val="13"/>
                <c:pt idx="0">
                  <c:v>50000</c:v>
                </c:pt>
                <c:pt idx="1">
                  <c:v>25000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4-43A9-AB65-E7AF9F4E8B82}"/>
            </c:ext>
          </c:extLst>
        </c:ser>
        <c:ser>
          <c:idx val="2"/>
          <c:order val="2"/>
          <c:tx>
            <c:strRef>
              <c:f>Bilance!$B$7</c:f>
              <c:strCache>
                <c:ptCount val="1"/>
                <c:pt idx="0">
                  <c:v>Krājumi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Bilance!$C$7:$O$7</c:f>
              <c:numCache>
                <c:formatCode>#,##0;\(#,##0\)</c:formatCode>
                <c:ptCount val="13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35000</c:v>
                </c:pt>
                <c:pt idx="5">
                  <c:v>35000</c:v>
                </c:pt>
                <c:pt idx="6">
                  <c:v>35000</c:v>
                </c:pt>
                <c:pt idx="7">
                  <c:v>35000</c:v>
                </c:pt>
                <c:pt idx="8">
                  <c:v>35000</c:v>
                </c:pt>
                <c:pt idx="9">
                  <c:v>35000</c:v>
                </c:pt>
                <c:pt idx="10">
                  <c:v>35000</c:v>
                </c:pt>
                <c:pt idx="11">
                  <c:v>35000</c:v>
                </c:pt>
                <c:pt idx="12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4-43A9-AB65-E7AF9F4E8B82}"/>
            </c:ext>
          </c:extLst>
        </c:ser>
        <c:ser>
          <c:idx val="3"/>
          <c:order val="3"/>
          <c:tx>
            <c:strRef>
              <c:f>Bilance!$B$11</c:f>
              <c:strCache>
                <c:ptCount val="1"/>
                <c:pt idx="0">
                  <c:v>Ilgtermiņa aktīvi kopā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Bilance!$C$11:$O$11</c:f>
              <c:numCache>
                <c:formatCode>#,##0;\(#,##0\)</c:formatCode>
                <c:ptCount val="13"/>
                <c:pt idx="0">
                  <c:v>205000</c:v>
                </c:pt>
                <c:pt idx="1">
                  <c:v>201969.69696969696</c:v>
                </c:pt>
                <c:pt idx="2">
                  <c:v>198939.39393939392</c:v>
                </c:pt>
                <c:pt idx="3">
                  <c:v>195909.09090909088</c:v>
                </c:pt>
                <c:pt idx="4">
                  <c:v>192878.78787878784</c:v>
                </c:pt>
                <c:pt idx="5">
                  <c:v>189848.4848484848</c:v>
                </c:pt>
                <c:pt idx="6">
                  <c:v>186818.18181818177</c:v>
                </c:pt>
                <c:pt idx="7">
                  <c:v>183787.87878787873</c:v>
                </c:pt>
                <c:pt idx="8">
                  <c:v>180757.57575757569</c:v>
                </c:pt>
                <c:pt idx="9">
                  <c:v>177727.27272727265</c:v>
                </c:pt>
                <c:pt idx="10">
                  <c:v>174696.96969696961</c:v>
                </c:pt>
                <c:pt idx="11">
                  <c:v>171666.66666666657</c:v>
                </c:pt>
                <c:pt idx="12">
                  <c:v>168636.36363636353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34-43A9-AB65-E7AF9F4E8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6524584"/>
        <c:axId val="1"/>
      </c:barChart>
      <c:catAx>
        <c:axId val="37652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6524584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Bilance!$B$17</c:f>
              <c:strCache>
                <c:ptCount val="1"/>
                <c:pt idx="0">
                  <c:v>Īstermiņa kreditori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Bilance!$C$14:$O$14</c:f>
              <c:strCache>
                <c:ptCount val="13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Bilance!$C$17:$O$17</c:f>
              <c:numCache>
                <c:formatCode>#,##0;\(#,##0\)</c:formatCode>
                <c:ptCount val="13"/>
                <c:pt idx="0">
                  <c:v>110000</c:v>
                </c:pt>
                <c:pt idx="1">
                  <c:v>65000</c:v>
                </c:pt>
                <c:pt idx="2">
                  <c:v>30000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83-41D2-BF90-091C088470CD}"/>
            </c:ext>
          </c:extLst>
        </c:ser>
        <c:ser>
          <c:idx val="1"/>
          <c:order val="1"/>
          <c:tx>
            <c:strRef>
              <c:f>Bilance!$B$21</c:f>
              <c:strCache>
                <c:ptCount val="1"/>
                <c:pt idx="0">
                  <c:v>Ilgtermiņa kreditori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Bilance!$C$14:$O$14</c:f>
              <c:strCache>
                <c:ptCount val="13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Bilance!$C$21:$O$21</c:f>
              <c:numCache>
                <c:formatCode>#,##0;\(#,##0\)</c:formatCode>
                <c:ptCount val="13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  <c:pt idx="6">
                  <c:v>40000</c:v>
                </c:pt>
                <c:pt idx="7">
                  <c:v>40000</c:v>
                </c:pt>
                <c:pt idx="8">
                  <c:v>40000</c:v>
                </c:pt>
                <c:pt idx="9">
                  <c:v>40000</c:v>
                </c:pt>
                <c:pt idx="10">
                  <c:v>40000</c:v>
                </c:pt>
                <c:pt idx="11">
                  <c:v>40000</c:v>
                </c:pt>
                <c:pt idx="12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83-41D2-BF90-091C088470CD}"/>
            </c:ext>
          </c:extLst>
        </c:ser>
        <c:ser>
          <c:idx val="3"/>
          <c:order val="2"/>
          <c:tx>
            <c:strRef>
              <c:f>Bilance!$B$27</c:f>
              <c:strCache>
                <c:ptCount val="1"/>
                <c:pt idx="0">
                  <c:v>Pašu kapitāls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cat>
            <c:strRef>
              <c:f>Bilance!$C$14:$O$14</c:f>
              <c:strCache>
                <c:ptCount val="13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Bilance!$C$27:$O$27</c:f>
              <c:numCache>
                <c:formatCode>#,##0;\(#,##0\)</c:formatCode>
                <c:ptCount val="13"/>
                <c:pt idx="0">
                  <c:v>296126.97544731706</c:v>
                </c:pt>
                <c:pt idx="1">
                  <c:v>293096.67241701402</c:v>
                </c:pt>
                <c:pt idx="2">
                  <c:v>290066.36938671104</c:v>
                </c:pt>
                <c:pt idx="3">
                  <c:v>287036.06635640794</c:v>
                </c:pt>
                <c:pt idx="4">
                  <c:v>284005.76332610496</c:v>
                </c:pt>
                <c:pt idx="5">
                  <c:v>280975.46029580192</c:v>
                </c:pt>
                <c:pt idx="6">
                  <c:v>277945.15726549888</c:v>
                </c:pt>
                <c:pt idx="7">
                  <c:v>274914.85423519585</c:v>
                </c:pt>
                <c:pt idx="8">
                  <c:v>271884.55120489281</c:v>
                </c:pt>
                <c:pt idx="9">
                  <c:v>268854.24817458977</c:v>
                </c:pt>
                <c:pt idx="10">
                  <c:v>265823.94514428673</c:v>
                </c:pt>
                <c:pt idx="11">
                  <c:v>262793.64211398375</c:v>
                </c:pt>
                <c:pt idx="12">
                  <c:v>259763.33908368068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83-41D2-BF90-091C08847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6531144"/>
        <c:axId val="1"/>
      </c:barChart>
      <c:catAx>
        <c:axId val="37653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6531144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7</xdr:rowOff>
    </xdr:from>
    <xdr:to>
      <xdr:col>17</xdr:col>
      <xdr:colOff>19050</xdr:colOff>
      <xdr:row>21</xdr:row>
      <xdr:rowOff>66218</xdr:rowOff>
    </xdr:to>
    <xdr:graphicFrame macro="">
      <xdr:nvGraphicFramePr>
        <xdr:cNvPr id="4034362" name="Chart 3">
          <a:extLst>
            <a:ext uri="{FF2B5EF4-FFF2-40B4-BE49-F238E27FC236}">
              <a16:creationId xmlns:a16="http://schemas.microsoft.com/office/drawing/2014/main" id="{00000000-0008-0000-0100-00003A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</xdr:colOff>
      <xdr:row>6</xdr:row>
      <xdr:rowOff>0</xdr:rowOff>
    </xdr:from>
    <xdr:to>
      <xdr:col>23</xdr:col>
      <xdr:colOff>0</xdr:colOff>
      <xdr:row>21</xdr:row>
      <xdr:rowOff>66217</xdr:rowOff>
    </xdr:to>
    <xdr:graphicFrame macro="">
      <xdr:nvGraphicFramePr>
        <xdr:cNvPr id="4034364" name="Chart 3">
          <a:extLst>
            <a:ext uri="{FF2B5EF4-FFF2-40B4-BE49-F238E27FC236}">
              <a16:creationId xmlns:a16="http://schemas.microsoft.com/office/drawing/2014/main" id="{00000000-0008-0000-0100-00003C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23</xdr:row>
      <xdr:rowOff>18143</xdr:rowOff>
    </xdr:from>
    <xdr:to>
      <xdr:col>17</xdr:col>
      <xdr:colOff>26670</xdr:colOff>
      <xdr:row>37</xdr:row>
      <xdr:rowOff>156938</xdr:rowOff>
    </xdr:to>
    <xdr:graphicFrame macro="">
      <xdr:nvGraphicFramePr>
        <xdr:cNvPr id="4034365" name="Chart 3">
          <a:extLst>
            <a:ext uri="{FF2B5EF4-FFF2-40B4-BE49-F238E27FC236}">
              <a16:creationId xmlns:a16="http://schemas.microsoft.com/office/drawing/2014/main" id="{00000000-0008-0000-0100-00003D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23</xdr:row>
      <xdr:rowOff>9073</xdr:rowOff>
    </xdr:from>
    <xdr:to>
      <xdr:col>23</xdr:col>
      <xdr:colOff>0</xdr:colOff>
      <xdr:row>37</xdr:row>
      <xdr:rowOff>156939</xdr:rowOff>
    </xdr:to>
    <xdr:graphicFrame macro="">
      <xdr:nvGraphicFramePr>
        <xdr:cNvPr id="4034366" name="Chart 3">
          <a:extLst>
            <a:ext uri="{FF2B5EF4-FFF2-40B4-BE49-F238E27FC236}">
              <a16:creationId xmlns:a16="http://schemas.microsoft.com/office/drawing/2014/main" id="{00000000-0008-0000-0100-00003E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T62"/>
  <sheetViews>
    <sheetView showGridLines="0" zoomScale="55" zoomScaleNormal="55" workbookViewId="0">
      <selection activeCell="I2" sqref="I2"/>
    </sheetView>
  </sheetViews>
  <sheetFormatPr defaultColWidth="9.1328125" defaultRowHeight="12.75" x14ac:dyDescent="0.35"/>
  <cols>
    <col min="1" max="5" width="9.1328125" style="313"/>
    <col min="6" max="6" width="30.46484375" style="313" bestFit="1" customWidth="1"/>
    <col min="7" max="7" width="48.86328125" style="313" bestFit="1" customWidth="1"/>
    <col min="8" max="16384" width="9.1328125" style="313"/>
  </cols>
  <sheetData>
    <row r="1" spans="6:18" x14ac:dyDescent="0.35">
      <c r="F1" s="313" t="s">
        <v>40</v>
      </c>
      <c r="G1" s="314" t="str">
        <f>PZA!C4</f>
        <v>Jan</v>
      </c>
      <c r="H1" s="314" t="str">
        <f>PZA!D4</f>
        <v>Feb</v>
      </c>
      <c r="I1" s="314" t="str">
        <f>PZA!E4</f>
        <v>Mar</v>
      </c>
      <c r="J1" s="314" t="str">
        <f>PZA!F4</f>
        <v>Apr</v>
      </c>
      <c r="K1" s="314" t="str">
        <f>PZA!G4</f>
        <v>May</v>
      </c>
      <c r="L1" s="314" t="str">
        <f>PZA!H4</f>
        <v>Jun</v>
      </c>
      <c r="M1" s="314" t="str">
        <f>PZA!I4</f>
        <v>Jul</v>
      </c>
      <c r="N1" s="314" t="str">
        <f>PZA!J4</f>
        <v>Aug</v>
      </c>
      <c r="O1" s="314" t="str">
        <f>PZA!K4</f>
        <v>Sep</v>
      </c>
      <c r="P1" s="314" t="str">
        <f>PZA!L4</f>
        <v>Oct</v>
      </c>
      <c r="Q1" s="314" t="str">
        <f>PZA!M4</f>
        <v>Nov</v>
      </c>
      <c r="R1" s="314" t="str">
        <f>PZA!N4</f>
        <v>Dec</v>
      </c>
    </row>
    <row r="2" spans="6:18" x14ac:dyDescent="0.35">
      <c r="F2" s="313" t="s">
        <v>60</v>
      </c>
      <c r="G2" s="314">
        <f>IF($F$2="EBITDA",PZA!#REF!,IF('Chart Helpers'!$F$2="EBIT",PZA!#REF!,INDEX(PZA!$B$4:$N$45,MATCH('Chart Helpers'!$F2,PZA!$B$4:$B$45,0),MATCH('Chart Helpers'!G$1,PZA!$B$4:$N$4,0))))</f>
        <v>-3030.3030303030305</v>
      </c>
      <c r="H2" s="314">
        <f>IF($F$2="EBITDA",PZA!#REF!,IF('Chart Helpers'!$F$2="EBIT",PZA!#REF!,INDEX(PZA!$B$4:$N$45,MATCH('Chart Helpers'!$F2,PZA!$B$4:$B$45,0),MATCH('Chart Helpers'!H$1,PZA!$B$4:$N$4,0))))</f>
        <v>-3030.3030303030305</v>
      </c>
      <c r="I2" s="314">
        <f>IF($F$2="EBITDA",PZA!#REF!,IF('Chart Helpers'!$F$2="EBIT",PZA!#REF!,INDEX(PZA!$B$4:$N$45,MATCH('Chart Helpers'!$F2,PZA!$B$4:$B$45,0),MATCH('Chart Helpers'!I$1,PZA!$B$4:$N$4,0))))</f>
        <v>-3030.3030303030305</v>
      </c>
      <c r="J2" s="314">
        <f>IF($F$2="EBITDA",PZA!#REF!,IF('Chart Helpers'!$F$2="EBIT",PZA!#REF!,INDEX(PZA!$B$4:$N$45,MATCH('Chart Helpers'!$F2,PZA!$B$4:$B$45,0),MATCH('Chart Helpers'!J$1,PZA!$B$4:$N$4,0))))</f>
        <v>-3030.3030303030305</v>
      </c>
      <c r="K2" s="314">
        <f>IF($F$2="EBITDA",PZA!#REF!,IF('Chart Helpers'!$F$2="EBIT",PZA!#REF!,INDEX(PZA!$B$4:$N$45,MATCH('Chart Helpers'!$F2,PZA!$B$4:$B$45,0),MATCH('Chart Helpers'!K$1,PZA!$B$4:$N$4,0))))</f>
        <v>-3030.3030303030305</v>
      </c>
      <c r="L2" s="314">
        <f>IF($F$2="EBITDA",PZA!#REF!,IF('Chart Helpers'!$F$2="EBIT",PZA!#REF!,INDEX(PZA!$B$4:$N$45,MATCH('Chart Helpers'!$F2,PZA!$B$4:$B$45,0),MATCH('Chart Helpers'!L$1,PZA!$B$4:$N$4,0))))</f>
        <v>-3030.3030303030305</v>
      </c>
      <c r="M2" s="314">
        <f>IF($F$2="EBITDA",PZA!#REF!,IF('Chart Helpers'!$F$2="EBIT",PZA!#REF!,INDEX(PZA!$B$4:$N$45,MATCH('Chart Helpers'!$F2,PZA!$B$4:$B$45,0),MATCH('Chart Helpers'!M$1,PZA!$B$4:$N$4,0))))</f>
        <v>-3030.3030303030305</v>
      </c>
      <c r="N2" s="314">
        <f>IF($F$2="EBITDA",PZA!#REF!,IF('Chart Helpers'!$F$2="EBIT",PZA!#REF!,INDEX(PZA!$B$4:$N$45,MATCH('Chart Helpers'!$F2,PZA!$B$4:$B$45,0),MATCH('Chart Helpers'!N$1,PZA!$B$4:$N$4,0))))</f>
        <v>-3030.3030303030305</v>
      </c>
      <c r="O2" s="314">
        <f>IF($F$2="EBITDA",PZA!#REF!,IF('Chart Helpers'!$F$2="EBIT",PZA!#REF!,INDEX(PZA!$B$4:$N$45,MATCH('Chart Helpers'!$F2,PZA!$B$4:$B$45,0),MATCH('Chart Helpers'!O$1,PZA!$B$4:$N$4,0))))</f>
        <v>-3030.3030303030305</v>
      </c>
      <c r="P2" s="314">
        <f>IF($F$2="EBITDA",PZA!#REF!,IF('Chart Helpers'!$F$2="EBIT",PZA!#REF!,INDEX(PZA!$B$4:$N$45,MATCH('Chart Helpers'!$F2,PZA!$B$4:$B$45,0),MATCH('Chart Helpers'!P$1,PZA!$B$4:$N$4,0))))</f>
        <v>-3030.3030303030305</v>
      </c>
      <c r="Q2" s="314">
        <f>IF($F$2="EBITDA",PZA!#REF!,IF('Chart Helpers'!$F$2="EBIT",PZA!#REF!,INDEX(PZA!$B$4:$N$45,MATCH('Chart Helpers'!$F2,PZA!$B$4:$B$45,0),MATCH('Chart Helpers'!Q$1,PZA!$B$4:$N$4,0))))</f>
        <v>-3030.3030303030305</v>
      </c>
      <c r="R2" s="314">
        <f>IF($F$2="EBITDA",PZA!#REF!,IF('Chart Helpers'!$F$2="EBIT",PZA!#REF!,INDEX(PZA!$B$4:$N$45,MATCH('Chart Helpers'!$F2,PZA!$B$4:$B$45,0),MATCH('Chart Helpers'!R$1,PZA!$B$4:$N$4,0))))</f>
        <v>-3030.3030303030305</v>
      </c>
    </row>
    <row r="3" spans="6:18" x14ac:dyDescent="0.35">
      <c r="F3" s="313" t="s">
        <v>63</v>
      </c>
      <c r="G3" s="315" t="e">
        <f>IF($F$2="Sales Revenue","",G2/PZA!C6)</f>
        <v>#DIV/0!</v>
      </c>
      <c r="H3" s="315" t="e">
        <f>IF($F$2="Sales Revenue","",H2/PZA!D6)</f>
        <v>#DIV/0!</v>
      </c>
      <c r="I3" s="315" t="e">
        <f>IF($F$2="Sales Revenue","",I2/PZA!E6)</f>
        <v>#DIV/0!</v>
      </c>
      <c r="J3" s="315" t="e">
        <f>IF($F$2="Sales Revenue","",J2/PZA!F6)</f>
        <v>#DIV/0!</v>
      </c>
      <c r="K3" s="315" t="e">
        <f>IF($F$2="Sales Revenue","",K2/PZA!G6)</f>
        <v>#DIV/0!</v>
      </c>
      <c r="L3" s="315" t="e">
        <f>IF($F$2="Sales Revenue","",L2/PZA!H6)</f>
        <v>#DIV/0!</v>
      </c>
      <c r="M3" s="315" t="e">
        <f>IF($F$2="Sales Revenue","",M2/PZA!I6)</f>
        <v>#DIV/0!</v>
      </c>
      <c r="N3" s="315" t="e">
        <f>IF($F$2="Sales Revenue","",N2/PZA!J6)</f>
        <v>#DIV/0!</v>
      </c>
      <c r="O3" s="315" t="e">
        <f>IF($F$2="Sales Revenue","",O2/PZA!K6)</f>
        <v>#DIV/0!</v>
      </c>
      <c r="P3" s="315" t="e">
        <f>IF($F$2="Sales Revenue","",P2/PZA!L6)</f>
        <v>#DIV/0!</v>
      </c>
      <c r="Q3" s="315" t="e">
        <f>IF($F$2="Sales Revenue","",Q2/PZA!M6)</f>
        <v>#DIV/0!</v>
      </c>
      <c r="R3" s="315" t="e">
        <f>IF($F$2="Sales Revenue","",R2/PZA!N6)</f>
        <v>#DIV/0!</v>
      </c>
    </row>
    <row r="4" spans="6:18" x14ac:dyDescent="0.35">
      <c r="F4" s="313" t="s">
        <v>41</v>
      </c>
      <c r="G4" s="314" t="str">
        <f>G1</f>
        <v>Jan</v>
      </c>
      <c r="H4" s="314" t="str">
        <f t="shared" ref="H4:R4" si="0">H1</f>
        <v>Feb</v>
      </c>
      <c r="I4" s="314" t="str">
        <f t="shared" si="0"/>
        <v>Mar</v>
      </c>
      <c r="J4" s="314" t="str">
        <f t="shared" si="0"/>
        <v>Apr</v>
      </c>
      <c r="K4" s="314" t="str">
        <f t="shared" si="0"/>
        <v>May</v>
      </c>
      <c r="L4" s="314" t="str">
        <f t="shared" si="0"/>
        <v>Jun</v>
      </c>
      <c r="M4" s="314" t="str">
        <f t="shared" si="0"/>
        <v>Jul</v>
      </c>
      <c r="N4" s="314" t="str">
        <f t="shared" si="0"/>
        <v>Aug</v>
      </c>
      <c r="O4" s="314" t="str">
        <f t="shared" si="0"/>
        <v>Sep</v>
      </c>
      <c r="P4" s="314" t="str">
        <f t="shared" si="0"/>
        <v>Oct</v>
      </c>
      <c r="Q4" s="314" t="str">
        <f t="shared" si="0"/>
        <v>Nov</v>
      </c>
      <c r="R4" s="314" t="str">
        <f t="shared" si="0"/>
        <v>Dec</v>
      </c>
    </row>
    <row r="5" spans="6:18" x14ac:dyDescent="0.35">
      <c r="F5" s="313" t="s">
        <v>64</v>
      </c>
      <c r="G5" s="314">
        <f>INDEX($F$52:$R$60,MATCH('Chart Helpers'!$F5,$F$52:$F$60,0),(MATCH('Chart Helpers'!G$4,$F$52:$R$52,0)))</f>
        <v>-20000</v>
      </c>
      <c r="H5" s="314">
        <f>INDEX($F$52:$R$60,MATCH('Chart Helpers'!$F5,$F$52:$F$60,0),(MATCH('Chart Helpers'!H$4,$F$52:$R$52,0)))</f>
        <v>-10000</v>
      </c>
      <c r="I5" s="314">
        <f>INDEX($F$52:$R$60,MATCH('Chart Helpers'!$F5,$F$52:$F$60,0),(MATCH('Chart Helpers'!I$4,$F$52:$R$52,0)))</f>
        <v>-30000</v>
      </c>
      <c r="J5" s="314">
        <f>INDEX($F$52:$R$60,MATCH('Chart Helpers'!$F5,$F$52:$F$60,0),(MATCH('Chart Helpers'!J$4,$F$52:$R$52,0)))</f>
        <v>0</v>
      </c>
      <c r="K5" s="314">
        <f>INDEX($F$52:$R$60,MATCH('Chart Helpers'!$F5,$F$52:$F$60,0),(MATCH('Chart Helpers'!K$4,$F$52:$R$52,0)))</f>
        <v>0</v>
      </c>
      <c r="L5" s="314">
        <f>INDEX($F$52:$R$60,MATCH('Chart Helpers'!$F5,$F$52:$F$60,0),(MATCH('Chart Helpers'!L$4,$F$52:$R$52,0)))</f>
        <v>0</v>
      </c>
      <c r="M5" s="314">
        <f>INDEX($F$52:$R$60,MATCH('Chart Helpers'!$F5,$F$52:$F$60,0),(MATCH('Chart Helpers'!M$4,$F$52:$R$52,0)))</f>
        <v>0</v>
      </c>
      <c r="N5" s="314">
        <f>INDEX($F$52:$R$60,MATCH('Chart Helpers'!$F5,$F$52:$F$60,0),(MATCH('Chart Helpers'!N$4,$F$52:$R$52,0)))</f>
        <v>0</v>
      </c>
      <c r="O5" s="314">
        <f>INDEX($F$52:$R$60,MATCH('Chart Helpers'!$F5,$F$52:$F$60,0),(MATCH('Chart Helpers'!O$4,$F$52:$R$52,0)))</f>
        <v>0</v>
      </c>
      <c r="P5" s="314">
        <f>INDEX($F$52:$R$60,MATCH('Chart Helpers'!$F5,$F$52:$F$60,0),(MATCH('Chart Helpers'!P$4,$F$52:$R$52,0)))</f>
        <v>0</v>
      </c>
      <c r="Q5" s="314">
        <f>INDEX($F$52:$R$60,MATCH('Chart Helpers'!$F5,$F$52:$F$60,0),(MATCH('Chart Helpers'!Q$4,$F$52:$R$52,0)))</f>
        <v>0</v>
      </c>
      <c r="R5" s="314">
        <f>INDEX($F$52:$R$60,MATCH('Chart Helpers'!$F5,$F$52:$F$60,0),(MATCH('Chart Helpers'!R$4,$F$52:$R$52,0)))</f>
        <v>0</v>
      </c>
    </row>
    <row r="6" spans="6:18" x14ac:dyDescent="0.35">
      <c r="F6" s="313" t="s">
        <v>66</v>
      </c>
      <c r="G6" s="314">
        <f>NP!C30</f>
        <v>136126.97544731706</v>
      </c>
      <c r="H6" s="314">
        <f>NP!D30</f>
        <v>126126.97544731706</v>
      </c>
      <c r="I6" s="314">
        <f>NP!E30</f>
        <v>96126.975447317061</v>
      </c>
      <c r="J6" s="314">
        <f>NP!F30</f>
        <v>96126.975447317061</v>
      </c>
      <c r="K6" s="314">
        <f>NP!G30</f>
        <v>96126.975447317061</v>
      </c>
      <c r="L6" s="314">
        <f>NP!H30</f>
        <v>96126.975447317061</v>
      </c>
      <c r="M6" s="314">
        <f>NP!I30</f>
        <v>96126.975447317061</v>
      </c>
      <c r="N6" s="314">
        <f>NP!J30</f>
        <v>96126.975447317061</v>
      </c>
      <c r="O6" s="314">
        <f>NP!K30</f>
        <v>96126.975447317061</v>
      </c>
      <c r="P6" s="314">
        <f>NP!L30</f>
        <v>96126.975447317061</v>
      </c>
      <c r="Q6" s="314">
        <f>NP!M30</f>
        <v>96126.975447317061</v>
      </c>
      <c r="R6" s="314">
        <f>NP!N30</f>
        <v>96126.975447317061</v>
      </c>
    </row>
    <row r="7" spans="6:18" x14ac:dyDescent="0.35">
      <c r="F7" s="313" t="s">
        <v>42</v>
      </c>
      <c r="G7" s="314" t="str">
        <f t="shared" ref="G7:R7" si="1">G4</f>
        <v>Jan</v>
      </c>
      <c r="H7" s="314" t="str">
        <f t="shared" si="1"/>
        <v>Feb</v>
      </c>
      <c r="I7" s="314" t="str">
        <f t="shared" si="1"/>
        <v>Mar</v>
      </c>
      <c r="J7" s="314" t="str">
        <f t="shared" si="1"/>
        <v>Apr</v>
      </c>
      <c r="K7" s="314" t="str">
        <f t="shared" si="1"/>
        <v>May</v>
      </c>
      <c r="L7" s="314" t="str">
        <f t="shared" si="1"/>
        <v>Jun</v>
      </c>
      <c r="M7" s="314" t="str">
        <f t="shared" si="1"/>
        <v>Jul</v>
      </c>
      <c r="N7" s="314" t="str">
        <f t="shared" si="1"/>
        <v>Aug</v>
      </c>
      <c r="O7" s="314" t="str">
        <f t="shared" si="1"/>
        <v>Sep</v>
      </c>
      <c r="P7" s="314" t="str">
        <f t="shared" si="1"/>
        <v>Oct</v>
      </c>
      <c r="Q7" s="314" t="str">
        <f t="shared" si="1"/>
        <v>Nov</v>
      </c>
      <c r="R7" s="314" t="str">
        <f t="shared" si="1"/>
        <v>Dec</v>
      </c>
    </row>
    <row r="8" spans="6:18" x14ac:dyDescent="0.35">
      <c r="F8" s="313" t="str">
        <f>Pieņēmumi!L23</f>
        <v>Aktīvi kopā</v>
      </c>
      <c r="G8" s="314">
        <f>INDEX(Bilance!$D$4:$O$28,MATCH('Chart Helpers'!$F8,Bilance!$B$4:$B$28,0),MATCH('Chart Helpers'!G$7,Bilance!$D$4:$O$4,0))</f>
        <v>398096.67241701402</v>
      </c>
      <c r="H8" s="314">
        <f>INDEX(Bilance!$D$4:$O$28,MATCH('Chart Helpers'!$F8,Bilance!$B$4:$B$28,0),MATCH('Chart Helpers'!H$7,Bilance!$D$4:$O$4,0))</f>
        <v>360066.36938671098</v>
      </c>
      <c r="I8" s="314">
        <f>INDEX(Bilance!$D$4:$O$28,MATCH('Chart Helpers'!$F8,Bilance!$B$4:$B$28,0),MATCH('Chart Helpers'!I$7,Bilance!$D$4:$O$4,0))</f>
        <v>327036.06635640794</v>
      </c>
      <c r="J8" s="314">
        <f>INDEX(Bilance!$D$4:$O$28,MATCH('Chart Helpers'!$F8,Bilance!$B$4:$B$28,0),MATCH('Chart Helpers'!J$7,Bilance!$D$4:$O$4,0))</f>
        <v>324005.7633261049</v>
      </c>
      <c r="K8" s="314">
        <f>INDEX(Bilance!$D$4:$O$28,MATCH('Chart Helpers'!$F8,Bilance!$B$4:$B$28,0),MATCH('Chart Helpers'!K$7,Bilance!$D$4:$O$4,0))</f>
        <v>320975.46029580187</v>
      </c>
      <c r="L8" s="314">
        <f>INDEX(Bilance!$D$4:$O$28,MATCH('Chart Helpers'!$F8,Bilance!$B$4:$B$28,0),MATCH('Chart Helpers'!L$7,Bilance!$D$4:$O$4,0))</f>
        <v>317945.15726549883</v>
      </c>
      <c r="M8" s="314">
        <f>INDEX(Bilance!$D$4:$O$28,MATCH('Chart Helpers'!$F8,Bilance!$B$4:$B$28,0),MATCH('Chart Helpers'!M$7,Bilance!$D$4:$O$4,0))</f>
        <v>314914.85423519579</v>
      </c>
      <c r="N8" s="314">
        <f>INDEX(Bilance!$D$4:$O$28,MATCH('Chart Helpers'!$F8,Bilance!$B$4:$B$28,0),MATCH('Chart Helpers'!N$7,Bilance!$D$4:$O$4,0))</f>
        <v>311884.55120489275</v>
      </c>
      <c r="O8" s="314">
        <f>INDEX(Bilance!$D$4:$O$28,MATCH('Chart Helpers'!$F8,Bilance!$B$4:$B$28,0),MATCH('Chart Helpers'!O$7,Bilance!$D$4:$O$4,0))</f>
        <v>308854.24817458971</v>
      </c>
      <c r="P8" s="314">
        <f>INDEX(Bilance!$D$4:$O$28,MATCH('Chart Helpers'!$F8,Bilance!$B$4:$B$28,0),MATCH('Chart Helpers'!P$7,Bilance!$D$4:$O$4,0))</f>
        <v>305823.94514428667</v>
      </c>
      <c r="Q8" s="314">
        <f>INDEX(Bilance!$D$4:$O$28,MATCH('Chart Helpers'!$F8,Bilance!$B$4:$B$28,0),MATCH('Chart Helpers'!Q$7,Bilance!$D$4:$O$4,0))</f>
        <v>302793.64211398363</v>
      </c>
      <c r="R8" s="314">
        <f>INDEX(Bilance!$D$4:$O$28,MATCH('Chart Helpers'!$F8,Bilance!$B$4:$B$28,0),MATCH('Chart Helpers'!R$7,Bilance!$D$4:$O$4,0))</f>
        <v>299763.33908368059</v>
      </c>
    </row>
    <row r="9" spans="6:18" x14ac:dyDescent="0.35">
      <c r="F9" s="313" t="s">
        <v>43</v>
      </c>
      <c r="G9" s="314" t="str">
        <f>G7</f>
        <v>Jan</v>
      </c>
      <c r="H9" s="314" t="str">
        <f t="shared" ref="H9:R9" si="2">H7</f>
        <v>Feb</v>
      </c>
      <c r="I9" s="314" t="str">
        <f t="shared" si="2"/>
        <v>Mar</v>
      </c>
      <c r="J9" s="314" t="str">
        <f t="shared" si="2"/>
        <v>Apr</v>
      </c>
      <c r="K9" s="314" t="str">
        <f t="shared" si="2"/>
        <v>May</v>
      </c>
      <c r="L9" s="314" t="str">
        <f t="shared" si="2"/>
        <v>Jun</v>
      </c>
      <c r="M9" s="314" t="str">
        <f t="shared" si="2"/>
        <v>Jul</v>
      </c>
      <c r="N9" s="314" t="str">
        <f t="shared" si="2"/>
        <v>Aug</v>
      </c>
      <c r="O9" s="314" t="str">
        <f t="shared" si="2"/>
        <v>Sep</v>
      </c>
      <c r="P9" s="314" t="str">
        <f t="shared" si="2"/>
        <v>Oct</v>
      </c>
      <c r="Q9" s="314" t="str">
        <f t="shared" si="2"/>
        <v>Nov</v>
      </c>
      <c r="R9" s="314" t="str">
        <f t="shared" si="2"/>
        <v>Dec</v>
      </c>
    </row>
    <row r="10" spans="6:18" x14ac:dyDescent="0.35">
      <c r="F10" s="313" t="str">
        <f>Pieņēmumi!R23</f>
        <v>Pasīvi kopā</v>
      </c>
      <c r="G10" s="314">
        <f>INDEX(Bilance!$D$4:$O$28,MATCH('Chart Helpers'!$F10,Bilance!$B$4:$B$28,0),MATCH('Chart Helpers'!G$7,Bilance!$D$4:$O$4,0))</f>
        <v>398096.67241701402</v>
      </c>
      <c r="H10" s="314">
        <f>INDEX(Bilance!$D$4:$O$28,MATCH('Chart Helpers'!$F10,Bilance!$B$4:$B$28,0),MATCH('Chart Helpers'!H$7,Bilance!$D$4:$O$4,0))</f>
        <v>360066.36938671104</v>
      </c>
      <c r="I10" s="314">
        <f>INDEX(Bilance!$D$4:$O$28,MATCH('Chart Helpers'!$F10,Bilance!$B$4:$B$28,0),MATCH('Chart Helpers'!I$7,Bilance!$D$4:$O$4,0))</f>
        <v>327036.06635640794</v>
      </c>
      <c r="J10" s="314">
        <f>INDEX(Bilance!$D$4:$O$28,MATCH('Chart Helpers'!$F10,Bilance!$B$4:$B$28,0),MATCH('Chart Helpers'!J$7,Bilance!$D$4:$O$4,0))</f>
        <v>324005.76332610496</v>
      </c>
      <c r="K10" s="314">
        <f>INDEX(Bilance!$D$4:$O$28,MATCH('Chart Helpers'!$F10,Bilance!$B$4:$B$28,0),MATCH('Chart Helpers'!K$7,Bilance!$D$4:$O$4,0))</f>
        <v>320975.46029580192</v>
      </c>
      <c r="L10" s="314">
        <f>INDEX(Bilance!$D$4:$O$28,MATCH('Chart Helpers'!$F10,Bilance!$B$4:$B$28,0),MATCH('Chart Helpers'!L$7,Bilance!$D$4:$O$4,0))</f>
        <v>317945.15726549888</v>
      </c>
      <c r="M10" s="314">
        <f>INDEX(Bilance!$D$4:$O$28,MATCH('Chart Helpers'!$F10,Bilance!$B$4:$B$28,0),MATCH('Chart Helpers'!M$7,Bilance!$D$4:$O$4,0))</f>
        <v>314914.85423519585</v>
      </c>
      <c r="N10" s="314">
        <f>INDEX(Bilance!$D$4:$O$28,MATCH('Chart Helpers'!$F10,Bilance!$B$4:$B$28,0),MATCH('Chart Helpers'!N$7,Bilance!$D$4:$O$4,0))</f>
        <v>311884.55120489281</v>
      </c>
      <c r="O10" s="314">
        <f>INDEX(Bilance!$D$4:$O$28,MATCH('Chart Helpers'!$F10,Bilance!$B$4:$B$28,0),MATCH('Chart Helpers'!O$7,Bilance!$D$4:$O$4,0))</f>
        <v>308854.24817458977</v>
      </c>
      <c r="P10" s="314">
        <f>INDEX(Bilance!$D$4:$O$28,MATCH('Chart Helpers'!$F10,Bilance!$B$4:$B$28,0),MATCH('Chart Helpers'!P$7,Bilance!$D$4:$O$4,0))</f>
        <v>305823.94514428673</v>
      </c>
      <c r="Q10" s="314">
        <f>INDEX(Bilance!$D$4:$O$28,MATCH('Chart Helpers'!$F10,Bilance!$B$4:$B$28,0),MATCH('Chart Helpers'!Q$7,Bilance!$D$4:$O$4,0))</f>
        <v>302793.64211398375</v>
      </c>
      <c r="R10" s="314">
        <f>INDEX(Bilance!$D$4:$O$28,MATCH('Chart Helpers'!$F10,Bilance!$B$4:$B$28,0),MATCH('Chart Helpers'!R$7,Bilance!$D$4:$O$4,0))</f>
        <v>299763.33908368065</v>
      </c>
    </row>
    <row r="11" spans="6:18" x14ac:dyDescent="0.35"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</row>
    <row r="12" spans="6:18" x14ac:dyDescent="0.35"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</row>
    <row r="13" spans="6:18" x14ac:dyDescent="0.35"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</row>
    <row r="14" spans="6:18" x14ac:dyDescent="0.35">
      <c r="F14" s="313" t="s">
        <v>37</v>
      </c>
    </row>
    <row r="15" spans="6:18" x14ac:dyDescent="0.35">
      <c r="F15" s="313" t="s">
        <v>12</v>
      </c>
      <c r="G15" s="313" t="str">
        <f>NP!B15</f>
        <v>Pamatdarbības naudas plūsma</v>
      </c>
    </row>
    <row r="16" spans="6:18" x14ac:dyDescent="0.35">
      <c r="F16" s="313" t="s">
        <v>11</v>
      </c>
      <c r="G16" s="313" t="str">
        <f>NP!B19</f>
        <v>Ieguldījumu naudas plūsma</v>
      </c>
    </row>
    <row r="17" spans="6:7" x14ac:dyDescent="0.35">
      <c r="F17" s="313" t="s">
        <v>4</v>
      </c>
      <c r="G17" s="313" t="str">
        <f>NP!B26</f>
        <v>Finansēšanas naudas plūsma</v>
      </c>
    </row>
    <row r="18" spans="6:7" x14ac:dyDescent="0.35">
      <c r="F18" s="313" t="s">
        <v>23</v>
      </c>
      <c r="G18" s="313" t="str">
        <f>NP!B28</f>
        <v>Naudas pieaugums/samazinājums</v>
      </c>
    </row>
    <row r="19" spans="6:7" x14ac:dyDescent="0.35">
      <c r="F19" s="313" t="s">
        <v>35</v>
      </c>
    </row>
    <row r="20" spans="6:7" x14ac:dyDescent="0.35">
      <c r="F20" s="313" t="s">
        <v>36</v>
      </c>
    </row>
    <row r="21" spans="6:7" x14ac:dyDescent="0.35">
      <c r="F21" s="313" t="s">
        <v>21</v>
      </c>
    </row>
    <row r="22" spans="6:7" x14ac:dyDescent="0.35">
      <c r="F22" s="313" t="s">
        <v>18</v>
      </c>
    </row>
    <row r="23" spans="6:7" x14ac:dyDescent="0.35">
      <c r="F23" s="313" t="s">
        <v>38</v>
      </c>
    </row>
    <row r="24" spans="6:7" x14ac:dyDescent="0.35">
      <c r="F24" s="313" t="s">
        <v>22</v>
      </c>
    </row>
    <row r="25" spans="6:7" x14ac:dyDescent="0.35">
      <c r="F25" s="313" t="s">
        <v>13</v>
      </c>
    </row>
    <row r="26" spans="6:7" x14ac:dyDescent="0.35">
      <c r="F26" s="313" t="s">
        <v>9</v>
      </c>
    </row>
    <row r="27" spans="6:7" x14ac:dyDescent="0.35">
      <c r="F27" s="313" t="s">
        <v>6</v>
      </c>
    </row>
    <row r="28" spans="6:7" x14ac:dyDescent="0.35">
      <c r="F28" s="313" t="s">
        <v>7</v>
      </c>
    </row>
    <row r="29" spans="6:7" x14ac:dyDescent="0.35">
      <c r="F29" s="313" t="s">
        <v>8</v>
      </c>
    </row>
    <row r="30" spans="6:7" x14ac:dyDescent="0.35">
      <c r="F30" s="313" t="s">
        <v>10</v>
      </c>
    </row>
    <row r="31" spans="6:7" x14ac:dyDescent="0.35">
      <c r="F31" s="313" t="s">
        <v>19</v>
      </c>
    </row>
    <row r="32" spans="6:7" x14ac:dyDescent="0.35">
      <c r="F32" s="313" t="s">
        <v>17</v>
      </c>
    </row>
    <row r="33" spans="6:6" x14ac:dyDescent="0.35">
      <c r="F33" s="313" t="s">
        <v>24</v>
      </c>
    </row>
    <row r="34" spans="6:6" x14ac:dyDescent="0.35">
      <c r="F34" s="313" t="s">
        <v>25</v>
      </c>
    </row>
    <row r="35" spans="6:6" x14ac:dyDescent="0.35">
      <c r="F35" s="313" t="s">
        <v>39</v>
      </c>
    </row>
    <row r="36" spans="6:6" x14ac:dyDescent="0.35">
      <c r="F36" s="313" t="s">
        <v>16</v>
      </c>
    </row>
    <row r="37" spans="6:6" x14ac:dyDescent="0.35">
      <c r="F37" s="313" t="s">
        <v>26</v>
      </c>
    </row>
    <row r="38" spans="6:6" x14ac:dyDescent="0.35">
      <c r="F38" s="313" t="s">
        <v>29</v>
      </c>
    </row>
    <row r="40" spans="6:6" x14ac:dyDescent="0.35">
      <c r="F40" s="313" t="s">
        <v>27</v>
      </c>
    </row>
    <row r="41" spans="6:6" x14ac:dyDescent="0.35">
      <c r="F41" s="313" t="s">
        <v>28</v>
      </c>
    </row>
    <row r="42" spans="6:6" x14ac:dyDescent="0.35">
      <c r="F42" s="313" t="s">
        <v>30</v>
      </c>
    </row>
    <row r="43" spans="6:6" x14ac:dyDescent="0.35">
      <c r="F43" s="313" t="s">
        <v>31</v>
      </c>
    </row>
    <row r="44" spans="6:6" x14ac:dyDescent="0.35">
      <c r="F44" s="313" t="s">
        <v>32</v>
      </c>
    </row>
    <row r="45" spans="6:6" x14ac:dyDescent="0.35">
      <c r="F45" s="313" t="s">
        <v>33</v>
      </c>
    </row>
    <row r="46" spans="6:6" x14ac:dyDescent="0.35">
      <c r="F46" s="313" t="s">
        <v>14</v>
      </c>
    </row>
    <row r="47" spans="6:6" x14ac:dyDescent="0.35">
      <c r="F47" s="313" t="s">
        <v>15</v>
      </c>
    </row>
    <row r="48" spans="6:6" x14ac:dyDescent="0.35">
      <c r="F48" s="313" t="s">
        <v>34</v>
      </c>
    </row>
    <row r="49" spans="6:20" x14ac:dyDescent="0.35">
      <c r="F49" s="313" t="s">
        <v>20</v>
      </c>
    </row>
    <row r="52" spans="6:20" ht="14.25" x14ac:dyDescent="0.4">
      <c r="F52" s="316" t="s">
        <v>5</v>
      </c>
      <c r="G52" s="317" t="str">
        <f>LEFT(Pieņēmumi!E7,3)</f>
        <v>Jan</v>
      </c>
      <c r="H52" s="317" t="str">
        <f t="shared" ref="H52:R52" si="3">MID(Month,SEARCH(G52,Month,1)+3,3)</f>
        <v>Feb</v>
      </c>
      <c r="I52" s="317" t="str">
        <f t="shared" si="3"/>
        <v>Mar</v>
      </c>
      <c r="J52" s="317" t="str">
        <f t="shared" si="3"/>
        <v>Apr</v>
      </c>
      <c r="K52" s="317" t="str">
        <f t="shared" si="3"/>
        <v>May</v>
      </c>
      <c r="L52" s="317" t="str">
        <f t="shared" si="3"/>
        <v>Jun</v>
      </c>
      <c r="M52" s="317" t="str">
        <f t="shared" si="3"/>
        <v>Jul</v>
      </c>
      <c r="N52" s="317" t="str">
        <f t="shared" si="3"/>
        <v>Aug</v>
      </c>
      <c r="O52" s="317" t="str">
        <f t="shared" si="3"/>
        <v>Sep</v>
      </c>
      <c r="P52" s="317" t="str">
        <f t="shared" si="3"/>
        <v>Oct</v>
      </c>
      <c r="Q52" s="317" t="str">
        <f t="shared" si="3"/>
        <v>Nov</v>
      </c>
      <c r="R52" s="317" t="str">
        <f t="shared" si="3"/>
        <v>Dec</v>
      </c>
      <c r="S52" s="318"/>
      <c r="T52" s="318" t="s">
        <v>2</v>
      </c>
    </row>
    <row r="53" spans="6:20" ht="14.25" x14ac:dyDescent="0.4">
      <c r="F53" s="319"/>
      <c r="G53" s="320" t="e">
        <f>VLOOKUP(#REF!,$F$54:$T$62,COLUMN()-1,0)</f>
        <v>#REF!</v>
      </c>
      <c r="H53" s="320" t="e">
        <f>VLOOKUP(#REF!,$F$54:$T$62,COLUMN()-1,0)</f>
        <v>#REF!</v>
      </c>
      <c r="I53" s="320" t="e">
        <f>VLOOKUP(#REF!,$F$54:$T$62,COLUMN()-1,0)</f>
        <v>#REF!</v>
      </c>
      <c r="J53" s="320" t="e">
        <f>VLOOKUP(#REF!,$F$54:$T$62,COLUMN()-1,0)</f>
        <v>#REF!</v>
      </c>
      <c r="K53" s="320" t="e">
        <f>VLOOKUP(#REF!,$F$54:$T$62,COLUMN()-1,0)</f>
        <v>#REF!</v>
      </c>
      <c r="L53" s="320" t="e">
        <f>VLOOKUP(#REF!,$F$54:$T$62,COLUMN()-1,0)</f>
        <v>#REF!</v>
      </c>
      <c r="M53" s="320" t="e">
        <f>VLOOKUP(#REF!,$F$54:$T$62,COLUMN()-1,0)</f>
        <v>#REF!</v>
      </c>
      <c r="N53" s="320" t="e">
        <f>VLOOKUP(#REF!,$F$54:$T$62,COLUMN()-1,0)</f>
        <v>#REF!</v>
      </c>
      <c r="O53" s="320" t="e">
        <f>VLOOKUP(#REF!,$F$54:$T$62,COLUMN()-1,0)</f>
        <v>#REF!</v>
      </c>
      <c r="P53" s="320" t="e">
        <f>VLOOKUP(#REF!,$F$54:$T$62,COLUMN()-1,0)</f>
        <v>#REF!</v>
      </c>
      <c r="Q53" s="320" t="e">
        <f>VLOOKUP(#REF!,$F$54:$T$62,COLUMN()-1,0)</f>
        <v>#REF!</v>
      </c>
      <c r="R53" s="320" t="e">
        <f>VLOOKUP(#REF!,$F$54:$T$62,COLUMN()-1,0)</f>
        <v>#REF!</v>
      </c>
      <c r="S53" s="321"/>
      <c r="T53" s="321"/>
    </row>
    <row r="54" spans="6:20" ht="14.25" x14ac:dyDescent="0.4">
      <c r="F54" s="322" t="str">
        <f>NP!B6</f>
        <v>Sākuma atlikums</v>
      </c>
      <c r="G54" s="323">
        <f>NP!C6</f>
        <v>156126.97544731706</v>
      </c>
      <c r="H54" s="323">
        <f>NP!D6</f>
        <v>136126.97544731706</v>
      </c>
      <c r="I54" s="323">
        <f>NP!E6</f>
        <v>126126.97544731706</v>
      </c>
      <c r="J54" s="323">
        <f>NP!F6</f>
        <v>96126.975447317061</v>
      </c>
      <c r="K54" s="323">
        <f>NP!G6</f>
        <v>96126.975447317061</v>
      </c>
      <c r="L54" s="323">
        <f>NP!H6</f>
        <v>96126.975447317061</v>
      </c>
      <c r="M54" s="323">
        <f>NP!I6</f>
        <v>96126.975447317061</v>
      </c>
      <c r="N54" s="323">
        <f>NP!J6</f>
        <v>96126.975447317061</v>
      </c>
      <c r="O54" s="323">
        <f>NP!K6</f>
        <v>96126.975447317061</v>
      </c>
      <c r="P54" s="323">
        <f>NP!L6</f>
        <v>96126.975447317061</v>
      </c>
      <c r="Q54" s="323">
        <f>NP!M6</f>
        <v>96126.975447317061</v>
      </c>
      <c r="R54" s="323">
        <f>NP!N6</f>
        <v>96126.975447317061</v>
      </c>
      <c r="S54" s="323"/>
      <c r="T54" s="323">
        <f>NP!O6</f>
        <v>156126.97544731706</v>
      </c>
    </row>
    <row r="55" spans="6:20" ht="14.25" x14ac:dyDescent="0.4">
      <c r="F55" s="319"/>
      <c r="G55" s="324"/>
      <c r="H55" s="324"/>
      <c r="I55" s="324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</row>
    <row r="56" spans="6:20" ht="14.25" x14ac:dyDescent="0.4">
      <c r="F56" s="322" t="str">
        <f>NP!B15</f>
        <v>Pamatdarbības naudas plūsma</v>
      </c>
      <c r="G56" s="323">
        <f>NP!C15</f>
        <v>-20000</v>
      </c>
      <c r="H56" s="323">
        <f>NP!D15</f>
        <v>-10000</v>
      </c>
      <c r="I56" s="323">
        <f>NP!E15</f>
        <v>-30000</v>
      </c>
      <c r="J56" s="323">
        <f>NP!F15</f>
        <v>0</v>
      </c>
      <c r="K56" s="323">
        <f>NP!G15</f>
        <v>0</v>
      </c>
      <c r="L56" s="323">
        <f>NP!H15</f>
        <v>0</v>
      </c>
      <c r="M56" s="323">
        <f>NP!I15</f>
        <v>0</v>
      </c>
      <c r="N56" s="323">
        <f>NP!J15</f>
        <v>0</v>
      </c>
      <c r="O56" s="323">
        <f>NP!K15</f>
        <v>0</v>
      </c>
      <c r="P56" s="323">
        <f>NP!L15</f>
        <v>0</v>
      </c>
      <c r="Q56" s="323">
        <f>NP!M15</f>
        <v>0</v>
      </c>
      <c r="R56" s="323">
        <f>NP!N15</f>
        <v>0</v>
      </c>
      <c r="S56" s="323"/>
      <c r="T56" s="323">
        <f>NP!O15</f>
        <v>-60000</v>
      </c>
    </row>
    <row r="57" spans="6:20" ht="14.25" x14ac:dyDescent="0.4">
      <c r="F57" s="322" t="str">
        <f>NP!B19</f>
        <v>Ieguldījumu naudas plūsma</v>
      </c>
      <c r="G57" s="323">
        <f>NP!C19</f>
        <v>0</v>
      </c>
      <c r="H57" s="323">
        <f>NP!D19</f>
        <v>0</v>
      </c>
      <c r="I57" s="323">
        <f>NP!E19</f>
        <v>0</v>
      </c>
      <c r="J57" s="323">
        <f>NP!F19</f>
        <v>0</v>
      </c>
      <c r="K57" s="323">
        <f>NP!G19</f>
        <v>0</v>
      </c>
      <c r="L57" s="323">
        <f>NP!H19</f>
        <v>0</v>
      </c>
      <c r="M57" s="323">
        <f>NP!I19</f>
        <v>0</v>
      </c>
      <c r="N57" s="323">
        <f>NP!J19</f>
        <v>0</v>
      </c>
      <c r="O57" s="323">
        <f>NP!K19</f>
        <v>0</v>
      </c>
      <c r="P57" s="323">
        <f>NP!L19</f>
        <v>0</v>
      </c>
      <c r="Q57" s="323">
        <f>NP!M19</f>
        <v>0</v>
      </c>
      <c r="R57" s="323">
        <f>NP!N19</f>
        <v>0</v>
      </c>
      <c r="S57" s="323"/>
      <c r="T57" s="323">
        <f>NP!O19</f>
        <v>0</v>
      </c>
    </row>
    <row r="58" spans="6:20" ht="14.25" x14ac:dyDescent="0.4">
      <c r="F58" s="322" t="str">
        <f>NP!B26</f>
        <v>Finansēšanas naudas plūsma</v>
      </c>
      <c r="G58" s="323">
        <f>NP!C26</f>
        <v>0</v>
      </c>
      <c r="H58" s="323">
        <f>NP!D26</f>
        <v>0</v>
      </c>
      <c r="I58" s="323">
        <f>NP!E26</f>
        <v>0</v>
      </c>
      <c r="J58" s="323">
        <f>NP!F26</f>
        <v>0</v>
      </c>
      <c r="K58" s="323">
        <f>NP!G26</f>
        <v>0</v>
      </c>
      <c r="L58" s="323">
        <f>NP!H26</f>
        <v>0</v>
      </c>
      <c r="M58" s="323">
        <f>NP!I26</f>
        <v>0</v>
      </c>
      <c r="N58" s="323">
        <f>NP!J26</f>
        <v>0</v>
      </c>
      <c r="O58" s="323">
        <f>NP!K26</f>
        <v>0</v>
      </c>
      <c r="P58" s="323">
        <f>NP!L26</f>
        <v>0</v>
      </c>
      <c r="Q58" s="323">
        <f>NP!M26</f>
        <v>0</v>
      </c>
      <c r="R58" s="323">
        <f>NP!N26</f>
        <v>0</v>
      </c>
      <c r="S58" s="323"/>
      <c r="T58" s="323">
        <f>NP!O26</f>
        <v>0</v>
      </c>
    </row>
    <row r="59" spans="6:20" ht="14.25" x14ac:dyDescent="0.4">
      <c r="F59" s="325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326"/>
      <c r="S59" s="324"/>
      <c r="T59" s="326"/>
    </row>
    <row r="60" spans="6:20" ht="14.25" x14ac:dyDescent="0.4">
      <c r="F60" s="322" t="str">
        <f>NP!B28</f>
        <v>Naudas pieaugums/samazinājums</v>
      </c>
      <c r="G60" s="327">
        <f>NP!C28</f>
        <v>-20000</v>
      </c>
      <c r="H60" s="327">
        <f>NP!D28</f>
        <v>-10000</v>
      </c>
      <c r="I60" s="327">
        <f>NP!E28</f>
        <v>-30000</v>
      </c>
      <c r="J60" s="327">
        <f>NP!F28</f>
        <v>0</v>
      </c>
      <c r="K60" s="327">
        <f>NP!G28</f>
        <v>0</v>
      </c>
      <c r="L60" s="327">
        <f>NP!H28</f>
        <v>0</v>
      </c>
      <c r="M60" s="327">
        <f>NP!I28</f>
        <v>0</v>
      </c>
      <c r="N60" s="327">
        <f>NP!J28</f>
        <v>0</v>
      </c>
      <c r="O60" s="327">
        <f>NP!K28</f>
        <v>0</v>
      </c>
      <c r="P60" s="327">
        <f>NP!L28</f>
        <v>0</v>
      </c>
      <c r="Q60" s="327">
        <f>NP!M28</f>
        <v>0</v>
      </c>
      <c r="R60" s="327">
        <f>NP!N28</f>
        <v>0</v>
      </c>
      <c r="S60" s="327"/>
      <c r="T60" s="327">
        <f>NP!O28</f>
        <v>-60000</v>
      </c>
    </row>
    <row r="61" spans="6:20" ht="14.25" x14ac:dyDescent="0.4">
      <c r="F61" s="328"/>
      <c r="G61" s="329"/>
      <c r="H61" s="329"/>
      <c r="I61" s="329"/>
      <c r="J61" s="329"/>
      <c r="K61" s="329"/>
      <c r="L61" s="329"/>
      <c r="M61" s="329"/>
      <c r="N61" s="329"/>
      <c r="O61" s="329"/>
      <c r="P61" s="329"/>
      <c r="Q61" s="329"/>
      <c r="R61" s="329"/>
      <c r="S61" s="330"/>
      <c r="T61" s="331"/>
    </row>
    <row r="62" spans="6:20" ht="14.25" x14ac:dyDescent="0.4">
      <c r="F62" s="332" t="str">
        <f>NP!B30</f>
        <v>Beigu atlikums</v>
      </c>
      <c r="G62" s="333">
        <f>NP!C30</f>
        <v>136126.97544731706</v>
      </c>
      <c r="H62" s="333">
        <f>NP!D30</f>
        <v>126126.97544731706</v>
      </c>
      <c r="I62" s="333">
        <f>NP!E30</f>
        <v>96126.975447317061</v>
      </c>
      <c r="J62" s="333">
        <f>NP!F30</f>
        <v>96126.975447317061</v>
      </c>
      <c r="K62" s="333">
        <f>NP!G30</f>
        <v>96126.975447317061</v>
      </c>
      <c r="L62" s="333">
        <f>NP!H30</f>
        <v>96126.975447317061</v>
      </c>
      <c r="M62" s="333">
        <f>NP!I30</f>
        <v>96126.975447317061</v>
      </c>
      <c r="N62" s="333">
        <f>NP!J30</f>
        <v>96126.975447317061</v>
      </c>
      <c r="O62" s="333">
        <f>NP!K30</f>
        <v>96126.975447317061</v>
      </c>
      <c r="P62" s="333">
        <f>NP!L30</f>
        <v>96126.975447317061</v>
      </c>
      <c r="Q62" s="333">
        <f>NP!M30</f>
        <v>96126.975447317061</v>
      </c>
      <c r="R62" s="333">
        <f>NP!N30</f>
        <v>96126.975447317061</v>
      </c>
      <c r="S62" s="333"/>
      <c r="T62" s="333">
        <f>NP!O30</f>
        <v>96126.975447317061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 tint="0.39997558519241921"/>
  </sheetPr>
  <dimension ref="B2:W40"/>
  <sheetViews>
    <sheetView showGridLines="0" tabSelected="1" zoomScale="115" zoomScaleNormal="115" workbookViewId="0">
      <selection activeCell="C24" sqref="C24"/>
    </sheetView>
  </sheetViews>
  <sheetFormatPr defaultColWidth="9.1328125" defaultRowHeight="13.5" x14ac:dyDescent="0.35"/>
  <cols>
    <col min="1" max="1" width="9.1328125" style="144" customWidth="1"/>
    <col min="2" max="2" width="34.46484375" style="144" bestFit="1" customWidth="1"/>
    <col min="3" max="3" width="20.53125" style="144" customWidth="1"/>
    <col min="4" max="4" width="20" style="144" customWidth="1"/>
    <col min="5" max="5" width="14" style="144" customWidth="1"/>
    <col min="6" max="6" width="21.86328125" style="144" bestFit="1" customWidth="1"/>
    <col min="7" max="8" width="20.1328125" style="144" customWidth="1"/>
    <col min="9" max="9" width="29.86328125" style="144" bestFit="1" customWidth="1"/>
    <col min="10" max="10" width="20.53125" style="144" customWidth="1"/>
    <col min="11" max="11" width="9.1328125" style="144" customWidth="1"/>
    <col min="12" max="14" width="12.53125" style="144" customWidth="1"/>
    <col min="15" max="15" width="11.46484375" style="144" customWidth="1"/>
    <col min="16" max="23" width="12.53125" style="144" customWidth="1"/>
    <col min="24" max="24" width="8.86328125" style="144" customWidth="1"/>
    <col min="25" max="16384" width="9.1328125" style="144"/>
  </cols>
  <sheetData>
    <row r="2" spans="2:23" ht="16.5" customHeight="1" thickBot="1" x14ac:dyDescent="0.4">
      <c r="B2" s="191" t="str">
        <f>$E$5&amp;" Budžets. Svarīgākie pieņēmumi "&amp;$E$6</f>
        <v>Spēka ražotājs Budžets. Svarīgākie pieņēmumi 2022</v>
      </c>
      <c r="C2" s="191"/>
      <c r="D2" s="191"/>
      <c r="E2" s="191"/>
      <c r="F2" s="191"/>
      <c r="G2" s="191"/>
      <c r="H2" s="191"/>
      <c r="I2" s="191"/>
      <c r="J2" s="191"/>
      <c r="L2" s="191" t="str">
        <f>$E$5&amp;" Budžets. Kopsavilkums "&amp;$E$6</f>
        <v>Spēka ražotājs Budžets. Kopsavilkums 2022</v>
      </c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</row>
    <row r="3" spans="2:23" ht="18" customHeight="1" thickTop="1" x14ac:dyDescent="0.4">
      <c r="B3" s="148"/>
      <c r="C3" s="148"/>
      <c r="D3" s="148"/>
      <c r="E3" s="148"/>
      <c r="F3" s="148"/>
      <c r="G3" s="148"/>
      <c r="H3" s="148"/>
      <c r="I3" s="148"/>
      <c r="L3" s="205"/>
    </row>
    <row r="4" spans="2:23" ht="14.25" x14ac:dyDescent="0.4">
      <c r="B4" s="192" t="s">
        <v>44</v>
      </c>
      <c r="C4" s="192"/>
      <c r="D4" s="192"/>
      <c r="E4" s="192"/>
      <c r="F4" s="192"/>
      <c r="G4" s="192"/>
      <c r="H4" s="192"/>
      <c r="I4" s="192"/>
      <c r="J4" s="192"/>
      <c r="L4" s="312" t="s">
        <v>59</v>
      </c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</row>
    <row r="5" spans="2:23" ht="16.5" customHeight="1" x14ac:dyDescent="0.4">
      <c r="B5" s="480" t="s">
        <v>45</v>
      </c>
      <c r="C5" s="480"/>
      <c r="D5" s="480"/>
      <c r="E5" s="482" t="s">
        <v>265</v>
      </c>
      <c r="F5" s="482"/>
      <c r="G5" s="482"/>
      <c r="H5" s="482"/>
      <c r="I5" s="482"/>
      <c r="J5" s="482"/>
    </row>
    <row r="6" spans="2:23" ht="16.5" customHeight="1" x14ac:dyDescent="0.4">
      <c r="B6" s="481" t="s">
        <v>46</v>
      </c>
      <c r="C6" s="481"/>
      <c r="D6" s="481"/>
      <c r="E6" s="482">
        <v>2022</v>
      </c>
      <c r="F6" s="482"/>
      <c r="G6" s="482"/>
      <c r="H6" s="482"/>
      <c r="I6" s="482"/>
      <c r="J6" s="482"/>
      <c r="L6" s="486" t="s">
        <v>60</v>
      </c>
      <c r="M6" s="486"/>
      <c r="N6" s="486"/>
      <c r="O6" s="486"/>
      <c r="P6" s="486"/>
      <c r="Q6" s="486"/>
      <c r="R6" s="486" t="s">
        <v>67</v>
      </c>
      <c r="S6" s="486"/>
      <c r="T6" s="486"/>
      <c r="U6" s="486"/>
      <c r="V6" s="486"/>
      <c r="W6" s="486"/>
    </row>
    <row r="7" spans="2:23" ht="16.5" customHeight="1" x14ac:dyDescent="0.4">
      <c r="B7" s="481" t="s">
        <v>47</v>
      </c>
      <c r="C7" s="481"/>
      <c r="D7" s="481"/>
      <c r="E7" s="482" t="s">
        <v>266</v>
      </c>
      <c r="F7" s="482"/>
      <c r="G7" s="482"/>
      <c r="H7" s="482"/>
      <c r="I7" s="482"/>
      <c r="J7" s="482"/>
    </row>
    <row r="8" spans="2:23" ht="14.25" x14ac:dyDescent="0.4">
      <c r="B8" s="485" t="s">
        <v>48</v>
      </c>
      <c r="C8" s="485"/>
      <c r="D8" s="485"/>
      <c r="E8" s="482" t="s">
        <v>267</v>
      </c>
      <c r="F8" s="482"/>
      <c r="G8" s="482"/>
      <c r="H8" s="482"/>
      <c r="I8" s="482"/>
      <c r="J8" s="482"/>
    </row>
    <row r="11" spans="2:23" x14ac:dyDescent="0.35">
      <c r="O11" s="147"/>
    </row>
    <row r="12" spans="2:23" ht="14.25" x14ac:dyDescent="0.4">
      <c r="B12" s="193" t="s">
        <v>245</v>
      </c>
      <c r="C12" s="193"/>
      <c r="D12" s="193"/>
      <c r="E12" s="193"/>
      <c r="F12" s="193"/>
      <c r="I12" s="192" t="s">
        <v>51</v>
      </c>
      <c r="J12" s="192"/>
      <c r="O12" s="147"/>
    </row>
    <row r="13" spans="2:23" ht="14.1" customHeight="1" x14ac:dyDescent="0.4">
      <c r="B13" s="483" t="s">
        <v>73</v>
      </c>
      <c r="C13" s="484" t="s">
        <v>249</v>
      </c>
      <c r="D13" s="484" t="s">
        <v>71</v>
      </c>
      <c r="E13" s="484" t="s">
        <v>72</v>
      </c>
      <c r="F13" s="487" t="s">
        <v>107</v>
      </c>
      <c r="I13" s="419" t="s">
        <v>52</v>
      </c>
      <c r="J13" s="7" t="s">
        <v>53</v>
      </c>
    </row>
    <row r="14" spans="2:23" ht="14.25" x14ac:dyDescent="0.4">
      <c r="B14" s="483"/>
      <c r="C14" s="484"/>
      <c r="D14" s="484"/>
      <c r="E14" s="484"/>
      <c r="F14" s="487"/>
      <c r="I14" s="13" t="s">
        <v>55</v>
      </c>
      <c r="J14" s="420">
        <v>0.2359</v>
      </c>
    </row>
    <row r="15" spans="2:23" ht="14.25" x14ac:dyDescent="0.4">
      <c r="B15" s="19" t="s">
        <v>268</v>
      </c>
      <c r="C15" s="454">
        <v>0</v>
      </c>
      <c r="D15" s="20">
        <v>0</v>
      </c>
      <c r="E15" s="20">
        <v>0</v>
      </c>
      <c r="F15" s="20">
        <v>0</v>
      </c>
      <c r="I15" s="14" t="s">
        <v>56</v>
      </c>
      <c r="J15" s="421">
        <v>0.2</v>
      </c>
    </row>
    <row r="16" spans="2:23" ht="14.25" x14ac:dyDescent="0.4">
      <c r="B16" s="19" t="s">
        <v>269</v>
      </c>
      <c r="C16" s="454">
        <v>0</v>
      </c>
      <c r="D16" s="20">
        <v>0</v>
      </c>
      <c r="E16" s="20">
        <v>0</v>
      </c>
      <c r="F16" s="20">
        <v>0</v>
      </c>
      <c r="I16" s="15"/>
      <c r="J16" s="393"/>
    </row>
    <row r="17" spans="2:23" ht="14.25" x14ac:dyDescent="0.4">
      <c r="B17" s="19" t="s">
        <v>270</v>
      </c>
      <c r="C17" s="454">
        <v>0</v>
      </c>
      <c r="D17" s="20">
        <v>0</v>
      </c>
      <c r="E17" s="20">
        <v>0</v>
      </c>
      <c r="F17" s="20">
        <v>0</v>
      </c>
    </row>
    <row r="18" spans="2:23" ht="14.25" x14ac:dyDescent="0.4">
      <c r="B18" s="19" t="s">
        <v>271</v>
      </c>
      <c r="C18" s="454">
        <v>0</v>
      </c>
      <c r="D18" s="20">
        <v>0</v>
      </c>
      <c r="E18" s="20">
        <v>0</v>
      </c>
      <c r="F18" s="20">
        <v>0</v>
      </c>
    </row>
    <row r="19" spans="2:23" ht="14.25" x14ac:dyDescent="0.4">
      <c r="B19" s="19" t="s">
        <v>272</v>
      </c>
      <c r="C19" s="454">
        <v>0</v>
      </c>
      <c r="D19" s="20">
        <v>0</v>
      </c>
      <c r="E19" s="20">
        <v>0</v>
      </c>
      <c r="F19" s="20">
        <v>0</v>
      </c>
    </row>
    <row r="20" spans="2:23" ht="14.25" x14ac:dyDescent="0.4">
      <c r="B20" s="19" t="s">
        <v>273</v>
      </c>
      <c r="C20" s="454">
        <v>0</v>
      </c>
      <c r="D20" s="20">
        <v>0</v>
      </c>
      <c r="E20" s="20">
        <v>0</v>
      </c>
      <c r="F20" s="20">
        <v>0</v>
      </c>
    </row>
    <row r="21" spans="2:23" ht="14.25" x14ac:dyDescent="0.4">
      <c r="B21" s="19" t="s">
        <v>274</v>
      </c>
      <c r="C21" s="454">
        <v>0</v>
      </c>
      <c r="D21" s="20">
        <v>0</v>
      </c>
      <c r="E21" s="20">
        <v>0</v>
      </c>
      <c r="F21" s="20">
        <v>0</v>
      </c>
    </row>
    <row r="22" spans="2:23" ht="14.25" x14ac:dyDescent="0.4">
      <c r="B22" s="19" t="s">
        <v>74</v>
      </c>
      <c r="C22" s="454">
        <v>0</v>
      </c>
      <c r="D22" s="20">
        <v>0</v>
      </c>
      <c r="E22" s="20">
        <v>0</v>
      </c>
      <c r="F22" s="20">
        <v>0</v>
      </c>
    </row>
    <row r="23" spans="2:23" ht="14.25" x14ac:dyDescent="0.4">
      <c r="B23" s="19" t="s">
        <v>75</v>
      </c>
      <c r="C23" s="454">
        <v>0</v>
      </c>
      <c r="D23" s="20">
        <v>0</v>
      </c>
      <c r="E23" s="20">
        <v>0</v>
      </c>
      <c r="F23" s="20">
        <v>0</v>
      </c>
      <c r="L23" s="486" t="s">
        <v>61</v>
      </c>
      <c r="M23" s="486"/>
      <c r="N23" s="486"/>
      <c r="O23" s="486"/>
      <c r="P23" s="486"/>
      <c r="Q23" s="486"/>
      <c r="R23" s="486" t="s">
        <v>62</v>
      </c>
      <c r="S23" s="486"/>
      <c r="T23" s="486"/>
      <c r="U23" s="486"/>
      <c r="V23" s="486"/>
      <c r="W23" s="486"/>
    </row>
    <row r="24" spans="2:23" ht="14.25" x14ac:dyDescent="0.4">
      <c r="B24" s="19" t="s">
        <v>76</v>
      </c>
      <c r="C24" s="454">
        <v>0</v>
      </c>
      <c r="D24" s="20">
        <v>0</v>
      </c>
      <c r="E24" s="20">
        <v>0</v>
      </c>
      <c r="F24" s="20">
        <v>0</v>
      </c>
    </row>
    <row r="25" spans="2:23" ht="14.25" x14ac:dyDescent="0.4">
      <c r="B25" s="19" t="s">
        <v>77</v>
      </c>
      <c r="C25" s="454">
        <v>0</v>
      </c>
      <c r="D25" s="20">
        <v>0</v>
      </c>
      <c r="E25" s="20">
        <v>0</v>
      </c>
      <c r="F25" s="20">
        <v>0</v>
      </c>
    </row>
    <row r="26" spans="2:23" ht="14.25" x14ac:dyDescent="0.4">
      <c r="B26" s="19" t="s">
        <v>78</v>
      </c>
      <c r="C26" s="454">
        <v>0</v>
      </c>
      <c r="D26" s="20">
        <v>0</v>
      </c>
      <c r="E26" s="20">
        <v>0</v>
      </c>
      <c r="F26" s="20">
        <v>0</v>
      </c>
    </row>
    <row r="27" spans="2:23" x14ac:dyDescent="0.35">
      <c r="B27" s="21"/>
      <c r="C27" s="21"/>
      <c r="D27" s="18"/>
      <c r="E27" s="18"/>
      <c r="F27" s="18"/>
    </row>
    <row r="30" spans="2:23" ht="14.25" x14ac:dyDescent="0.4">
      <c r="B30" s="192" t="s">
        <v>263</v>
      </c>
      <c r="C30" s="192"/>
      <c r="D30" s="192"/>
      <c r="E30" s="192"/>
      <c r="F30" s="192"/>
      <c r="G30" s="192"/>
      <c r="H30" s="192"/>
      <c r="I30" s="192"/>
    </row>
    <row r="31" spans="2:23" ht="33" customHeight="1" x14ac:dyDescent="0.35">
      <c r="B31" s="418" t="s">
        <v>251</v>
      </c>
      <c r="C31" s="418" t="s">
        <v>250</v>
      </c>
      <c r="D31" s="449" t="s">
        <v>149</v>
      </c>
      <c r="E31" s="6" t="s">
        <v>49</v>
      </c>
      <c r="F31" s="6" t="s">
        <v>253</v>
      </c>
      <c r="G31" s="6" t="s">
        <v>50</v>
      </c>
      <c r="H31" s="6" t="s">
        <v>252</v>
      </c>
      <c r="I31" s="6" t="s">
        <v>144</v>
      </c>
    </row>
    <row r="32" spans="2:23" ht="14.25" x14ac:dyDescent="0.4">
      <c r="B32" s="19" t="s">
        <v>275</v>
      </c>
      <c r="C32" s="20">
        <v>0</v>
      </c>
      <c r="D32" s="20">
        <v>0</v>
      </c>
      <c r="E32" s="20">
        <v>0</v>
      </c>
      <c r="F32" s="479">
        <v>0</v>
      </c>
      <c r="G32" s="20">
        <v>0</v>
      </c>
      <c r="H32" s="479">
        <v>0</v>
      </c>
      <c r="I32" s="20">
        <v>0</v>
      </c>
      <c r="K32"/>
    </row>
    <row r="33" spans="2:23" ht="14.25" x14ac:dyDescent="0.4">
      <c r="B33" s="19" t="s">
        <v>276</v>
      </c>
      <c r="C33" s="20">
        <v>0</v>
      </c>
      <c r="D33" s="20">
        <v>0</v>
      </c>
      <c r="E33" s="20">
        <v>0</v>
      </c>
      <c r="F33" s="479">
        <v>0</v>
      </c>
      <c r="G33" s="20">
        <v>0</v>
      </c>
      <c r="H33" s="479">
        <v>0</v>
      </c>
      <c r="I33" s="20">
        <v>0</v>
      </c>
      <c r="K33"/>
    </row>
    <row r="34" spans="2:23" ht="14.25" x14ac:dyDescent="0.4">
      <c r="B34" s="19" t="s">
        <v>277</v>
      </c>
      <c r="C34" s="20">
        <v>0</v>
      </c>
      <c r="D34" s="20">
        <v>0</v>
      </c>
      <c r="E34" s="20">
        <v>0</v>
      </c>
      <c r="F34" s="479">
        <v>0</v>
      </c>
      <c r="G34" s="20">
        <v>0</v>
      </c>
      <c r="H34" s="479">
        <v>0</v>
      </c>
      <c r="I34" s="20">
        <v>0</v>
      </c>
      <c r="K34"/>
    </row>
    <row r="35" spans="2:23" ht="14.25" x14ac:dyDescent="0.4">
      <c r="B35" s="19" t="s">
        <v>278</v>
      </c>
      <c r="C35" s="20">
        <v>0</v>
      </c>
      <c r="D35" s="20">
        <v>0</v>
      </c>
      <c r="E35" s="20">
        <v>0</v>
      </c>
      <c r="F35" s="479">
        <v>0</v>
      </c>
      <c r="G35" s="20">
        <v>0</v>
      </c>
      <c r="H35" s="479">
        <v>0</v>
      </c>
      <c r="I35" s="20">
        <v>0</v>
      </c>
      <c r="K35"/>
    </row>
    <row r="36" spans="2:23" ht="14.25" x14ac:dyDescent="0.4">
      <c r="B36" s="19" t="s">
        <v>279</v>
      </c>
      <c r="C36" s="20">
        <v>0</v>
      </c>
      <c r="D36" s="20">
        <v>0</v>
      </c>
      <c r="E36" s="20">
        <v>0</v>
      </c>
      <c r="F36" s="479">
        <v>0</v>
      </c>
      <c r="G36" s="20">
        <v>0</v>
      </c>
      <c r="H36" s="479">
        <v>0</v>
      </c>
      <c r="I36" s="20">
        <v>0</v>
      </c>
      <c r="K36"/>
    </row>
    <row r="37" spans="2:23" ht="14.25" x14ac:dyDescent="0.4">
      <c r="B37" s="19" t="s">
        <v>280</v>
      </c>
      <c r="C37" s="20">
        <v>0</v>
      </c>
      <c r="D37" s="20">
        <v>0</v>
      </c>
      <c r="E37" s="20">
        <v>0</v>
      </c>
      <c r="F37" s="479">
        <v>0</v>
      </c>
      <c r="G37" s="20">
        <v>0</v>
      </c>
      <c r="H37" s="479">
        <v>0</v>
      </c>
      <c r="I37" s="20">
        <v>0</v>
      </c>
      <c r="K37"/>
    </row>
    <row r="38" spans="2:23" x14ac:dyDescent="0.35">
      <c r="B38" s="16"/>
      <c r="C38" s="453" t="s">
        <v>262</v>
      </c>
      <c r="D38" s="17"/>
      <c r="E38" s="18"/>
      <c r="F38" s="18"/>
      <c r="G38" s="18"/>
      <c r="H38" s="18"/>
      <c r="I38" s="18"/>
      <c r="K38"/>
      <c r="L38" s="448"/>
      <c r="M38" s="448"/>
      <c r="N38" s="448"/>
      <c r="O38" s="448"/>
      <c r="P38" s="448"/>
      <c r="Q38" s="448"/>
      <c r="R38" s="448"/>
      <c r="S38" s="448"/>
      <c r="T38" s="448"/>
      <c r="U38" s="448"/>
      <c r="V38" s="448"/>
      <c r="W38" s="448"/>
    </row>
    <row r="39" spans="2:23" x14ac:dyDescent="0.35">
      <c r="K39"/>
    </row>
    <row r="40" spans="2:23" ht="29.25" customHeight="1" x14ac:dyDescent="0.35">
      <c r="C40" s="452"/>
      <c r="D40" s="165"/>
    </row>
  </sheetData>
  <sheetProtection formatColumns="0" formatRows="0" selectLockedCells="1"/>
  <protectedRanges>
    <protectedRange sqref="B38:C38 B15:B27" name="edit"/>
    <protectedRange sqref="B32:E37 G32:G37 I32:I37" name="edit_2"/>
  </protectedRanges>
  <mergeCells count="17">
    <mergeCell ref="L23:Q23"/>
    <mergeCell ref="R23:W23"/>
    <mergeCell ref="E6:J6"/>
    <mergeCell ref="E7:J7"/>
    <mergeCell ref="F13:F14"/>
    <mergeCell ref="L6:Q6"/>
    <mergeCell ref="R6:W6"/>
    <mergeCell ref="B5:D5"/>
    <mergeCell ref="B6:D6"/>
    <mergeCell ref="B7:D7"/>
    <mergeCell ref="E5:J5"/>
    <mergeCell ref="B13:B14"/>
    <mergeCell ref="D13:D14"/>
    <mergeCell ref="E13:E14"/>
    <mergeCell ref="B8:D8"/>
    <mergeCell ref="E8:J8"/>
    <mergeCell ref="C13:C14"/>
  </mergeCells>
  <phoneticPr fontId="2" type="noConversion"/>
  <conditionalFormatting sqref="C38">
    <cfRule type="expression" dxfId="1" priority="1">
      <formula>SUM($C$32:$C$37)=100%</formula>
    </cfRule>
    <cfRule type="cellIs" dxfId="0" priority="2" operator="equal">
      <formula>$C$40</formula>
    </cfRule>
  </conditionalFormatting>
  <dataValidations disablePrompts="1" count="1">
    <dataValidation type="list" allowBlank="1" showInputMessage="1" showErrorMessage="1" sqref="E7" xr:uid="{00000000-0002-0000-0100-000000000000}">
      <formula1>"January,February,March,April,May,June,July,August,September,October,November,December"</formula1>
    </dataValidation>
  </dataValidations>
  <pageMargins left="0.23622047244094491" right="0.23622047244094491" top="0.74803149606299213" bottom="0.74803149606299213" header="0.31496062992125984" footer="0.31496062992125984"/>
  <pageSetup paperSize="9" scale="92" fitToHeight="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4" tint="0.39997558519241921"/>
    <pageSetUpPr fitToPage="1"/>
  </sheetPr>
  <dimension ref="B1:AE45"/>
  <sheetViews>
    <sheetView showGridLines="0" zoomScaleNormal="100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ColWidth="9.1328125" defaultRowHeight="13.15" x14ac:dyDescent="0.35"/>
  <cols>
    <col min="1" max="1" width="5.1328125" style="149" customWidth="1"/>
    <col min="2" max="2" width="43" style="149" customWidth="1"/>
    <col min="3" max="14" width="9.86328125" style="149" bestFit="1" customWidth="1"/>
    <col min="15" max="15" width="12" style="151" customWidth="1"/>
    <col min="16" max="16" width="9.46484375" style="416" bestFit="1" customWidth="1"/>
    <col min="17" max="16384" width="9.1328125" style="149"/>
  </cols>
  <sheetData>
    <row r="1" spans="2:31" x14ac:dyDescent="0.3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2"/>
    </row>
    <row r="2" spans="2:31" ht="15" thickBot="1" x14ac:dyDescent="0.4">
      <c r="B2" s="254" t="str">
        <f>LEFT(Pieņēmumi!$B$2,FIND("Budžets",Pieņēmumi!$B$2)-1)&amp;"PZA Budžets "</f>
        <v xml:space="preserve">Spēka ražotājs PZA Budžets 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334"/>
    </row>
    <row r="3" spans="2:31" ht="13.5" thickTop="1" x14ac:dyDescent="0.35">
      <c r="B3" s="15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4"/>
    </row>
    <row r="4" spans="2:31" ht="14.25" x14ac:dyDescent="0.4">
      <c r="B4" s="9"/>
      <c r="C4" s="10" t="str">
        <f>LEFT(Pieņēmumi!E7,3)</f>
        <v>Jan</v>
      </c>
      <c r="D4" s="10" t="str">
        <f>MID(Month,SEARCH(C4,Month,1)+3,3)</f>
        <v>Feb</v>
      </c>
      <c r="E4" s="10" t="str">
        <f t="shared" ref="E4:N4" si="0">MID(Month,SEARCH(D4,Month,1)+3,3)</f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1" t="s">
        <v>165</v>
      </c>
    </row>
    <row r="5" spans="2:31" ht="14.25" x14ac:dyDescent="0.4">
      <c r="B5" s="155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</row>
    <row r="6" spans="2:31" ht="14.25" x14ac:dyDescent="0.4">
      <c r="B6" s="428" t="s">
        <v>96</v>
      </c>
      <c r="C6" s="429">
        <f t="shared" ref="C6:N6" si="1">SUM(C7:C8)</f>
        <v>0</v>
      </c>
      <c r="D6" s="429">
        <f t="shared" si="1"/>
        <v>0</v>
      </c>
      <c r="E6" s="429">
        <f t="shared" si="1"/>
        <v>0</v>
      </c>
      <c r="F6" s="429">
        <f t="shared" si="1"/>
        <v>0</v>
      </c>
      <c r="G6" s="429">
        <f t="shared" si="1"/>
        <v>0</v>
      </c>
      <c r="H6" s="429">
        <f t="shared" si="1"/>
        <v>0</v>
      </c>
      <c r="I6" s="429">
        <f t="shared" si="1"/>
        <v>0</v>
      </c>
      <c r="J6" s="429">
        <f t="shared" si="1"/>
        <v>0</v>
      </c>
      <c r="K6" s="429">
        <f t="shared" si="1"/>
        <v>0</v>
      </c>
      <c r="L6" s="429">
        <f t="shared" si="1"/>
        <v>0</v>
      </c>
      <c r="M6" s="429">
        <f t="shared" si="1"/>
        <v>0</v>
      </c>
      <c r="N6" s="429">
        <f t="shared" si="1"/>
        <v>0</v>
      </c>
      <c r="O6" s="429">
        <f>SUM(C6:N6)</f>
        <v>0</v>
      </c>
    </row>
    <row r="7" spans="2:31" ht="14.25" x14ac:dyDescent="0.4">
      <c r="B7" s="22" t="s">
        <v>97</v>
      </c>
      <c r="C7" s="31">
        <f>Pārdošana!C$6</f>
        <v>0</v>
      </c>
      <c r="D7" s="31">
        <f>Pārdošana!D$6</f>
        <v>0</v>
      </c>
      <c r="E7" s="31">
        <f>Pārdošana!E$6</f>
        <v>0</v>
      </c>
      <c r="F7" s="31">
        <f>Pārdošana!F$6</f>
        <v>0</v>
      </c>
      <c r="G7" s="31">
        <f>Pārdošana!G$6</f>
        <v>0</v>
      </c>
      <c r="H7" s="31">
        <f>Pārdošana!H$6</f>
        <v>0</v>
      </c>
      <c r="I7" s="31">
        <f>Pārdošana!I$6</f>
        <v>0</v>
      </c>
      <c r="J7" s="31">
        <f>Pārdošana!J$6</f>
        <v>0</v>
      </c>
      <c r="K7" s="31">
        <f>Pārdošana!K$6</f>
        <v>0</v>
      </c>
      <c r="L7" s="31">
        <f>Pārdošana!L$6</f>
        <v>0</v>
      </c>
      <c r="M7" s="31">
        <f>Pārdošana!M$6</f>
        <v>0</v>
      </c>
      <c r="N7" s="31">
        <f>Pārdošana!N$6</f>
        <v>0</v>
      </c>
      <c r="O7" s="336">
        <f>SUM(C7:N7)</f>
        <v>0</v>
      </c>
    </row>
    <row r="8" spans="2:31" ht="14.25" x14ac:dyDescent="0.4">
      <c r="B8" s="22" t="str">
        <f>LEFT(Pārdošana!B38, 23)</f>
        <v>Citi ieņēmumi</v>
      </c>
      <c r="C8" s="31">
        <f>Pārdošana!C38</f>
        <v>0</v>
      </c>
      <c r="D8" s="31">
        <f>Pārdošana!D38</f>
        <v>0</v>
      </c>
      <c r="E8" s="31">
        <f>Pārdošana!E38</f>
        <v>0</v>
      </c>
      <c r="F8" s="31">
        <f>Pārdošana!F38</f>
        <v>0</v>
      </c>
      <c r="G8" s="31">
        <f>Pārdošana!G38</f>
        <v>0</v>
      </c>
      <c r="H8" s="31">
        <f>Pārdošana!H38</f>
        <v>0</v>
      </c>
      <c r="I8" s="31">
        <f>Pārdošana!I38</f>
        <v>0</v>
      </c>
      <c r="J8" s="31">
        <f>Pārdošana!J38</f>
        <v>0</v>
      </c>
      <c r="K8" s="31">
        <f>Pārdošana!K38</f>
        <v>0</v>
      </c>
      <c r="L8" s="31">
        <f>Pārdošana!L38</f>
        <v>0</v>
      </c>
      <c r="M8" s="31">
        <f>Pārdošana!M38</f>
        <v>0</v>
      </c>
      <c r="N8" s="31">
        <f>Pārdošana!N38</f>
        <v>0</v>
      </c>
      <c r="O8" s="336">
        <f>SUM(C8:N8)</f>
        <v>0</v>
      </c>
    </row>
    <row r="9" spans="2:31" ht="14.25" x14ac:dyDescent="0.4">
      <c r="B9" s="23"/>
      <c r="C9" s="24"/>
      <c r="D9" s="24"/>
      <c r="E9" s="24"/>
      <c r="F9" s="24"/>
      <c r="G9" s="24"/>
      <c r="H9" s="24"/>
      <c r="I9" s="24"/>
      <c r="J9" s="24"/>
      <c r="K9" s="25"/>
      <c r="L9" s="25"/>
      <c r="M9" s="25"/>
      <c r="N9" s="25"/>
      <c r="O9" s="337"/>
    </row>
    <row r="10" spans="2:31" ht="14.25" x14ac:dyDescent="0.4">
      <c r="B10" s="128" t="s">
        <v>98</v>
      </c>
      <c r="C10" s="261">
        <f t="shared" ref="C10:N10" si="2">SUM(C11:C19)</f>
        <v>0</v>
      </c>
      <c r="D10" s="261">
        <f t="shared" si="2"/>
        <v>0</v>
      </c>
      <c r="E10" s="261">
        <f t="shared" si="2"/>
        <v>0</v>
      </c>
      <c r="F10" s="261">
        <f t="shared" si="2"/>
        <v>0</v>
      </c>
      <c r="G10" s="261">
        <f t="shared" si="2"/>
        <v>0</v>
      </c>
      <c r="H10" s="261">
        <f t="shared" si="2"/>
        <v>0</v>
      </c>
      <c r="I10" s="261">
        <f t="shared" si="2"/>
        <v>0</v>
      </c>
      <c r="J10" s="261">
        <f t="shared" si="2"/>
        <v>0</v>
      </c>
      <c r="K10" s="261">
        <f t="shared" si="2"/>
        <v>0</v>
      </c>
      <c r="L10" s="261">
        <f t="shared" si="2"/>
        <v>0</v>
      </c>
      <c r="M10" s="261">
        <f t="shared" si="2"/>
        <v>0</v>
      </c>
      <c r="N10" s="261">
        <f t="shared" si="2"/>
        <v>0</v>
      </c>
      <c r="O10" s="338">
        <f t="shared" ref="O10:O18" si="3">SUM(C10:N10)</f>
        <v>0</v>
      </c>
    </row>
    <row r="11" spans="2:31" ht="14.25" x14ac:dyDescent="0.4">
      <c r="B11" s="22" t="str">
        <f>Ražošana!B9</f>
        <v>Izejvielas un materiāli</v>
      </c>
      <c r="C11" s="31">
        <f>Ražošana!C9</f>
        <v>0</v>
      </c>
      <c r="D11" s="31">
        <f>Ražošana!D9</f>
        <v>0</v>
      </c>
      <c r="E11" s="31">
        <f>Ražošana!E9</f>
        <v>0</v>
      </c>
      <c r="F11" s="31">
        <f>Ražošana!F9</f>
        <v>0</v>
      </c>
      <c r="G11" s="31">
        <f>Ražošana!G9</f>
        <v>0</v>
      </c>
      <c r="H11" s="31">
        <f>Ražošana!H9</f>
        <v>0</v>
      </c>
      <c r="I11" s="31">
        <f>Ražošana!I9</f>
        <v>0</v>
      </c>
      <c r="J11" s="31">
        <f>Ražošana!J9</f>
        <v>0</v>
      </c>
      <c r="K11" s="31">
        <f>Ražošana!K9</f>
        <v>0</v>
      </c>
      <c r="L11" s="31">
        <f>Ražošana!L9</f>
        <v>0</v>
      </c>
      <c r="M11" s="31">
        <f>Ražošana!M9</f>
        <v>0</v>
      </c>
      <c r="N11" s="31">
        <f>Ražošana!N9</f>
        <v>0</v>
      </c>
      <c r="O11" s="339">
        <f t="shared" si="3"/>
        <v>0</v>
      </c>
      <c r="Q11" s="470" t="e">
        <f>C11/C$7</f>
        <v>#DIV/0!</v>
      </c>
      <c r="R11" s="470" t="e">
        <f t="shared" ref="R11:AB18" si="4">D11/D$7</f>
        <v>#DIV/0!</v>
      </c>
      <c r="S11" s="470" t="e">
        <f t="shared" si="4"/>
        <v>#DIV/0!</v>
      </c>
      <c r="T11" s="470" t="e">
        <f t="shared" si="4"/>
        <v>#DIV/0!</v>
      </c>
      <c r="U11" s="470" t="e">
        <f t="shared" si="4"/>
        <v>#DIV/0!</v>
      </c>
      <c r="V11" s="470" t="e">
        <f t="shared" si="4"/>
        <v>#DIV/0!</v>
      </c>
      <c r="W11" s="470" t="e">
        <f t="shared" si="4"/>
        <v>#DIV/0!</v>
      </c>
      <c r="X11" s="470" t="e">
        <f t="shared" si="4"/>
        <v>#DIV/0!</v>
      </c>
      <c r="Y11" s="470" t="e">
        <f t="shared" si="4"/>
        <v>#DIV/0!</v>
      </c>
      <c r="Z11" s="470" t="e">
        <f t="shared" si="4"/>
        <v>#DIV/0!</v>
      </c>
      <c r="AA11" s="470" t="e">
        <f t="shared" si="4"/>
        <v>#DIV/0!</v>
      </c>
      <c r="AB11" s="470" t="e">
        <f t="shared" si="4"/>
        <v>#DIV/0!</v>
      </c>
      <c r="AC11" s="470"/>
      <c r="AD11" s="470"/>
      <c r="AE11" s="470"/>
    </row>
    <row r="12" spans="2:31" ht="14.25" x14ac:dyDescent="0.4">
      <c r="B12" s="22" t="str">
        <f>Ražošana!B10</f>
        <v>Iepakojums</v>
      </c>
      <c r="C12" s="31">
        <f>Ražošana!C10</f>
        <v>0</v>
      </c>
      <c r="D12" s="31">
        <f>Ražošana!D10</f>
        <v>0</v>
      </c>
      <c r="E12" s="31">
        <f>Ražošana!E10</f>
        <v>0</v>
      </c>
      <c r="F12" s="31">
        <f>Ražošana!F10</f>
        <v>0</v>
      </c>
      <c r="G12" s="31">
        <f>Ražošana!G10</f>
        <v>0</v>
      </c>
      <c r="H12" s="31">
        <f>Ražošana!H10</f>
        <v>0</v>
      </c>
      <c r="I12" s="31">
        <f>Ražošana!I10</f>
        <v>0</v>
      </c>
      <c r="J12" s="31">
        <f>Ražošana!J10</f>
        <v>0</v>
      </c>
      <c r="K12" s="31">
        <f>Ražošana!K10</f>
        <v>0</v>
      </c>
      <c r="L12" s="31">
        <f>Ražošana!L10</f>
        <v>0</v>
      </c>
      <c r="M12" s="31">
        <f>Ražošana!M10</f>
        <v>0</v>
      </c>
      <c r="N12" s="31">
        <f>Ražošana!N10</f>
        <v>0</v>
      </c>
      <c r="O12" s="336">
        <f t="shared" si="3"/>
        <v>0</v>
      </c>
      <c r="Q12" s="470" t="e">
        <f t="shared" ref="Q12:Q18" si="5">C12/C$7</f>
        <v>#DIV/0!</v>
      </c>
      <c r="R12" s="470" t="e">
        <f t="shared" si="4"/>
        <v>#DIV/0!</v>
      </c>
      <c r="S12" s="470" t="e">
        <f t="shared" si="4"/>
        <v>#DIV/0!</v>
      </c>
      <c r="T12" s="470" t="e">
        <f t="shared" si="4"/>
        <v>#DIV/0!</v>
      </c>
      <c r="U12" s="470" t="e">
        <f t="shared" si="4"/>
        <v>#DIV/0!</v>
      </c>
      <c r="V12" s="470" t="e">
        <f t="shared" si="4"/>
        <v>#DIV/0!</v>
      </c>
      <c r="W12" s="470" t="e">
        <f t="shared" si="4"/>
        <v>#DIV/0!</v>
      </c>
      <c r="X12" s="470" t="e">
        <f t="shared" si="4"/>
        <v>#DIV/0!</v>
      </c>
      <c r="Y12" s="470" t="e">
        <f t="shared" si="4"/>
        <v>#DIV/0!</v>
      </c>
      <c r="Z12" s="470" t="e">
        <f t="shared" si="4"/>
        <v>#DIV/0!</v>
      </c>
      <c r="AA12" s="470" t="e">
        <f t="shared" si="4"/>
        <v>#DIV/0!</v>
      </c>
      <c r="AB12" s="470" t="e">
        <f t="shared" si="4"/>
        <v>#DIV/0!</v>
      </c>
      <c r="AC12" s="470"/>
      <c r="AD12" s="470"/>
      <c r="AE12" s="470"/>
    </row>
    <row r="13" spans="2:31" ht="14.25" x14ac:dyDescent="0.4">
      <c r="B13" s="22" t="s">
        <v>106</v>
      </c>
      <c r="C13" s="31">
        <f>Ražošana!C11</f>
        <v>0</v>
      </c>
      <c r="D13" s="31">
        <f>Ražošana!D11</f>
        <v>0</v>
      </c>
      <c r="E13" s="31">
        <f>Ražošana!E11</f>
        <v>0</v>
      </c>
      <c r="F13" s="31">
        <f>Ražošana!F11</f>
        <v>0</v>
      </c>
      <c r="G13" s="31">
        <f>Ražošana!G11</f>
        <v>0</v>
      </c>
      <c r="H13" s="31">
        <f>Ražošana!H11</f>
        <v>0</v>
      </c>
      <c r="I13" s="31">
        <f>Ražošana!I11</f>
        <v>0</v>
      </c>
      <c r="J13" s="31">
        <f>Ražošana!J11</f>
        <v>0</v>
      </c>
      <c r="K13" s="31">
        <f>Ražošana!K11</f>
        <v>0</v>
      </c>
      <c r="L13" s="31">
        <f>Ražošana!L11</f>
        <v>0</v>
      </c>
      <c r="M13" s="31">
        <f>Ražošana!M11</f>
        <v>0</v>
      </c>
      <c r="N13" s="31">
        <f>Ražošana!N11</f>
        <v>0</v>
      </c>
      <c r="O13" s="336">
        <f>SUM(C13:N13)</f>
        <v>0</v>
      </c>
      <c r="Q13" s="470"/>
      <c r="R13" s="470"/>
      <c r="S13" s="470"/>
      <c r="T13" s="470"/>
      <c r="U13" s="470"/>
      <c r="V13" s="470"/>
      <c r="W13" s="470"/>
      <c r="X13" s="470"/>
      <c r="Y13" s="470"/>
      <c r="Z13" s="470"/>
      <c r="AA13" s="470"/>
      <c r="AB13" s="470"/>
      <c r="AC13" s="470"/>
      <c r="AD13" s="470"/>
      <c r="AE13" s="470"/>
    </row>
    <row r="14" spans="2:31" ht="14.25" x14ac:dyDescent="0.4">
      <c r="B14" s="22" t="s">
        <v>99</v>
      </c>
      <c r="C14" s="31">
        <f>Ražošana!C13+Ražošana!C16</f>
        <v>0</v>
      </c>
      <c r="D14" s="31">
        <f>Ražošana!D13+Ražošana!D16</f>
        <v>0</v>
      </c>
      <c r="E14" s="31">
        <f>Ražošana!E13+Ražošana!E16</f>
        <v>0</v>
      </c>
      <c r="F14" s="31">
        <f>Ražošana!F13+Ražošana!F16</f>
        <v>0</v>
      </c>
      <c r="G14" s="31">
        <f>Ražošana!G13+Ražošana!G16</f>
        <v>0</v>
      </c>
      <c r="H14" s="31">
        <f>Ražošana!H13+Ražošana!H16</f>
        <v>0</v>
      </c>
      <c r="I14" s="31">
        <f>Ražošana!I13+Ražošana!I16</f>
        <v>0</v>
      </c>
      <c r="J14" s="31">
        <f>Ražošana!J13+Ražošana!J16</f>
        <v>0</v>
      </c>
      <c r="K14" s="31">
        <f>Ražošana!K13+Ražošana!K16</f>
        <v>0</v>
      </c>
      <c r="L14" s="31">
        <f>Ražošana!L13+Ražošana!L16</f>
        <v>0</v>
      </c>
      <c r="M14" s="31">
        <f>Ražošana!M13+Ražošana!M16</f>
        <v>0</v>
      </c>
      <c r="N14" s="31">
        <f>Ražošana!N13+Ražošana!N16</f>
        <v>0</v>
      </c>
      <c r="O14" s="336">
        <f t="shared" si="3"/>
        <v>0</v>
      </c>
      <c r="Q14" s="470" t="e">
        <f t="shared" si="5"/>
        <v>#DIV/0!</v>
      </c>
      <c r="R14" s="470" t="e">
        <f t="shared" si="4"/>
        <v>#DIV/0!</v>
      </c>
      <c r="S14" s="470" t="e">
        <f t="shared" si="4"/>
        <v>#DIV/0!</v>
      </c>
      <c r="T14" s="470" t="e">
        <f t="shared" si="4"/>
        <v>#DIV/0!</v>
      </c>
      <c r="U14" s="470" t="e">
        <f t="shared" si="4"/>
        <v>#DIV/0!</v>
      </c>
      <c r="V14" s="470" t="e">
        <f t="shared" si="4"/>
        <v>#DIV/0!</v>
      </c>
      <c r="W14" s="470" t="e">
        <f t="shared" si="4"/>
        <v>#DIV/0!</v>
      </c>
      <c r="X14" s="470" t="e">
        <f t="shared" si="4"/>
        <v>#DIV/0!</v>
      </c>
      <c r="Y14" s="470" t="e">
        <f t="shared" si="4"/>
        <v>#DIV/0!</v>
      </c>
      <c r="Z14" s="470" t="e">
        <f t="shared" si="4"/>
        <v>#DIV/0!</v>
      </c>
      <c r="AA14" s="470" t="e">
        <f t="shared" si="4"/>
        <v>#DIV/0!</v>
      </c>
      <c r="AB14" s="470" t="e">
        <f t="shared" si="4"/>
        <v>#DIV/0!</v>
      </c>
      <c r="AC14" s="470"/>
      <c r="AD14" s="470"/>
      <c r="AE14" s="470"/>
    </row>
    <row r="15" spans="2:31" ht="14.25" x14ac:dyDescent="0.4">
      <c r="B15" s="22" t="str">
        <f>Ražošana!B12</f>
        <v>Energoresursu izdevumi</v>
      </c>
      <c r="C15" s="262">
        <f>Ražošana!C12</f>
        <v>0</v>
      </c>
      <c r="D15" s="262">
        <f>Ražošana!D12</f>
        <v>0</v>
      </c>
      <c r="E15" s="262">
        <f>Ražošana!E12</f>
        <v>0</v>
      </c>
      <c r="F15" s="262">
        <f>Ražošana!F12</f>
        <v>0</v>
      </c>
      <c r="G15" s="262">
        <f>Ražošana!G12</f>
        <v>0</v>
      </c>
      <c r="H15" s="262">
        <f>Ražošana!H12</f>
        <v>0</v>
      </c>
      <c r="I15" s="262">
        <f>Ražošana!I12</f>
        <v>0</v>
      </c>
      <c r="J15" s="262">
        <f>Ražošana!J12</f>
        <v>0</v>
      </c>
      <c r="K15" s="262">
        <f>Ražošana!K12</f>
        <v>0</v>
      </c>
      <c r="L15" s="262">
        <f>Ražošana!L12</f>
        <v>0</v>
      </c>
      <c r="M15" s="262">
        <f>Ražošana!M12</f>
        <v>0</v>
      </c>
      <c r="N15" s="262">
        <f>Ražošana!N12</f>
        <v>0</v>
      </c>
      <c r="O15" s="336">
        <f>SUM(C15:N15)</f>
        <v>0</v>
      </c>
      <c r="Q15" s="470" t="e">
        <f t="shared" si="5"/>
        <v>#DIV/0!</v>
      </c>
      <c r="R15" s="470" t="e">
        <f t="shared" si="4"/>
        <v>#DIV/0!</v>
      </c>
      <c r="S15" s="470" t="e">
        <f t="shared" si="4"/>
        <v>#DIV/0!</v>
      </c>
      <c r="T15" s="470" t="e">
        <f t="shared" si="4"/>
        <v>#DIV/0!</v>
      </c>
      <c r="U15" s="470" t="e">
        <f t="shared" si="4"/>
        <v>#DIV/0!</v>
      </c>
      <c r="V15" s="470" t="e">
        <f t="shared" si="4"/>
        <v>#DIV/0!</v>
      </c>
      <c r="W15" s="470" t="e">
        <f t="shared" si="4"/>
        <v>#DIV/0!</v>
      </c>
      <c r="X15" s="470" t="e">
        <f t="shared" si="4"/>
        <v>#DIV/0!</v>
      </c>
      <c r="Y15" s="470" t="e">
        <f t="shared" si="4"/>
        <v>#DIV/0!</v>
      </c>
      <c r="Z15" s="470" t="e">
        <f t="shared" si="4"/>
        <v>#DIV/0!</v>
      </c>
      <c r="AA15" s="470" t="e">
        <f t="shared" si="4"/>
        <v>#DIV/0!</v>
      </c>
      <c r="AB15" s="470" t="e">
        <f t="shared" si="4"/>
        <v>#DIV/0!</v>
      </c>
      <c r="AC15" s="470"/>
      <c r="AD15" s="470"/>
      <c r="AE15" s="470"/>
    </row>
    <row r="16" spans="2:31" ht="14.25" x14ac:dyDescent="0.4">
      <c r="B16" s="22" t="str">
        <f>Ražošana!B17</f>
        <v>Komunālie maksājumi</v>
      </c>
      <c r="C16" s="262">
        <f>Ražošana!C17</f>
        <v>0</v>
      </c>
      <c r="D16" s="262">
        <f>Ražošana!D17</f>
        <v>0</v>
      </c>
      <c r="E16" s="262">
        <f>Ražošana!E17</f>
        <v>0</v>
      </c>
      <c r="F16" s="262">
        <f>Ražošana!F17</f>
        <v>0</v>
      </c>
      <c r="G16" s="262">
        <f>Ražošana!G17</f>
        <v>0</v>
      </c>
      <c r="H16" s="262">
        <f>Ražošana!H17</f>
        <v>0</v>
      </c>
      <c r="I16" s="262">
        <f>Ražošana!I17</f>
        <v>0</v>
      </c>
      <c r="J16" s="262">
        <f>Ražošana!J17</f>
        <v>0</v>
      </c>
      <c r="K16" s="262">
        <f>Ražošana!K17</f>
        <v>0</v>
      </c>
      <c r="L16" s="262">
        <f>Ražošana!L17</f>
        <v>0</v>
      </c>
      <c r="M16" s="262">
        <f>Ražošana!M17</f>
        <v>0</v>
      </c>
      <c r="N16" s="262">
        <f>Ražošana!N17</f>
        <v>0</v>
      </c>
      <c r="O16" s="336">
        <f t="shared" si="3"/>
        <v>0</v>
      </c>
      <c r="Q16" s="470" t="e">
        <f t="shared" si="5"/>
        <v>#DIV/0!</v>
      </c>
      <c r="R16" s="470" t="e">
        <f t="shared" si="4"/>
        <v>#DIV/0!</v>
      </c>
      <c r="S16" s="470" t="e">
        <f t="shared" si="4"/>
        <v>#DIV/0!</v>
      </c>
      <c r="T16" s="470" t="e">
        <f t="shared" si="4"/>
        <v>#DIV/0!</v>
      </c>
      <c r="U16" s="470" t="e">
        <f t="shared" si="4"/>
        <v>#DIV/0!</v>
      </c>
      <c r="V16" s="470" t="e">
        <f t="shared" si="4"/>
        <v>#DIV/0!</v>
      </c>
      <c r="W16" s="470" t="e">
        <f t="shared" si="4"/>
        <v>#DIV/0!</v>
      </c>
      <c r="X16" s="470" t="e">
        <f t="shared" si="4"/>
        <v>#DIV/0!</v>
      </c>
      <c r="Y16" s="470" t="e">
        <f t="shared" si="4"/>
        <v>#DIV/0!</v>
      </c>
      <c r="Z16" s="470" t="e">
        <f t="shared" si="4"/>
        <v>#DIV/0!</v>
      </c>
      <c r="AA16" s="470" t="e">
        <f t="shared" si="4"/>
        <v>#DIV/0!</v>
      </c>
      <c r="AB16" s="470" t="e">
        <f t="shared" si="4"/>
        <v>#DIV/0!</v>
      </c>
      <c r="AC16" s="470"/>
      <c r="AD16" s="470"/>
      <c r="AE16" s="470"/>
    </row>
    <row r="17" spans="2:31" ht="14.25" x14ac:dyDescent="0.4">
      <c r="B17" s="22" t="str">
        <f>Ražošana!B18</f>
        <v>Iekārtu remonts un uzturēšana</v>
      </c>
      <c r="C17" s="262">
        <f>Ražošana!C18</f>
        <v>0</v>
      </c>
      <c r="D17" s="262">
        <f>Ražošana!D18</f>
        <v>0</v>
      </c>
      <c r="E17" s="262">
        <f>Ražošana!E18</f>
        <v>0</v>
      </c>
      <c r="F17" s="262">
        <f>Ražošana!F18</f>
        <v>0</v>
      </c>
      <c r="G17" s="262">
        <f>Ražošana!G18</f>
        <v>0</v>
      </c>
      <c r="H17" s="262">
        <f>Ražošana!H18</f>
        <v>0</v>
      </c>
      <c r="I17" s="262">
        <f>Ražošana!I18</f>
        <v>0</v>
      </c>
      <c r="J17" s="262">
        <f>Ražošana!J18</f>
        <v>0</v>
      </c>
      <c r="K17" s="262">
        <f>Ražošana!K18</f>
        <v>0</v>
      </c>
      <c r="L17" s="262">
        <f>Ražošana!L18</f>
        <v>0</v>
      </c>
      <c r="M17" s="262">
        <f>Ražošana!M18</f>
        <v>0</v>
      </c>
      <c r="N17" s="262">
        <f>Ražošana!N18</f>
        <v>0</v>
      </c>
      <c r="O17" s="336">
        <f t="shared" si="3"/>
        <v>0</v>
      </c>
      <c r="Q17" s="470" t="e">
        <f t="shared" si="5"/>
        <v>#DIV/0!</v>
      </c>
      <c r="R17" s="470" t="e">
        <f t="shared" si="4"/>
        <v>#DIV/0!</v>
      </c>
      <c r="S17" s="470" t="e">
        <f t="shared" si="4"/>
        <v>#DIV/0!</v>
      </c>
      <c r="T17" s="470" t="e">
        <f t="shared" si="4"/>
        <v>#DIV/0!</v>
      </c>
      <c r="U17" s="470" t="e">
        <f t="shared" si="4"/>
        <v>#DIV/0!</v>
      </c>
      <c r="V17" s="470" t="e">
        <f t="shared" si="4"/>
        <v>#DIV/0!</v>
      </c>
      <c r="W17" s="470" t="e">
        <f t="shared" si="4"/>
        <v>#DIV/0!</v>
      </c>
      <c r="X17" s="470" t="e">
        <f t="shared" si="4"/>
        <v>#DIV/0!</v>
      </c>
      <c r="Y17" s="470" t="e">
        <f t="shared" si="4"/>
        <v>#DIV/0!</v>
      </c>
      <c r="Z17" s="470" t="e">
        <f t="shared" si="4"/>
        <v>#DIV/0!</v>
      </c>
      <c r="AA17" s="470" t="e">
        <f t="shared" si="4"/>
        <v>#DIV/0!</v>
      </c>
      <c r="AB17" s="470" t="e">
        <f t="shared" si="4"/>
        <v>#DIV/0!</v>
      </c>
      <c r="AC17" s="470"/>
      <c r="AD17" s="470"/>
      <c r="AE17" s="470"/>
    </row>
    <row r="18" spans="2:31" ht="14.25" x14ac:dyDescent="0.4">
      <c r="B18" s="22" t="str">
        <f>Ražošana!B19</f>
        <v>Pārējās izmaksas</v>
      </c>
      <c r="C18" s="262">
        <f>Ražošana!C19</f>
        <v>0</v>
      </c>
      <c r="D18" s="262">
        <f>Ražošana!D19</f>
        <v>0</v>
      </c>
      <c r="E18" s="262">
        <f>Ražošana!E19</f>
        <v>0</v>
      </c>
      <c r="F18" s="262">
        <f>Ražošana!F19</f>
        <v>0</v>
      </c>
      <c r="G18" s="262">
        <f>Ražošana!G19</f>
        <v>0</v>
      </c>
      <c r="H18" s="262">
        <f>Ražošana!H19</f>
        <v>0</v>
      </c>
      <c r="I18" s="262">
        <f>Ražošana!I19</f>
        <v>0</v>
      </c>
      <c r="J18" s="262">
        <f>Ražošana!J19</f>
        <v>0</v>
      </c>
      <c r="K18" s="262">
        <f>Ražošana!K19</f>
        <v>0</v>
      </c>
      <c r="L18" s="262">
        <f>Ražošana!L19</f>
        <v>0</v>
      </c>
      <c r="M18" s="262">
        <f>Ražošana!M19</f>
        <v>0</v>
      </c>
      <c r="N18" s="262">
        <f>Ražošana!N19</f>
        <v>0</v>
      </c>
      <c r="O18" s="336">
        <f t="shared" si="3"/>
        <v>0</v>
      </c>
      <c r="Q18" s="470" t="e">
        <f t="shared" si="5"/>
        <v>#DIV/0!</v>
      </c>
      <c r="R18" s="470" t="e">
        <f t="shared" si="4"/>
        <v>#DIV/0!</v>
      </c>
      <c r="S18" s="470" t="e">
        <f t="shared" si="4"/>
        <v>#DIV/0!</v>
      </c>
      <c r="T18" s="470" t="e">
        <f t="shared" si="4"/>
        <v>#DIV/0!</v>
      </c>
      <c r="U18" s="470" t="e">
        <f t="shared" si="4"/>
        <v>#DIV/0!</v>
      </c>
      <c r="V18" s="470" t="e">
        <f t="shared" si="4"/>
        <v>#DIV/0!</v>
      </c>
      <c r="W18" s="470" t="e">
        <f t="shared" si="4"/>
        <v>#DIV/0!</v>
      </c>
      <c r="X18" s="470" t="e">
        <f t="shared" si="4"/>
        <v>#DIV/0!</v>
      </c>
      <c r="Y18" s="470" t="e">
        <f t="shared" si="4"/>
        <v>#DIV/0!</v>
      </c>
      <c r="Z18" s="470" t="e">
        <f t="shared" si="4"/>
        <v>#DIV/0!</v>
      </c>
      <c r="AA18" s="470" t="e">
        <f t="shared" si="4"/>
        <v>#DIV/0!</v>
      </c>
      <c r="AB18" s="470" t="e">
        <f t="shared" si="4"/>
        <v>#DIV/0!</v>
      </c>
      <c r="AC18" s="470"/>
      <c r="AD18" s="470"/>
      <c r="AE18" s="470"/>
    </row>
    <row r="19" spans="2:31" ht="14.25" x14ac:dyDescent="0.4">
      <c r="B19" s="26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0"/>
    </row>
    <row r="20" spans="2:31" ht="14.65" thickBot="1" x14ac:dyDescent="0.45">
      <c r="B20" s="129" t="s">
        <v>68</v>
      </c>
      <c r="C20" s="263">
        <f t="shared" ref="C20:N20" si="6">C6-C10</f>
        <v>0</v>
      </c>
      <c r="D20" s="263">
        <f t="shared" si="6"/>
        <v>0</v>
      </c>
      <c r="E20" s="263">
        <f t="shared" si="6"/>
        <v>0</v>
      </c>
      <c r="F20" s="263">
        <f t="shared" si="6"/>
        <v>0</v>
      </c>
      <c r="G20" s="263">
        <f t="shared" si="6"/>
        <v>0</v>
      </c>
      <c r="H20" s="263">
        <f t="shared" si="6"/>
        <v>0</v>
      </c>
      <c r="I20" s="263">
        <f t="shared" si="6"/>
        <v>0</v>
      </c>
      <c r="J20" s="263">
        <f t="shared" si="6"/>
        <v>0</v>
      </c>
      <c r="K20" s="263">
        <f t="shared" si="6"/>
        <v>0</v>
      </c>
      <c r="L20" s="263">
        <f t="shared" si="6"/>
        <v>0</v>
      </c>
      <c r="M20" s="263">
        <f t="shared" si="6"/>
        <v>0</v>
      </c>
      <c r="N20" s="263">
        <f t="shared" si="6"/>
        <v>0</v>
      </c>
      <c r="O20" s="341">
        <f>SUM(C20:N20)</f>
        <v>0</v>
      </c>
    </row>
    <row r="21" spans="2:31" ht="13.5" thickTop="1" x14ac:dyDescent="0.35">
      <c r="B21" s="431" t="s">
        <v>100</v>
      </c>
      <c r="C21" s="432" t="str">
        <f>IFERROR(C20/C6,"")</f>
        <v/>
      </c>
      <c r="D21" s="432" t="str">
        <f t="shared" ref="D21:N21" si="7">IFERROR(D20/D6,"")</f>
        <v/>
      </c>
      <c r="E21" s="432" t="str">
        <f t="shared" si="7"/>
        <v/>
      </c>
      <c r="F21" s="432" t="str">
        <f t="shared" si="7"/>
        <v/>
      </c>
      <c r="G21" s="432" t="str">
        <f t="shared" si="7"/>
        <v/>
      </c>
      <c r="H21" s="432" t="str">
        <f t="shared" si="7"/>
        <v/>
      </c>
      <c r="I21" s="432" t="str">
        <f t="shared" si="7"/>
        <v/>
      </c>
      <c r="J21" s="432" t="str">
        <f t="shared" si="7"/>
        <v/>
      </c>
      <c r="K21" s="432" t="str">
        <f t="shared" si="7"/>
        <v/>
      </c>
      <c r="L21" s="432" t="str">
        <f t="shared" si="7"/>
        <v/>
      </c>
      <c r="M21" s="432" t="str">
        <f t="shared" si="7"/>
        <v/>
      </c>
      <c r="N21" s="432" t="str">
        <f t="shared" si="7"/>
        <v/>
      </c>
      <c r="O21" s="433" t="str">
        <f>IFERROR(O20/O6,"")</f>
        <v/>
      </c>
    </row>
    <row r="22" spans="2:31" ht="14.25" x14ac:dyDescent="0.4">
      <c r="B22" s="27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2"/>
    </row>
    <row r="23" spans="2:31" ht="14.25" x14ac:dyDescent="0.4">
      <c r="B23" s="28" t="s">
        <v>101</v>
      </c>
      <c r="C23" s="264">
        <f t="shared" ref="C23:N23" si="8">SUM(C24:C29)</f>
        <v>0</v>
      </c>
      <c r="D23" s="264">
        <f t="shared" si="8"/>
        <v>0</v>
      </c>
      <c r="E23" s="264">
        <f t="shared" si="8"/>
        <v>0</v>
      </c>
      <c r="F23" s="264">
        <f t="shared" si="8"/>
        <v>0</v>
      </c>
      <c r="G23" s="264">
        <f t="shared" si="8"/>
        <v>0</v>
      </c>
      <c r="H23" s="264">
        <f t="shared" si="8"/>
        <v>0</v>
      </c>
      <c r="I23" s="264">
        <f t="shared" si="8"/>
        <v>0</v>
      </c>
      <c r="J23" s="264">
        <f t="shared" si="8"/>
        <v>0</v>
      </c>
      <c r="K23" s="264">
        <f t="shared" si="8"/>
        <v>0</v>
      </c>
      <c r="L23" s="264">
        <f t="shared" si="8"/>
        <v>0</v>
      </c>
      <c r="M23" s="264">
        <f t="shared" si="8"/>
        <v>0</v>
      </c>
      <c r="N23" s="264">
        <f t="shared" si="8"/>
        <v>0</v>
      </c>
      <c r="O23" s="343">
        <f t="shared" ref="O23:O29" si="9">SUM(C23:N23)</f>
        <v>0</v>
      </c>
    </row>
    <row r="24" spans="2:31" ht="14.25" x14ac:dyDescent="0.4">
      <c r="B24" s="22" t="s">
        <v>142</v>
      </c>
      <c r="C24" s="265">
        <f>Admin!C8</f>
        <v>0</v>
      </c>
      <c r="D24" s="265">
        <f>Admin!D8</f>
        <v>0</v>
      </c>
      <c r="E24" s="265">
        <f>Admin!E8</f>
        <v>0</v>
      </c>
      <c r="F24" s="265">
        <f>Admin!F8</f>
        <v>0</v>
      </c>
      <c r="G24" s="265">
        <f>Admin!G8</f>
        <v>0</v>
      </c>
      <c r="H24" s="265">
        <f>Admin!H8</f>
        <v>0</v>
      </c>
      <c r="I24" s="265">
        <f>Admin!I8</f>
        <v>0</v>
      </c>
      <c r="J24" s="265">
        <f>Admin!J8</f>
        <v>0</v>
      </c>
      <c r="K24" s="265">
        <f>Admin!K8</f>
        <v>0</v>
      </c>
      <c r="L24" s="265">
        <f>Admin!L8</f>
        <v>0</v>
      </c>
      <c r="M24" s="265">
        <f>Admin!M8</f>
        <v>0</v>
      </c>
      <c r="N24" s="265">
        <f>Admin!N8</f>
        <v>0</v>
      </c>
      <c r="O24" s="344">
        <f t="shared" si="9"/>
        <v>0</v>
      </c>
      <c r="Q24" s="470" t="e">
        <f>C24/C$7</f>
        <v>#DIV/0!</v>
      </c>
      <c r="R24" s="470" t="e">
        <f t="shared" ref="R24:R29" si="10">D24/D$7</f>
        <v>#DIV/0!</v>
      </c>
      <c r="S24" s="470" t="e">
        <f t="shared" ref="S24:S29" si="11">E24/E$7</f>
        <v>#DIV/0!</v>
      </c>
      <c r="T24" s="470" t="e">
        <f t="shared" ref="T24:T29" si="12">F24/F$7</f>
        <v>#DIV/0!</v>
      </c>
      <c r="U24" s="470" t="e">
        <f t="shared" ref="U24:U29" si="13">G24/G$7</f>
        <v>#DIV/0!</v>
      </c>
      <c r="V24" s="470" t="e">
        <f t="shared" ref="V24:V29" si="14">H24/H$7</f>
        <v>#DIV/0!</v>
      </c>
      <c r="W24" s="470" t="e">
        <f t="shared" ref="W24:W29" si="15">I24/I$7</f>
        <v>#DIV/0!</v>
      </c>
      <c r="X24" s="470" t="e">
        <f t="shared" ref="X24:X29" si="16">J24/J$7</f>
        <v>#DIV/0!</v>
      </c>
      <c r="Y24" s="470" t="e">
        <f t="shared" ref="Y24:Y29" si="17">K24/K$7</f>
        <v>#DIV/0!</v>
      </c>
      <c r="Z24" s="470" t="e">
        <f t="shared" ref="Z24:Z29" si="18">L24/L$7</f>
        <v>#DIV/0!</v>
      </c>
      <c r="AA24" s="470" t="e">
        <f t="shared" ref="AA24:AA29" si="19">M24/M$7</f>
        <v>#DIV/0!</v>
      </c>
      <c r="AB24" s="470" t="e">
        <f t="shared" ref="AB24:AB29" si="20">N24/N$7</f>
        <v>#DIV/0!</v>
      </c>
    </row>
    <row r="25" spans="2:31" ht="14.25" x14ac:dyDescent="0.4">
      <c r="B25" s="22" t="str">
        <f>Admin!B9</f>
        <v>Mārketinga izmaksas</v>
      </c>
      <c r="C25" s="265">
        <f>Admin!C9</f>
        <v>0</v>
      </c>
      <c r="D25" s="265">
        <f>Admin!D9</f>
        <v>0</v>
      </c>
      <c r="E25" s="265">
        <f>Admin!E9</f>
        <v>0</v>
      </c>
      <c r="F25" s="265">
        <f>Admin!F9</f>
        <v>0</v>
      </c>
      <c r="G25" s="265">
        <f>Admin!G9</f>
        <v>0</v>
      </c>
      <c r="H25" s="265">
        <f>Admin!H9</f>
        <v>0</v>
      </c>
      <c r="I25" s="265">
        <f>Admin!I9</f>
        <v>0</v>
      </c>
      <c r="J25" s="265">
        <f>Admin!J9</f>
        <v>0</v>
      </c>
      <c r="K25" s="265">
        <f>Admin!K9</f>
        <v>0</v>
      </c>
      <c r="L25" s="265">
        <f>Admin!L9</f>
        <v>0</v>
      </c>
      <c r="M25" s="265">
        <f>Admin!M9</f>
        <v>0</v>
      </c>
      <c r="N25" s="265">
        <f>Admin!N9</f>
        <v>0</v>
      </c>
      <c r="O25" s="344">
        <f t="shared" si="9"/>
        <v>0</v>
      </c>
      <c r="Q25" s="470" t="e">
        <f t="shared" ref="Q25:Q29" si="21">C25/C$7</f>
        <v>#DIV/0!</v>
      </c>
      <c r="R25" s="470" t="e">
        <f t="shared" si="10"/>
        <v>#DIV/0!</v>
      </c>
      <c r="S25" s="470" t="e">
        <f t="shared" si="11"/>
        <v>#DIV/0!</v>
      </c>
      <c r="T25" s="470" t="e">
        <f t="shared" si="12"/>
        <v>#DIV/0!</v>
      </c>
      <c r="U25" s="470" t="e">
        <f t="shared" si="13"/>
        <v>#DIV/0!</v>
      </c>
      <c r="V25" s="470" t="e">
        <f t="shared" si="14"/>
        <v>#DIV/0!</v>
      </c>
      <c r="W25" s="470" t="e">
        <f t="shared" si="15"/>
        <v>#DIV/0!</v>
      </c>
      <c r="X25" s="470" t="e">
        <f t="shared" si="16"/>
        <v>#DIV/0!</v>
      </c>
      <c r="Y25" s="470" t="e">
        <f t="shared" si="17"/>
        <v>#DIV/0!</v>
      </c>
      <c r="Z25" s="470" t="e">
        <f t="shared" si="18"/>
        <v>#DIV/0!</v>
      </c>
      <c r="AA25" s="470" t="e">
        <f t="shared" si="19"/>
        <v>#DIV/0!</v>
      </c>
      <c r="AB25" s="470" t="e">
        <f t="shared" si="20"/>
        <v>#DIV/0!</v>
      </c>
    </row>
    <row r="26" spans="2:31" ht="14.25" x14ac:dyDescent="0.4">
      <c r="B26" s="22" t="str">
        <f>Admin!B10</f>
        <v>Pārējās pārdošanas izmaksas</v>
      </c>
      <c r="C26" s="265">
        <f>Admin!C10</f>
        <v>0</v>
      </c>
      <c r="D26" s="265">
        <f>Admin!D10</f>
        <v>0</v>
      </c>
      <c r="E26" s="265">
        <f>Admin!E10</f>
        <v>0</v>
      </c>
      <c r="F26" s="265">
        <f>Admin!F10</f>
        <v>0</v>
      </c>
      <c r="G26" s="265">
        <f>Admin!G10</f>
        <v>0</v>
      </c>
      <c r="H26" s="265">
        <f>Admin!H10</f>
        <v>0</v>
      </c>
      <c r="I26" s="265">
        <f>Admin!I10</f>
        <v>0</v>
      </c>
      <c r="J26" s="265">
        <f>Admin!J10</f>
        <v>0</v>
      </c>
      <c r="K26" s="265">
        <f>Admin!K10</f>
        <v>0</v>
      </c>
      <c r="L26" s="265">
        <f>Admin!L10</f>
        <v>0</v>
      </c>
      <c r="M26" s="265">
        <f>Admin!M10</f>
        <v>0</v>
      </c>
      <c r="N26" s="265">
        <f>Admin!N10</f>
        <v>0</v>
      </c>
      <c r="O26" s="344">
        <f t="shared" si="9"/>
        <v>0</v>
      </c>
      <c r="Q26" s="470" t="e">
        <f t="shared" si="21"/>
        <v>#DIV/0!</v>
      </c>
      <c r="R26" s="470" t="e">
        <f t="shared" si="10"/>
        <v>#DIV/0!</v>
      </c>
      <c r="S26" s="470" t="e">
        <f t="shared" si="11"/>
        <v>#DIV/0!</v>
      </c>
      <c r="T26" s="470" t="e">
        <f t="shared" si="12"/>
        <v>#DIV/0!</v>
      </c>
      <c r="U26" s="470" t="e">
        <f t="shared" si="13"/>
        <v>#DIV/0!</v>
      </c>
      <c r="V26" s="470" t="e">
        <f t="shared" si="14"/>
        <v>#DIV/0!</v>
      </c>
      <c r="W26" s="470" t="e">
        <f t="shared" si="15"/>
        <v>#DIV/0!</v>
      </c>
      <c r="X26" s="470" t="e">
        <f t="shared" si="16"/>
        <v>#DIV/0!</v>
      </c>
      <c r="Y26" s="470" t="e">
        <f t="shared" si="17"/>
        <v>#DIV/0!</v>
      </c>
      <c r="Z26" s="470" t="e">
        <f t="shared" si="18"/>
        <v>#DIV/0!</v>
      </c>
      <c r="AA26" s="470" t="e">
        <f t="shared" si="19"/>
        <v>#DIV/0!</v>
      </c>
      <c r="AB26" s="470" t="e">
        <f t="shared" si="20"/>
        <v>#DIV/0!</v>
      </c>
    </row>
    <row r="27" spans="2:31" ht="14.25" x14ac:dyDescent="0.4">
      <c r="B27" s="22" t="str">
        <f>Admin!B11</f>
        <v>Pārējās personāla izmaksas</v>
      </c>
      <c r="C27" s="265">
        <f>Admin!C11</f>
        <v>0</v>
      </c>
      <c r="D27" s="265">
        <f>Admin!D11</f>
        <v>0</v>
      </c>
      <c r="E27" s="265">
        <f>Admin!E11</f>
        <v>0</v>
      </c>
      <c r="F27" s="265">
        <f>Admin!F11</f>
        <v>0</v>
      </c>
      <c r="G27" s="265">
        <f>Admin!G11</f>
        <v>0</v>
      </c>
      <c r="H27" s="265">
        <f>Admin!H11</f>
        <v>0</v>
      </c>
      <c r="I27" s="265">
        <f>Admin!I11</f>
        <v>0</v>
      </c>
      <c r="J27" s="265">
        <f>Admin!J11</f>
        <v>0</v>
      </c>
      <c r="K27" s="265">
        <f>Admin!K11</f>
        <v>0</v>
      </c>
      <c r="L27" s="265">
        <f>Admin!L11</f>
        <v>0</v>
      </c>
      <c r="M27" s="265">
        <f>Admin!M11</f>
        <v>0</v>
      </c>
      <c r="N27" s="265">
        <f>Admin!N11</f>
        <v>0</v>
      </c>
      <c r="O27" s="344">
        <f t="shared" si="9"/>
        <v>0</v>
      </c>
      <c r="Q27" s="470" t="e">
        <f t="shared" si="21"/>
        <v>#DIV/0!</v>
      </c>
      <c r="R27" s="470" t="e">
        <f t="shared" si="10"/>
        <v>#DIV/0!</v>
      </c>
      <c r="S27" s="470" t="e">
        <f t="shared" si="11"/>
        <v>#DIV/0!</v>
      </c>
      <c r="T27" s="470" t="e">
        <f t="shared" si="12"/>
        <v>#DIV/0!</v>
      </c>
      <c r="U27" s="470" t="e">
        <f t="shared" si="13"/>
        <v>#DIV/0!</v>
      </c>
      <c r="V27" s="470" t="e">
        <f t="shared" si="14"/>
        <v>#DIV/0!</v>
      </c>
      <c r="W27" s="470" t="e">
        <f t="shared" si="15"/>
        <v>#DIV/0!</v>
      </c>
      <c r="X27" s="470" t="e">
        <f t="shared" si="16"/>
        <v>#DIV/0!</v>
      </c>
      <c r="Y27" s="470" t="e">
        <f t="shared" si="17"/>
        <v>#DIV/0!</v>
      </c>
      <c r="Z27" s="470" t="e">
        <f t="shared" si="18"/>
        <v>#DIV/0!</v>
      </c>
      <c r="AA27" s="470" t="e">
        <f t="shared" si="19"/>
        <v>#DIV/0!</v>
      </c>
      <c r="AB27" s="470" t="e">
        <f t="shared" si="20"/>
        <v>#DIV/0!</v>
      </c>
    </row>
    <row r="28" spans="2:31" ht="14.25" x14ac:dyDescent="0.4">
      <c r="B28" s="22" t="str">
        <f>Admin!B12</f>
        <v>CAPEX norakstīšana</v>
      </c>
      <c r="C28" s="265">
        <f>Admin!C12</f>
        <v>0</v>
      </c>
      <c r="D28" s="265">
        <f>Admin!D12</f>
        <v>0</v>
      </c>
      <c r="E28" s="265">
        <f>Admin!E12</f>
        <v>0</v>
      </c>
      <c r="F28" s="265">
        <f>Admin!F12</f>
        <v>0</v>
      </c>
      <c r="G28" s="265">
        <f>Admin!G12</f>
        <v>0</v>
      </c>
      <c r="H28" s="265">
        <f>Admin!H12</f>
        <v>0</v>
      </c>
      <c r="I28" s="265">
        <f>Admin!I12</f>
        <v>0</v>
      </c>
      <c r="J28" s="265">
        <f>Admin!J12</f>
        <v>0</v>
      </c>
      <c r="K28" s="265">
        <f>Admin!K12</f>
        <v>0</v>
      </c>
      <c r="L28" s="265">
        <f>Admin!L12</f>
        <v>0</v>
      </c>
      <c r="M28" s="265">
        <f>Admin!M12</f>
        <v>0</v>
      </c>
      <c r="N28" s="265">
        <f>Admin!N12</f>
        <v>0</v>
      </c>
      <c r="O28" s="344">
        <f t="shared" si="9"/>
        <v>0</v>
      </c>
      <c r="Q28" s="470" t="e">
        <f t="shared" si="21"/>
        <v>#DIV/0!</v>
      </c>
      <c r="R28" s="470" t="e">
        <f t="shared" si="10"/>
        <v>#DIV/0!</v>
      </c>
      <c r="S28" s="470" t="e">
        <f t="shared" si="11"/>
        <v>#DIV/0!</v>
      </c>
      <c r="T28" s="470" t="e">
        <f t="shared" si="12"/>
        <v>#DIV/0!</v>
      </c>
      <c r="U28" s="470" t="e">
        <f t="shared" si="13"/>
        <v>#DIV/0!</v>
      </c>
      <c r="V28" s="470" t="e">
        <f t="shared" si="14"/>
        <v>#DIV/0!</v>
      </c>
      <c r="W28" s="470" t="e">
        <f t="shared" si="15"/>
        <v>#DIV/0!</v>
      </c>
      <c r="X28" s="470" t="e">
        <f t="shared" si="16"/>
        <v>#DIV/0!</v>
      </c>
      <c r="Y28" s="470" t="e">
        <f t="shared" si="17"/>
        <v>#DIV/0!</v>
      </c>
      <c r="Z28" s="470" t="e">
        <f t="shared" si="18"/>
        <v>#DIV/0!</v>
      </c>
      <c r="AA28" s="470" t="e">
        <f t="shared" si="19"/>
        <v>#DIV/0!</v>
      </c>
      <c r="AB28" s="470" t="e">
        <f t="shared" si="20"/>
        <v>#DIV/0!</v>
      </c>
    </row>
    <row r="29" spans="2:31" ht="14.25" x14ac:dyDescent="0.4">
      <c r="B29" s="22" t="str">
        <f>Admin!B13</f>
        <v>Pārējās administrācijas izmaksas</v>
      </c>
      <c r="C29" s="265">
        <f>Admin!C13</f>
        <v>0</v>
      </c>
      <c r="D29" s="265">
        <f>Admin!D13</f>
        <v>0</v>
      </c>
      <c r="E29" s="265">
        <f>Admin!E13</f>
        <v>0</v>
      </c>
      <c r="F29" s="265">
        <f>Admin!F13</f>
        <v>0</v>
      </c>
      <c r="G29" s="265">
        <f>Admin!G13</f>
        <v>0</v>
      </c>
      <c r="H29" s="265">
        <f>Admin!H13</f>
        <v>0</v>
      </c>
      <c r="I29" s="265">
        <f>Admin!I13</f>
        <v>0</v>
      </c>
      <c r="J29" s="265">
        <f>Admin!J13</f>
        <v>0</v>
      </c>
      <c r="K29" s="265">
        <f>Admin!K13</f>
        <v>0</v>
      </c>
      <c r="L29" s="265">
        <f>Admin!L13</f>
        <v>0</v>
      </c>
      <c r="M29" s="265">
        <f>Admin!M13</f>
        <v>0</v>
      </c>
      <c r="N29" s="265">
        <f>Admin!N13</f>
        <v>0</v>
      </c>
      <c r="O29" s="344">
        <f t="shared" si="9"/>
        <v>0</v>
      </c>
      <c r="Q29" s="470" t="e">
        <f t="shared" si="21"/>
        <v>#DIV/0!</v>
      </c>
      <c r="R29" s="470" t="e">
        <f t="shared" si="10"/>
        <v>#DIV/0!</v>
      </c>
      <c r="S29" s="470" t="e">
        <f t="shared" si="11"/>
        <v>#DIV/0!</v>
      </c>
      <c r="T29" s="470" t="e">
        <f t="shared" si="12"/>
        <v>#DIV/0!</v>
      </c>
      <c r="U29" s="470" t="e">
        <f t="shared" si="13"/>
        <v>#DIV/0!</v>
      </c>
      <c r="V29" s="470" t="e">
        <f t="shared" si="14"/>
        <v>#DIV/0!</v>
      </c>
      <c r="W29" s="470" t="e">
        <f t="shared" si="15"/>
        <v>#DIV/0!</v>
      </c>
      <c r="X29" s="470" t="e">
        <f t="shared" si="16"/>
        <v>#DIV/0!</v>
      </c>
      <c r="Y29" s="470" t="e">
        <f t="shared" si="17"/>
        <v>#DIV/0!</v>
      </c>
      <c r="Z29" s="470" t="e">
        <f t="shared" si="18"/>
        <v>#DIV/0!</v>
      </c>
      <c r="AA29" s="470" t="e">
        <f t="shared" si="19"/>
        <v>#DIV/0!</v>
      </c>
      <c r="AB29" s="470" t="e">
        <f t="shared" si="20"/>
        <v>#DIV/0!</v>
      </c>
    </row>
    <row r="30" spans="2:31" ht="14.25" x14ac:dyDescent="0.4">
      <c r="B30" s="2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44"/>
    </row>
    <row r="31" spans="2:31" ht="14.65" thickBot="1" x14ac:dyDescent="0.45">
      <c r="B31" s="130" t="s">
        <v>35</v>
      </c>
      <c r="C31" s="267">
        <f t="shared" ref="C31:N31" si="22">C20-C23</f>
        <v>0</v>
      </c>
      <c r="D31" s="267">
        <f t="shared" si="22"/>
        <v>0</v>
      </c>
      <c r="E31" s="267">
        <f t="shared" si="22"/>
        <v>0</v>
      </c>
      <c r="F31" s="267">
        <f t="shared" si="22"/>
        <v>0</v>
      </c>
      <c r="G31" s="267">
        <f t="shared" si="22"/>
        <v>0</v>
      </c>
      <c r="H31" s="267">
        <f t="shared" si="22"/>
        <v>0</v>
      </c>
      <c r="I31" s="267">
        <f t="shared" si="22"/>
        <v>0</v>
      </c>
      <c r="J31" s="267">
        <f t="shared" si="22"/>
        <v>0</v>
      </c>
      <c r="K31" s="267">
        <f t="shared" si="22"/>
        <v>0</v>
      </c>
      <c r="L31" s="267">
        <f t="shared" si="22"/>
        <v>0</v>
      </c>
      <c r="M31" s="267">
        <f t="shared" si="22"/>
        <v>0</v>
      </c>
      <c r="N31" s="267">
        <f t="shared" si="22"/>
        <v>0</v>
      </c>
      <c r="O31" s="341">
        <f>SUM(C31:N31)</f>
        <v>0</v>
      </c>
    </row>
    <row r="32" spans="2:31" ht="14.65" thickTop="1" x14ac:dyDescent="0.4">
      <c r="B32" s="2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44"/>
    </row>
    <row r="33" spans="2:28" ht="14.25" x14ac:dyDescent="0.4">
      <c r="B33" s="22" t="s">
        <v>90</v>
      </c>
      <c r="C33" s="33">
        <f>CapEx!D21</f>
        <v>3030.3030303030305</v>
      </c>
      <c r="D33" s="33">
        <f>CapEx!E21</f>
        <v>3030.3030303030305</v>
      </c>
      <c r="E33" s="33">
        <f>CapEx!F21</f>
        <v>3030.3030303030305</v>
      </c>
      <c r="F33" s="33">
        <f>CapEx!G21</f>
        <v>3030.3030303030305</v>
      </c>
      <c r="G33" s="33">
        <f>CapEx!H21</f>
        <v>3030.3030303030305</v>
      </c>
      <c r="H33" s="33">
        <f>CapEx!I21</f>
        <v>3030.3030303030305</v>
      </c>
      <c r="I33" s="33">
        <f>CapEx!J21</f>
        <v>3030.3030303030305</v>
      </c>
      <c r="J33" s="33">
        <f>CapEx!K21</f>
        <v>3030.3030303030305</v>
      </c>
      <c r="K33" s="33">
        <f>CapEx!L21</f>
        <v>3030.3030303030305</v>
      </c>
      <c r="L33" s="33">
        <f>CapEx!M21</f>
        <v>3030.3030303030305</v>
      </c>
      <c r="M33" s="33">
        <f>CapEx!N21</f>
        <v>3030.3030303030305</v>
      </c>
      <c r="N33" s="33">
        <f>CapEx!O21</f>
        <v>3030.3030303030305</v>
      </c>
      <c r="O33" s="344">
        <f t="shared" ref="O33:O34" si="23">SUM(C33:N33)</f>
        <v>36363.636363636375</v>
      </c>
      <c r="Q33" s="470" t="e">
        <f t="shared" ref="Q33" si="24">C33/C$7</f>
        <v>#DIV/0!</v>
      </c>
      <c r="R33" s="470" t="e">
        <f t="shared" ref="R33" si="25">D33/D$7</f>
        <v>#DIV/0!</v>
      </c>
      <c r="S33" s="470" t="e">
        <f t="shared" ref="S33" si="26">E33/E$7</f>
        <v>#DIV/0!</v>
      </c>
      <c r="T33" s="470" t="e">
        <f t="shared" ref="T33" si="27">F33/F$7</f>
        <v>#DIV/0!</v>
      </c>
      <c r="U33" s="470" t="e">
        <f t="shared" ref="U33" si="28">G33/G$7</f>
        <v>#DIV/0!</v>
      </c>
      <c r="V33" s="470" t="e">
        <f t="shared" ref="V33" si="29">H33/H$7</f>
        <v>#DIV/0!</v>
      </c>
      <c r="W33" s="470" t="e">
        <f t="shared" ref="W33" si="30">I33/I$7</f>
        <v>#DIV/0!</v>
      </c>
      <c r="X33" s="470" t="e">
        <f t="shared" ref="X33" si="31">J33/J$7</f>
        <v>#DIV/0!</v>
      </c>
      <c r="Y33" s="470" t="e">
        <f t="shared" ref="Y33" si="32">K33/K$7</f>
        <v>#DIV/0!</v>
      </c>
      <c r="Z33" s="470" t="e">
        <f t="shared" ref="Z33" si="33">L33/L$7</f>
        <v>#DIV/0!</v>
      </c>
      <c r="AA33" s="470" t="e">
        <f t="shared" ref="AA33" si="34">M33/M$7</f>
        <v>#DIV/0!</v>
      </c>
      <c r="AB33" s="470" t="e">
        <f t="shared" ref="AB33" si="35">N33/N$7</f>
        <v>#DIV/0!</v>
      </c>
    </row>
    <row r="34" spans="2:28" ht="14.25" x14ac:dyDescent="0.4">
      <c r="B34" s="22" t="s">
        <v>91</v>
      </c>
      <c r="C34" s="33">
        <f>CapEx!D24</f>
        <v>0</v>
      </c>
      <c r="D34" s="33">
        <f>CapEx!E24</f>
        <v>0</v>
      </c>
      <c r="E34" s="33">
        <f>CapEx!F24</f>
        <v>0</v>
      </c>
      <c r="F34" s="33">
        <f>CapEx!G24</f>
        <v>0</v>
      </c>
      <c r="G34" s="33">
        <f>CapEx!H24</f>
        <v>0</v>
      </c>
      <c r="H34" s="33">
        <f>CapEx!I24</f>
        <v>0</v>
      </c>
      <c r="I34" s="33">
        <f>CapEx!J24</f>
        <v>0</v>
      </c>
      <c r="J34" s="33">
        <f>CapEx!K24</f>
        <v>0</v>
      </c>
      <c r="K34" s="33">
        <f>CapEx!L24</f>
        <v>0</v>
      </c>
      <c r="L34" s="33">
        <f>CapEx!M24</f>
        <v>0</v>
      </c>
      <c r="M34" s="33">
        <f>CapEx!N24</f>
        <v>0</v>
      </c>
      <c r="N34" s="33">
        <f>CapEx!O24</f>
        <v>0</v>
      </c>
      <c r="O34" s="344">
        <f t="shared" si="23"/>
        <v>0</v>
      </c>
    </row>
    <row r="35" spans="2:28" ht="14.25" x14ac:dyDescent="0.4">
      <c r="B35" s="2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44"/>
    </row>
    <row r="36" spans="2:28" ht="14.65" thickBot="1" x14ac:dyDescent="0.45">
      <c r="B36" s="130" t="s">
        <v>36</v>
      </c>
      <c r="C36" s="267">
        <f>C31-C33-C34</f>
        <v>-3030.3030303030305</v>
      </c>
      <c r="D36" s="267">
        <f t="shared" ref="D36:N36" si="36">D31-D33-D34</f>
        <v>-3030.3030303030305</v>
      </c>
      <c r="E36" s="267">
        <f t="shared" si="36"/>
        <v>-3030.3030303030305</v>
      </c>
      <c r="F36" s="267">
        <f t="shared" si="36"/>
        <v>-3030.3030303030305</v>
      </c>
      <c r="G36" s="267">
        <f t="shared" si="36"/>
        <v>-3030.3030303030305</v>
      </c>
      <c r="H36" s="267">
        <f t="shared" si="36"/>
        <v>-3030.3030303030305</v>
      </c>
      <c r="I36" s="267">
        <f t="shared" si="36"/>
        <v>-3030.3030303030305</v>
      </c>
      <c r="J36" s="267">
        <f t="shared" si="36"/>
        <v>-3030.3030303030305</v>
      </c>
      <c r="K36" s="267">
        <f t="shared" si="36"/>
        <v>-3030.3030303030305</v>
      </c>
      <c r="L36" s="267">
        <f t="shared" si="36"/>
        <v>-3030.3030303030305</v>
      </c>
      <c r="M36" s="267">
        <f t="shared" si="36"/>
        <v>-3030.3030303030305</v>
      </c>
      <c r="N36" s="267">
        <f t="shared" si="36"/>
        <v>-3030.3030303030305</v>
      </c>
      <c r="O36" s="341">
        <f>SUM(C36:N36)</f>
        <v>-36363.636363636375</v>
      </c>
    </row>
    <row r="37" spans="2:28" ht="14.65" thickTop="1" x14ac:dyDescent="0.4">
      <c r="B37" s="2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44"/>
    </row>
    <row r="38" spans="2:28" ht="14.25" x14ac:dyDescent="0.4">
      <c r="B38" s="22" t="s">
        <v>105</v>
      </c>
      <c r="C38" s="265">
        <f>Finansēšana!D28</f>
        <v>0</v>
      </c>
      <c r="D38" s="265">
        <f>Finansēšana!E28</f>
        <v>0</v>
      </c>
      <c r="E38" s="265">
        <f>Finansēšana!F28</f>
        <v>0</v>
      </c>
      <c r="F38" s="265">
        <f>Finansēšana!G28</f>
        <v>0</v>
      </c>
      <c r="G38" s="265">
        <f>Finansēšana!H28</f>
        <v>0</v>
      </c>
      <c r="H38" s="265">
        <f>Finansēšana!I28</f>
        <v>0</v>
      </c>
      <c r="I38" s="265">
        <f>Finansēšana!J28</f>
        <v>0</v>
      </c>
      <c r="J38" s="265">
        <f>Finansēšana!K28</f>
        <v>0</v>
      </c>
      <c r="K38" s="265">
        <f>Finansēšana!L28</f>
        <v>0</v>
      </c>
      <c r="L38" s="265">
        <f>Finansēšana!M28</f>
        <v>0</v>
      </c>
      <c r="M38" s="265">
        <f>Finansēšana!N28</f>
        <v>0</v>
      </c>
      <c r="N38" s="265">
        <f>Finansēšana!O28</f>
        <v>0</v>
      </c>
      <c r="O38" s="344">
        <f>SUM(C38:N38)</f>
        <v>0</v>
      </c>
      <c r="Q38" s="470" t="e">
        <f t="shared" ref="Q38" si="37">C38/C$7</f>
        <v>#DIV/0!</v>
      </c>
      <c r="R38" s="470" t="e">
        <f t="shared" ref="R38" si="38">D38/D$7</f>
        <v>#DIV/0!</v>
      </c>
      <c r="S38" s="470" t="e">
        <f t="shared" ref="S38" si="39">E38/E$7</f>
        <v>#DIV/0!</v>
      </c>
      <c r="T38" s="470" t="e">
        <f t="shared" ref="T38" si="40">F38/F$7</f>
        <v>#DIV/0!</v>
      </c>
      <c r="U38" s="470" t="e">
        <f t="shared" ref="U38" si="41">G38/G$7</f>
        <v>#DIV/0!</v>
      </c>
      <c r="V38" s="470" t="e">
        <f t="shared" ref="V38" si="42">H38/H$7</f>
        <v>#DIV/0!</v>
      </c>
      <c r="W38" s="470" t="e">
        <f t="shared" ref="W38" si="43">I38/I$7</f>
        <v>#DIV/0!</v>
      </c>
      <c r="X38" s="470" t="e">
        <f t="shared" ref="X38" si="44">J38/J$7</f>
        <v>#DIV/0!</v>
      </c>
      <c r="Y38" s="470" t="e">
        <f t="shared" ref="Y38" si="45">K38/K$7</f>
        <v>#DIV/0!</v>
      </c>
      <c r="Z38" s="470" t="e">
        <f t="shared" ref="Z38" si="46">L38/L$7</f>
        <v>#DIV/0!</v>
      </c>
      <c r="AA38" s="470" t="e">
        <f t="shared" ref="AA38" si="47">M38/M$7</f>
        <v>#DIV/0!</v>
      </c>
      <c r="AB38" s="470" t="e">
        <f t="shared" ref="AB38" si="48">N38/N$7</f>
        <v>#DIV/0!</v>
      </c>
    </row>
    <row r="39" spans="2:28" ht="14.25" x14ac:dyDescent="0.4">
      <c r="B39" s="2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4"/>
    </row>
    <row r="40" spans="2:28" ht="14.65" thickBot="1" x14ac:dyDescent="0.45">
      <c r="B40" s="130" t="s">
        <v>102</v>
      </c>
      <c r="C40" s="267">
        <f>C36-C38</f>
        <v>-3030.3030303030305</v>
      </c>
      <c r="D40" s="267">
        <f t="shared" ref="D40:N40" si="49">D36-D38</f>
        <v>-3030.3030303030305</v>
      </c>
      <c r="E40" s="267">
        <f t="shared" si="49"/>
        <v>-3030.3030303030305</v>
      </c>
      <c r="F40" s="267">
        <f t="shared" si="49"/>
        <v>-3030.3030303030305</v>
      </c>
      <c r="G40" s="267">
        <f t="shared" si="49"/>
        <v>-3030.3030303030305</v>
      </c>
      <c r="H40" s="267">
        <f t="shared" si="49"/>
        <v>-3030.3030303030305</v>
      </c>
      <c r="I40" s="267">
        <f t="shared" si="49"/>
        <v>-3030.3030303030305</v>
      </c>
      <c r="J40" s="267">
        <f t="shared" si="49"/>
        <v>-3030.3030303030305</v>
      </c>
      <c r="K40" s="267">
        <f t="shared" si="49"/>
        <v>-3030.3030303030305</v>
      </c>
      <c r="L40" s="267">
        <f t="shared" si="49"/>
        <v>-3030.3030303030305</v>
      </c>
      <c r="M40" s="267">
        <f t="shared" si="49"/>
        <v>-3030.3030303030305</v>
      </c>
      <c r="N40" s="267">
        <f t="shared" si="49"/>
        <v>-3030.3030303030305</v>
      </c>
      <c r="O40" s="341">
        <f>SUM(C40:N40)</f>
        <v>-36363.636363636375</v>
      </c>
    </row>
    <row r="41" spans="2:28" ht="14.65" thickTop="1" x14ac:dyDescent="0.4">
      <c r="B41" s="30"/>
      <c r="C41" s="335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45"/>
    </row>
    <row r="42" spans="2:28" ht="14.25" x14ac:dyDescent="0.4">
      <c r="B42" s="22" t="s">
        <v>103</v>
      </c>
      <c r="C42" s="265">
        <f>-NP!C24/(1-Pieņēmumi!$J$15)*Pieņēmumi!$J$15</f>
        <v>0</v>
      </c>
      <c r="D42" s="265">
        <f>-NP!D24/(1-Pieņēmumi!$J$15)*Pieņēmumi!$J$15</f>
        <v>0</v>
      </c>
      <c r="E42" s="265">
        <f>-NP!E24/(1-Pieņēmumi!$J$15)*Pieņēmumi!$J$15</f>
        <v>0</v>
      </c>
      <c r="F42" s="265">
        <f>-NP!F24/(1-Pieņēmumi!$J$15)*Pieņēmumi!$J$15</f>
        <v>0</v>
      </c>
      <c r="G42" s="265">
        <f>-NP!G24/(1-Pieņēmumi!$J$15)*Pieņēmumi!$J$15</f>
        <v>0</v>
      </c>
      <c r="H42" s="265">
        <f>-NP!H24/(1-Pieņēmumi!$J$15)*Pieņēmumi!$J$15</f>
        <v>0</v>
      </c>
      <c r="I42" s="265">
        <f>-NP!I24/(1-Pieņēmumi!$J$15)*Pieņēmumi!$J$15</f>
        <v>0</v>
      </c>
      <c r="J42" s="265">
        <f>-NP!J24/(1-Pieņēmumi!$J$15)*Pieņēmumi!$J$15</f>
        <v>0</v>
      </c>
      <c r="K42" s="265">
        <f>-NP!K24/(1-Pieņēmumi!$J$15)*Pieņēmumi!$J$15</f>
        <v>0</v>
      </c>
      <c r="L42" s="265">
        <f>-NP!L24/(1-Pieņēmumi!$J$15)*Pieņēmumi!$J$15</f>
        <v>0</v>
      </c>
      <c r="M42" s="265">
        <f>-NP!M24/(1-Pieņēmumi!$J$15)*Pieņēmumi!$J$15</f>
        <v>0</v>
      </c>
      <c r="N42" s="265">
        <f>-NP!N24/(1-Pieņēmumi!$J$15)*Pieņēmumi!$J$15</f>
        <v>0</v>
      </c>
      <c r="O42" s="344">
        <f>SUM(C42:N42)</f>
        <v>0</v>
      </c>
      <c r="Q42" s="470" t="e">
        <f t="shared" ref="Q42" si="50">C42/C$7</f>
        <v>#DIV/0!</v>
      </c>
      <c r="R42" s="470" t="e">
        <f t="shared" ref="R42" si="51">D42/D$7</f>
        <v>#DIV/0!</v>
      </c>
      <c r="S42" s="470" t="e">
        <f t="shared" ref="S42" si="52">E42/E$7</f>
        <v>#DIV/0!</v>
      </c>
      <c r="T42" s="470" t="e">
        <f t="shared" ref="T42" si="53">F42/F$7</f>
        <v>#DIV/0!</v>
      </c>
      <c r="U42" s="470" t="e">
        <f t="shared" ref="U42" si="54">G42/G$7</f>
        <v>#DIV/0!</v>
      </c>
      <c r="V42" s="470" t="e">
        <f t="shared" ref="V42" si="55">H42/H$7</f>
        <v>#DIV/0!</v>
      </c>
      <c r="W42" s="470" t="e">
        <f t="shared" ref="W42" si="56">I42/I$7</f>
        <v>#DIV/0!</v>
      </c>
      <c r="X42" s="470" t="e">
        <f t="shared" ref="X42" si="57">J42/J$7</f>
        <v>#DIV/0!</v>
      </c>
      <c r="Y42" s="470" t="e">
        <f t="shared" ref="Y42" si="58">K42/K$7</f>
        <v>#DIV/0!</v>
      </c>
      <c r="Z42" s="470" t="e">
        <f t="shared" ref="Z42" si="59">L42/L$7</f>
        <v>#DIV/0!</v>
      </c>
      <c r="AA42" s="470" t="e">
        <f t="shared" ref="AA42" si="60">M42/M$7</f>
        <v>#DIV/0!</v>
      </c>
      <c r="AB42" s="470" t="e">
        <f t="shared" ref="AB42" si="61">N42/N$7</f>
        <v>#DIV/0!</v>
      </c>
    </row>
    <row r="43" spans="2:28" ht="14.25" x14ac:dyDescent="0.4">
      <c r="B43" s="29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344"/>
    </row>
    <row r="44" spans="2:28" ht="14.65" thickBot="1" x14ac:dyDescent="0.45">
      <c r="B44" s="131" t="s">
        <v>60</v>
      </c>
      <c r="C44" s="268">
        <f>C40-C42</f>
        <v>-3030.3030303030305</v>
      </c>
      <c r="D44" s="268">
        <f t="shared" ref="D44:N44" si="62">D40-D42</f>
        <v>-3030.3030303030305</v>
      </c>
      <c r="E44" s="268">
        <f t="shared" si="62"/>
        <v>-3030.3030303030305</v>
      </c>
      <c r="F44" s="268">
        <f t="shared" si="62"/>
        <v>-3030.3030303030305</v>
      </c>
      <c r="G44" s="268">
        <f t="shared" si="62"/>
        <v>-3030.3030303030305</v>
      </c>
      <c r="H44" s="268">
        <f t="shared" si="62"/>
        <v>-3030.3030303030305</v>
      </c>
      <c r="I44" s="268">
        <f t="shared" si="62"/>
        <v>-3030.3030303030305</v>
      </c>
      <c r="J44" s="268">
        <f t="shared" si="62"/>
        <v>-3030.3030303030305</v>
      </c>
      <c r="K44" s="268">
        <f t="shared" si="62"/>
        <v>-3030.3030303030305</v>
      </c>
      <c r="L44" s="268">
        <f t="shared" si="62"/>
        <v>-3030.3030303030305</v>
      </c>
      <c r="M44" s="268">
        <f t="shared" si="62"/>
        <v>-3030.3030303030305</v>
      </c>
      <c r="N44" s="268">
        <f t="shared" si="62"/>
        <v>-3030.3030303030305</v>
      </c>
      <c r="O44" s="346">
        <f>SUM(C44:N44)</f>
        <v>-36363.636363636375</v>
      </c>
    </row>
    <row r="45" spans="2:28" x14ac:dyDescent="0.35">
      <c r="B45" s="434" t="s">
        <v>104</v>
      </c>
      <c r="C45" s="435" t="str">
        <f t="shared" ref="C45:O45" si="63">IFERROR(C44/C6,"")</f>
        <v/>
      </c>
      <c r="D45" s="435" t="str">
        <f t="shared" si="63"/>
        <v/>
      </c>
      <c r="E45" s="435" t="str">
        <f t="shared" si="63"/>
        <v/>
      </c>
      <c r="F45" s="435" t="str">
        <f t="shared" si="63"/>
        <v/>
      </c>
      <c r="G45" s="435" t="str">
        <f t="shared" si="63"/>
        <v/>
      </c>
      <c r="H45" s="435" t="str">
        <f t="shared" si="63"/>
        <v/>
      </c>
      <c r="I45" s="435" t="str">
        <f t="shared" si="63"/>
        <v/>
      </c>
      <c r="J45" s="435" t="str">
        <f t="shared" si="63"/>
        <v/>
      </c>
      <c r="K45" s="435" t="str">
        <f t="shared" si="63"/>
        <v/>
      </c>
      <c r="L45" s="435" t="str">
        <f t="shared" si="63"/>
        <v/>
      </c>
      <c r="M45" s="435" t="str">
        <f t="shared" si="63"/>
        <v/>
      </c>
      <c r="N45" s="435" t="str">
        <f t="shared" si="63"/>
        <v/>
      </c>
      <c r="O45" s="468" t="str">
        <f t="shared" si="63"/>
        <v/>
      </c>
    </row>
  </sheetData>
  <sheetProtection formatColumns="0" formatRows="0" selectLockedCells="1"/>
  <phoneticPr fontId="2" type="noConversion"/>
  <pageMargins left="0.25" right="0.25" top="0.75" bottom="0.75" header="0.3" footer="0.3"/>
  <pageSetup paperSize="9" scale="65" orientation="landscape" r:id="rId1"/>
  <headerFooter alignWithMargins="0"/>
  <cellWatches>
    <cellWatch r="O44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5" tint="0.39997558519241921"/>
  </sheetPr>
  <dimension ref="B1:P58"/>
  <sheetViews>
    <sheetView showGridLines="0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7" sqref="D17"/>
    </sheetView>
  </sheetViews>
  <sheetFormatPr defaultColWidth="9.1328125" defaultRowHeight="14.25" x14ac:dyDescent="0.4"/>
  <cols>
    <col min="1" max="1" width="5.46484375" style="144" customWidth="1"/>
    <col min="2" max="2" width="43" style="148" customWidth="1"/>
    <col min="3" max="3" width="13.46484375" style="162" bestFit="1" customWidth="1"/>
    <col min="4" max="6" width="11.53125" style="144" bestFit="1" customWidth="1"/>
    <col min="7" max="14" width="12.46484375" style="144" bestFit="1" customWidth="1"/>
    <col min="15" max="15" width="12.46484375" style="147" bestFit="1" customWidth="1"/>
    <col min="16" max="16" width="9.1328125" style="399"/>
    <col min="17" max="16384" width="9.1328125" style="144"/>
  </cols>
  <sheetData>
    <row r="1" spans="2:16" s="159" customFormat="1" ht="15.4" x14ac:dyDescent="0.4">
      <c r="B1" s="157"/>
      <c r="C1" s="158"/>
      <c r="O1" s="160"/>
      <c r="P1" s="400"/>
    </row>
    <row r="2" spans="2:16" s="159" customFormat="1" ht="15" x14ac:dyDescent="0.4">
      <c r="B2" s="253" t="str">
        <f>LEFT(Pieņēmumi!$B$2,FIND("Budžets",Pieņēmumi!$B$2)-1)&amp;"Bilance "</f>
        <v xml:space="preserve">Spēka ražotājs Bilance 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400"/>
    </row>
    <row r="3" spans="2:16" ht="10.5" customHeight="1" x14ac:dyDescent="0.4"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</row>
    <row r="4" spans="2:16" x14ac:dyDescent="0.4">
      <c r="B4" s="38" t="s">
        <v>57</v>
      </c>
      <c r="C4" s="39" t="str">
        <f>O4</f>
        <v>Dec</v>
      </c>
      <c r="D4" s="40" t="str">
        <f>LEFT(Pieņēmumi!E7,3)</f>
        <v>Jan</v>
      </c>
      <c r="E4" s="40" t="str">
        <f t="shared" ref="E4:O4" si="0">MID(Month,SEARCH(D4,Month,1)+3,3)</f>
        <v>Feb</v>
      </c>
      <c r="F4" s="40" t="str">
        <f t="shared" si="0"/>
        <v>Mar</v>
      </c>
      <c r="G4" s="40" t="str">
        <f t="shared" si="0"/>
        <v>Apr</v>
      </c>
      <c r="H4" s="40" t="str">
        <f t="shared" si="0"/>
        <v>May</v>
      </c>
      <c r="I4" s="40" t="str">
        <f t="shared" si="0"/>
        <v>Jun</v>
      </c>
      <c r="J4" s="40" t="str">
        <f t="shared" si="0"/>
        <v>Jul</v>
      </c>
      <c r="K4" s="40" t="str">
        <f t="shared" si="0"/>
        <v>Aug</v>
      </c>
      <c r="L4" s="40" t="str">
        <f t="shared" si="0"/>
        <v>Sep</v>
      </c>
      <c r="M4" s="40" t="str">
        <f t="shared" si="0"/>
        <v>Oct</v>
      </c>
      <c r="N4" s="40" t="str">
        <f t="shared" si="0"/>
        <v>Nov</v>
      </c>
      <c r="O4" s="40" t="str">
        <f t="shared" si="0"/>
        <v>Dec</v>
      </c>
    </row>
    <row r="5" spans="2:16" x14ac:dyDescent="0.4">
      <c r="B5" s="13" t="s">
        <v>190</v>
      </c>
      <c r="C5" s="269">
        <f>C28-C6-C7-C11</f>
        <v>156126.97544731706</v>
      </c>
      <c r="D5" s="281">
        <f>NP!C30</f>
        <v>136126.97544731706</v>
      </c>
      <c r="E5" s="270">
        <f>NP!D30</f>
        <v>126126.97544731706</v>
      </c>
      <c r="F5" s="270">
        <f>NP!E30</f>
        <v>96126.975447317061</v>
      </c>
      <c r="G5" s="270">
        <f>NP!F30</f>
        <v>96126.975447317061</v>
      </c>
      <c r="H5" s="270">
        <f>NP!G30</f>
        <v>96126.975447317061</v>
      </c>
      <c r="I5" s="270">
        <f>NP!H30</f>
        <v>96126.975447317061</v>
      </c>
      <c r="J5" s="270">
        <f>NP!I30</f>
        <v>96126.975447317061</v>
      </c>
      <c r="K5" s="270">
        <f>NP!J30</f>
        <v>96126.975447317061</v>
      </c>
      <c r="L5" s="270">
        <f>NP!K30</f>
        <v>96126.975447317061</v>
      </c>
      <c r="M5" s="270">
        <f>NP!L30</f>
        <v>96126.975447317061</v>
      </c>
      <c r="N5" s="270">
        <f>NP!M30</f>
        <v>96126.975447317061</v>
      </c>
      <c r="O5" s="271">
        <f>NP!N30</f>
        <v>96126.975447317061</v>
      </c>
    </row>
    <row r="6" spans="2:16" x14ac:dyDescent="0.4">
      <c r="B6" s="13" t="s">
        <v>145</v>
      </c>
      <c r="C6" s="269">
        <f>Debitori!C6</f>
        <v>50000</v>
      </c>
      <c r="D6" s="272">
        <f>SUM(Debitori!D6,Debitori!D15,Debitori!D24,Debitori!D33,Debitori!D42,Debitori!D51,Debitori!D60)</f>
        <v>25000</v>
      </c>
      <c r="E6" s="272">
        <f>SUM(Debitori!E6,Debitori!E15,Debitori!E24,Debitori!E33,Debitori!E42,Debitori!E51,Debitori!E60)</f>
        <v>0</v>
      </c>
      <c r="F6" s="272">
        <f>SUM(Debitori!F6,Debitori!F15,Debitori!F24,Debitori!F33,Debitori!F42,Debitori!F51,Debitori!F60)</f>
        <v>0</v>
      </c>
      <c r="G6" s="272">
        <f>SUM(Debitori!G6,Debitori!G15,Debitori!G24,Debitori!G33,Debitori!G42,Debitori!G51,Debitori!G60)</f>
        <v>0</v>
      </c>
      <c r="H6" s="272">
        <f>SUM(Debitori!H6,Debitori!H15,Debitori!H24,Debitori!H33,Debitori!H42,Debitori!H51,Debitori!H60)</f>
        <v>0</v>
      </c>
      <c r="I6" s="272">
        <f>SUM(Debitori!I6,Debitori!I15,Debitori!I24,Debitori!I33,Debitori!I42,Debitori!I51,Debitori!I60)</f>
        <v>0</v>
      </c>
      <c r="J6" s="272">
        <f>SUM(Debitori!J6,Debitori!J15,Debitori!J24,Debitori!J33,Debitori!J42,Debitori!J51,Debitori!J60)</f>
        <v>0</v>
      </c>
      <c r="K6" s="272">
        <f>SUM(Debitori!K6,Debitori!K15,Debitori!K24,Debitori!K33,Debitori!K42,Debitori!K51,Debitori!K60)</f>
        <v>0</v>
      </c>
      <c r="L6" s="272">
        <f>SUM(Debitori!L6,Debitori!L15,Debitori!L24,Debitori!L33,Debitori!L42,Debitori!L51,Debitori!L60)</f>
        <v>0</v>
      </c>
      <c r="M6" s="272">
        <f>SUM(Debitori!M6,Debitori!M15,Debitori!M24,Debitori!M33,Debitori!M42,Debitori!M51,Debitori!M60)</f>
        <v>0</v>
      </c>
      <c r="N6" s="272">
        <f>SUM(Debitori!N6,Debitori!N15,Debitori!N24,Debitori!N33,Debitori!N42,Debitori!N51,Debitori!N60)</f>
        <v>0</v>
      </c>
      <c r="O6" s="272">
        <f>SUM(Debitori!O6,Debitori!O15,Debitori!O24,Debitori!O33,Debitori!O42,Debitori!O51,Debitori!O60)</f>
        <v>0</v>
      </c>
    </row>
    <row r="7" spans="2:16" x14ac:dyDescent="0.4">
      <c r="B7" s="13" t="s">
        <v>191</v>
      </c>
      <c r="C7" s="269">
        <f>Iepirkumi!C8</f>
        <v>35000</v>
      </c>
      <c r="D7" s="274">
        <f>Iepirkumi!C12</f>
        <v>35000</v>
      </c>
      <c r="E7" s="272">
        <f>Iepirkumi!D12</f>
        <v>35000</v>
      </c>
      <c r="F7" s="272">
        <f>Iepirkumi!E12</f>
        <v>35000</v>
      </c>
      <c r="G7" s="272">
        <f>Iepirkumi!F12</f>
        <v>35000</v>
      </c>
      <c r="H7" s="272">
        <f>Iepirkumi!G12</f>
        <v>35000</v>
      </c>
      <c r="I7" s="272">
        <f>Iepirkumi!H12</f>
        <v>35000</v>
      </c>
      <c r="J7" s="272">
        <f>Iepirkumi!I12</f>
        <v>35000</v>
      </c>
      <c r="K7" s="272">
        <f>Iepirkumi!J12</f>
        <v>35000</v>
      </c>
      <c r="L7" s="272">
        <f>Iepirkumi!K12</f>
        <v>35000</v>
      </c>
      <c r="M7" s="272">
        <f>Iepirkumi!L12</f>
        <v>35000</v>
      </c>
      <c r="N7" s="272">
        <f>Iepirkumi!M12</f>
        <v>35000</v>
      </c>
      <c r="O7" s="272">
        <f>Iepirkumi!N12</f>
        <v>35000</v>
      </c>
    </row>
    <row r="8" spans="2:16" x14ac:dyDescent="0.4">
      <c r="B8" s="48" t="s">
        <v>192</v>
      </c>
      <c r="C8" s="275">
        <f t="shared" ref="C8:O8" si="1">SUM(C5:C7)</f>
        <v>241126.97544731706</v>
      </c>
      <c r="D8" s="276">
        <f t="shared" si="1"/>
        <v>196126.97544731706</v>
      </c>
      <c r="E8" s="276">
        <f t="shared" si="1"/>
        <v>161126.97544731706</v>
      </c>
      <c r="F8" s="276">
        <f t="shared" si="1"/>
        <v>131126.97544731706</v>
      </c>
      <c r="G8" s="276">
        <f t="shared" si="1"/>
        <v>131126.97544731706</v>
      </c>
      <c r="H8" s="276">
        <f t="shared" si="1"/>
        <v>131126.97544731706</v>
      </c>
      <c r="I8" s="276">
        <f t="shared" si="1"/>
        <v>131126.97544731706</v>
      </c>
      <c r="J8" s="276">
        <f t="shared" si="1"/>
        <v>131126.97544731706</v>
      </c>
      <c r="K8" s="276">
        <f t="shared" si="1"/>
        <v>131126.97544731706</v>
      </c>
      <c r="L8" s="276">
        <f t="shared" si="1"/>
        <v>131126.97544731706</v>
      </c>
      <c r="M8" s="276">
        <f t="shared" si="1"/>
        <v>131126.97544731706</v>
      </c>
      <c r="N8" s="276">
        <f t="shared" si="1"/>
        <v>131126.97544731706</v>
      </c>
      <c r="O8" s="277">
        <f t="shared" si="1"/>
        <v>131126.97544731706</v>
      </c>
    </row>
    <row r="9" spans="2:16" x14ac:dyDescent="0.4">
      <c r="B9" s="13" t="s">
        <v>195</v>
      </c>
      <c r="C9" s="278">
        <v>200000</v>
      </c>
      <c r="D9" s="272">
        <f>C9-PZA!C33+SUM(CapEx!D7:D14)</f>
        <v>196969.69696969696</v>
      </c>
      <c r="E9" s="272">
        <f>D9-PZA!D33+SUM(CapEx!E7:E14)</f>
        <v>193939.39393939392</v>
      </c>
      <c r="F9" s="272">
        <f>E9-PZA!E33+SUM(CapEx!F7:F14)</f>
        <v>190909.09090909088</v>
      </c>
      <c r="G9" s="272">
        <f>F9-PZA!F33+SUM(CapEx!G7:G14)</f>
        <v>187878.78787878784</v>
      </c>
      <c r="H9" s="272">
        <f>G9-PZA!G33+SUM(CapEx!H7:H14)</f>
        <v>184848.4848484848</v>
      </c>
      <c r="I9" s="272">
        <f>H9-PZA!H33+SUM(CapEx!I7:I14)</f>
        <v>181818.18181818177</v>
      </c>
      <c r="J9" s="272">
        <f>I9-PZA!I33+SUM(CapEx!J7:J14)</f>
        <v>178787.87878787873</v>
      </c>
      <c r="K9" s="272">
        <f>J9-PZA!J33+SUM(CapEx!K7:K14)</f>
        <v>175757.57575757569</v>
      </c>
      <c r="L9" s="272">
        <f>K9-PZA!K33+SUM(CapEx!L7:L14)</f>
        <v>172727.27272727265</v>
      </c>
      <c r="M9" s="272">
        <f>L9-PZA!L33+SUM(CapEx!M7:M14)</f>
        <v>169696.96969696961</v>
      </c>
      <c r="N9" s="272">
        <f>M9-PZA!M33+SUM(CapEx!N7:N14)</f>
        <v>166666.66666666657</v>
      </c>
      <c r="O9" s="272">
        <f>N9-PZA!N33+SUM(CapEx!O7:O14)</f>
        <v>163636.36363636353</v>
      </c>
    </row>
    <row r="10" spans="2:16" x14ac:dyDescent="0.4">
      <c r="B10" s="13" t="s">
        <v>194</v>
      </c>
      <c r="C10" s="278">
        <v>5000</v>
      </c>
      <c r="D10" s="272">
        <f>C10-PZA!C34+SUM(CapEx!D16:D18)</f>
        <v>5000</v>
      </c>
      <c r="E10" s="272">
        <f>D10-PZA!D34+SUM(CapEx!E16:E18)</f>
        <v>5000</v>
      </c>
      <c r="F10" s="272">
        <f>E10-PZA!E34+SUM(CapEx!F16:F18)</f>
        <v>5000</v>
      </c>
      <c r="G10" s="272">
        <f>F10-PZA!F34+SUM(CapEx!G16:G18)</f>
        <v>5000</v>
      </c>
      <c r="H10" s="272">
        <f>G10-PZA!G34+SUM(CapEx!H16:H18)</f>
        <v>5000</v>
      </c>
      <c r="I10" s="272">
        <f>H10-PZA!H34+SUM(CapEx!I16:I18)</f>
        <v>5000</v>
      </c>
      <c r="J10" s="272">
        <f>I10-PZA!I34+SUM(CapEx!J16:J18)</f>
        <v>5000</v>
      </c>
      <c r="K10" s="272">
        <f>J10-PZA!J34+SUM(CapEx!K16:K18)</f>
        <v>5000</v>
      </c>
      <c r="L10" s="272">
        <f>K10-PZA!K34+SUM(CapEx!L16:L18)</f>
        <v>5000</v>
      </c>
      <c r="M10" s="272">
        <f>L10-PZA!L34+SUM(CapEx!M16:M18)</f>
        <v>5000</v>
      </c>
      <c r="N10" s="272">
        <f>M10-PZA!M34+SUM(CapEx!N16:N18)</f>
        <v>5000</v>
      </c>
      <c r="O10" s="272">
        <f>N10-PZA!N34+SUM(CapEx!O16:O18)</f>
        <v>5000</v>
      </c>
    </row>
    <row r="11" spans="2:16" x14ac:dyDescent="0.4">
      <c r="B11" s="48" t="s">
        <v>193</v>
      </c>
      <c r="C11" s="275">
        <f t="shared" ref="C11:O11" si="2">SUM(C9:C10)</f>
        <v>205000</v>
      </c>
      <c r="D11" s="276">
        <f t="shared" si="2"/>
        <v>201969.69696969696</v>
      </c>
      <c r="E11" s="276">
        <f t="shared" si="2"/>
        <v>198939.39393939392</v>
      </c>
      <c r="F11" s="276">
        <f t="shared" si="2"/>
        <v>195909.09090909088</v>
      </c>
      <c r="G11" s="276">
        <f t="shared" si="2"/>
        <v>192878.78787878784</v>
      </c>
      <c r="H11" s="276">
        <f t="shared" si="2"/>
        <v>189848.4848484848</v>
      </c>
      <c r="I11" s="276">
        <f t="shared" si="2"/>
        <v>186818.18181818177</v>
      </c>
      <c r="J11" s="276">
        <f t="shared" si="2"/>
        <v>183787.87878787873</v>
      </c>
      <c r="K11" s="276">
        <f t="shared" si="2"/>
        <v>180757.57575757569</v>
      </c>
      <c r="L11" s="276">
        <f t="shared" si="2"/>
        <v>177727.27272727265</v>
      </c>
      <c r="M11" s="276">
        <f t="shared" si="2"/>
        <v>174696.96969696961</v>
      </c>
      <c r="N11" s="276">
        <f t="shared" si="2"/>
        <v>171666.66666666657</v>
      </c>
      <c r="O11" s="277">
        <f t="shared" si="2"/>
        <v>168636.36363636353</v>
      </c>
    </row>
    <row r="12" spans="2:16" x14ac:dyDescent="0.4">
      <c r="B12" s="132" t="s">
        <v>61</v>
      </c>
      <c r="C12" s="284">
        <f t="shared" ref="C12:O12" si="3">SUM(C8,C11)</f>
        <v>446126.97544731706</v>
      </c>
      <c r="D12" s="285">
        <f t="shared" si="3"/>
        <v>398096.67241701402</v>
      </c>
      <c r="E12" s="285">
        <f t="shared" si="3"/>
        <v>360066.36938671098</v>
      </c>
      <c r="F12" s="285">
        <f t="shared" si="3"/>
        <v>327036.06635640794</v>
      </c>
      <c r="G12" s="285">
        <f t="shared" si="3"/>
        <v>324005.7633261049</v>
      </c>
      <c r="H12" s="285">
        <f t="shared" si="3"/>
        <v>320975.46029580187</v>
      </c>
      <c r="I12" s="285">
        <f t="shared" si="3"/>
        <v>317945.15726549883</v>
      </c>
      <c r="J12" s="285">
        <f t="shared" si="3"/>
        <v>314914.85423519579</v>
      </c>
      <c r="K12" s="285">
        <f t="shared" si="3"/>
        <v>311884.55120489275</v>
      </c>
      <c r="L12" s="285">
        <f t="shared" si="3"/>
        <v>308854.24817458971</v>
      </c>
      <c r="M12" s="285">
        <f t="shared" si="3"/>
        <v>305823.94514428667</v>
      </c>
      <c r="N12" s="285">
        <f t="shared" si="3"/>
        <v>302793.64211398363</v>
      </c>
      <c r="O12" s="286">
        <f t="shared" si="3"/>
        <v>299763.33908368059</v>
      </c>
    </row>
    <row r="13" spans="2:16" x14ac:dyDescent="0.4"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70"/>
    </row>
    <row r="14" spans="2:16" x14ac:dyDescent="0.4">
      <c r="B14" s="38" t="s">
        <v>58</v>
      </c>
      <c r="C14" s="41" t="str">
        <f t="shared" ref="C14:O14" si="4">C4</f>
        <v>Dec</v>
      </c>
      <c r="D14" s="42" t="str">
        <f t="shared" si="4"/>
        <v>Jan</v>
      </c>
      <c r="E14" s="43" t="str">
        <f t="shared" si="4"/>
        <v>Feb</v>
      </c>
      <c r="F14" s="43" t="str">
        <f t="shared" si="4"/>
        <v>Mar</v>
      </c>
      <c r="G14" s="43" t="str">
        <f t="shared" si="4"/>
        <v>Apr</v>
      </c>
      <c r="H14" s="43" t="str">
        <f t="shared" si="4"/>
        <v>May</v>
      </c>
      <c r="I14" s="43" t="str">
        <f t="shared" si="4"/>
        <v>Jun</v>
      </c>
      <c r="J14" s="43" t="str">
        <f t="shared" si="4"/>
        <v>Jul</v>
      </c>
      <c r="K14" s="43" t="str">
        <f t="shared" si="4"/>
        <v>Aug</v>
      </c>
      <c r="L14" s="43" t="str">
        <f t="shared" si="4"/>
        <v>Sep</v>
      </c>
      <c r="M14" s="43" t="str">
        <f t="shared" si="4"/>
        <v>Oct</v>
      </c>
      <c r="N14" s="43" t="str">
        <f t="shared" si="4"/>
        <v>Nov</v>
      </c>
      <c r="O14" s="43" t="str">
        <f t="shared" si="4"/>
        <v>Dec</v>
      </c>
    </row>
    <row r="15" spans="2:16" x14ac:dyDescent="0.4">
      <c r="B15" s="13" t="s">
        <v>70</v>
      </c>
      <c r="C15" s="269">
        <f>Piegādātāji!C6</f>
        <v>100000</v>
      </c>
      <c r="D15" s="272">
        <f>SUM(Piegādātāji!D10,Piegādātāji!D14,Piegādātāji!D18,Piegādātāji!D6)</f>
        <v>65000</v>
      </c>
      <c r="E15" s="272">
        <f>SUM(Piegādātāji!E10,Piegādātāji!E14,Piegādātāji!E18,Piegādātāji!E6)</f>
        <v>30000</v>
      </c>
      <c r="F15" s="272">
        <f>SUM(Piegādātāji!F10,Piegādātāji!F14,Piegādātāji!F18,Piegādātāji!F6)</f>
        <v>0</v>
      </c>
      <c r="G15" s="272">
        <f>SUM(Piegādātāji!G10,Piegādātāji!G14,Piegādātāji!G18,Piegādātāji!G6)</f>
        <v>0</v>
      </c>
      <c r="H15" s="272">
        <f>SUM(Piegādātāji!H10,Piegādātāji!H14,Piegādātāji!H18,Piegādātāji!H6)</f>
        <v>0</v>
      </c>
      <c r="I15" s="272">
        <f>SUM(Piegādātāji!I10,Piegādātāji!I14,Piegādātāji!I18,Piegādātāji!I6)</f>
        <v>0</v>
      </c>
      <c r="J15" s="272">
        <f>SUM(Piegādātāji!J10,Piegādātāji!J14,Piegādātāji!J18,Piegādātāji!J6)</f>
        <v>0</v>
      </c>
      <c r="K15" s="272">
        <f>SUM(Piegādātāji!K10,Piegādātāji!K14,Piegādātāji!K18,Piegādātāji!K6)</f>
        <v>0</v>
      </c>
      <c r="L15" s="272">
        <f>SUM(Piegādātāji!L10,Piegādātāji!L14,Piegādātāji!L18,Piegādātāji!L6)</f>
        <v>0</v>
      </c>
      <c r="M15" s="272">
        <f>SUM(Piegādātāji!M10,Piegādātāji!M14,Piegādātāji!M18,Piegādātāji!M6)</f>
        <v>0</v>
      </c>
      <c r="N15" s="272">
        <f>SUM(Piegādātāji!N10,Piegādātāji!N14,Piegādātāji!N18,Piegādātāji!N6)</f>
        <v>0</v>
      </c>
      <c r="O15" s="272">
        <f>SUM(Piegādātāji!O10,Piegādātāji!O14,Piegādātāji!O18,Piegādātāji!O6)</f>
        <v>0</v>
      </c>
    </row>
    <row r="16" spans="2:16" x14ac:dyDescent="0.4">
      <c r="B16" s="13" t="s">
        <v>196</v>
      </c>
      <c r="C16" s="269">
        <f>Debitori!C7</f>
        <v>10000</v>
      </c>
      <c r="D16" s="272">
        <f>SUM(Debitori!D7,Debitori!D16,Debitori!D25,Debitori!D34,Debitori!D43,Debitori!D52,Debitori!D61)</f>
        <v>0</v>
      </c>
      <c r="E16" s="272">
        <f>SUM(Debitori!E7,Debitori!E16,Debitori!E25,Debitori!E34,Debitori!E43,Debitori!E52,Debitori!E61)</f>
        <v>0</v>
      </c>
      <c r="F16" s="272">
        <f>SUM(Debitori!F7,Debitori!F16,Debitori!F25,Debitori!F34,Debitori!F43,Debitori!F52,Debitori!F61)</f>
        <v>0</v>
      </c>
      <c r="G16" s="272">
        <f>SUM(Debitori!G7,Debitori!G16,Debitori!G25,Debitori!G34,Debitori!G43,Debitori!G52,Debitori!G61)</f>
        <v>0</v>
      </c>
      <c r="H16" s="272">
        <f>SUM(Debitori!H7,Debitori!H16,Debitori!H25,Debitori!H34,Debitori!H43,Debitori!H52,Debitori!H61)</f>
        <v>0</v>
      </c>
      <c r="I16" s="272">
        <f>SUM(Debitori!I7,Debitori!I16,Debitori!I25,Debitori!I34,Debitori!I43,Debitori!I52,Debitori!I61)</f>
        <v>0</v>
      </c>
      <c r="J16" s="272">
        <f>SUM(Debitori!J7,Debitori!J16,Debitori!J25,Debitori!J34,Debitori!J43,Debitori!J52,Debitori!J61)</f>
        <v>0</v>
      </c>
      <c r="K16" s="272">
        <f>SUM(Debitori!K7,Debitori!K16,Debitori!K25,Debitori!K34,Debitori!K43,Debitori!K52,Debitori!K61)</f>
        <v>0</v>
      </c>
      <c r="L16" s="272">
        <f>SUM(Debitori!L7,Debitori!L16,Debitori!L25,Debitori!L34,Debitori!L43,Debitori!L52,Debitori!L61)</f>
        <v>0</v>
      </c>
      <c r="M16" s="272">
        <f>SUM(Debitori!M7,Debitori!M16,Debitori!M25,Debitori!M34,Debitori!M43,Debitori!M52,Debitori!M61)</f>
        <v>0</v>
      </c>
      <c r="N16" s="272">
        <f>SUM(Debitori!N7,Debitori!N16,Debitori!N25,Debitori!N34,Debitori!N43,Debitori!N52,Debitori!N61)</f>
        <v>0</v>
      </c>
      <c r="O16" s="272">
        <f>SUM(Debitori!O7,Debitori!O16,Debitori!O25,Debitori!O34,Debitori!O43,Debitori!O52,Debitori!O61)</f>
        <v>0</v>
      </c>
    </row>
    <row r="17" spans="2:15" x14ac:dyDescent="0.4">
      <c r="B17" s="48" t="s">
        <v>197</v>
      </c>
      <c r="C17" s="280">
        <f t="shared" ref="C17:O17" si="5">SUM(C15:C16)</f>
        <v>110000</v>
      </c>
      <c r="D17" s="272">
        <f t="shared" si="5"/>
        <v>65000</v>
      </c>
      <c r="E17" s="272">
        <f t="shared" si="5"/>
        <v>30000</v>
      </c>
      <c r="F17" s="272">
        <f t="shared" si="5"/>
        <v>0</v>
      </c>
      <c r="G17" s="272">
        <f t="shared" si="5"/>
        <v>0</v>
      </c>
      <c r="H17" s="272">
        <f t="shared" si="5"/>
        <v>0</v>
      </c>
      <c r="I17" s="272">
        <f t="shared" si="5"/>
        <v>0</v>
      </c>
      <c r="J17" s="272">
        <f t="shared" si="5"/>
        <v>0</v>
      </c>
      <c r="K17" s="272">
        <f t="shared" si="5"/>
        <v>0</v>
      </c>
      <c r="L17" s="272">
        <f t="shared" si="5"/>
        <v>0</v>
      </c>
      <c r="M17" s="272">
        <f t="shared" si="5"/>
        <v>0</v>
      </c>
      <c r="N17" s="272">
        <f t="shared" si="5"/>
        <v>0</v>
      </c>
      <c r="O17" s="273">
        <f t="shared" si="5"/>
        <v>0</v>
      </c>
    </row>
    <row r="18" spans="2:15" x14ac:dyDescent="0.4">
      <c r="B18" s="13" t="s">
        <v>199</v>
      </c>
      <c r="C18" s="274">
        <f>SUM(Finansēšana!$C$11:C11)</f>
        <v>0</v>
      </c>
      <c r="D18" s="281">
        <f>SUM(Finansēšana!$C$11:D11)</f>
        <v>0</v>
      </c>
      <c r="E18" s="270">
        <f>SUM(Finansēšana!$C$11:E11)</f>
        <v>0</v>
      </c>
      <c r="F18" s="270">
        <f>SUM(Finansēšana!$C$11:F11)</f>
        <v>0</v>
      </c>
      <c r="G18" s="270">
        <f>SUM(Finansēšana!$C$11:G11)</f>
        <v>0</v>
      </c>
      <c r="H18" s="270">
        <f>SUM(Finansēšana!$C$11:H11)</f>
        <v>0</v>
      </c>
      <c r="I18" s="270">
        <f>SUM(Finansēšana!$C$11:I11)</f>
        <v>0</v>
      </c>
      <c r="J18" s="270">
        <f>SUM(Finansēšana!$C$11:J11)</f>
        <v>0</v>
      </c>
      <c r="K18" s="270">
        <f>SUM(Finansēšana!$C$11:K11)</f>
        <v>0</v>
      </c>
      <c r="L18" s="270">
        <f>SUM(Finansēšana!$C$11:L11)</f>
        <v>0</v>
      </c>
      <c r="M18" s="270">
        <f>SUM(Finansēšana!$C$11:M11)</f>
        <v>0</v>
      </c>
      <c r="N18" s="270">
        <f>SUM(Finansēšana!$C$11:N11)</f>
        <v>0</v>
      </c>
      <c r="O18" s="271">
        <f>SUM(Finansēšana!$C$11:O11)</f>
        <v>0</v>
      </c>
    </row>
    <row r="19" spans="2:15" x14ac:dyDescent="0.4">
      <c r="B19" s="13" t="s">
        <v>200</v>
      </c>
      <c r="C19" s="274">
        <f>SUM(Finansēšana!$C$21:C21)</f>
        <v>0</v>
      </c>
      <c r="D19" s="274">
        <f>SUM(Finansēšana!$C$21:D21)</f>
        <v>0</v>
      </c>
      <c r="E19" s="272">
        <f>SUM(Finansēšana!$C$21:E21)</f>
        <v>0</v>
      </c>
      <c r="F19" s="272">
        <f>SUM(Finansēšana!$C$21:F21)</f>
        <v>0</v>
      </c>
      <c r="G19" s="272">
        <f>SUM(Finansēšana!$C$21:G21)</f>
        <v>0</v>
      </c>
      <c r="H19" s="272">
        <f>SUM(Finansēšana!$C$21:H21)</f>
        <v>0</v>
      </c>
      <c r="I19" s="272">
        <f>SUM(Finansēšana!$C$21:I21)</f>
        <v>0</v>
      </c>
      <c r="J19" s="272">
        <f>SUM(Finansēšana!$C$21:J21)</f>
        <v>0</v>
      </c>
      <c r="K19" s="272">
        <f>SUM(Finansēšana!$C$21:K21)</f>
        <v>0</v>
      </c>
      <c r="L19" s="272">
        <f>SUM(Finansēšana!$C$21:L21)</f>
        <v>0</v>
      </c>
      <c r="M19" s="272">
        <f>SUM(Finansēšana!$C$21:M21)</f>
        <v>0</v>
      </c>
      <c r="N19" s="272">
        <f>SUM(Finansēšana!$C$21:N21)</f>
        <v>0</v>
      </c>
      <c r="O19" s="273">
        <f>SUM(Finansēšana!$C$21:O21)</f>
        <v>0</v>
      </c>
    </row>
    <row r="20" spans="2:15" x14ac:dyDescent="0.4">
      <c r="B20" s="13" t="s">
        <v>201</v>
      </c>
      <c r="C20" s="269">
        <f>SUM(Finansēšana!$C$6:C6)</f>
        <v>40000</v>
      </c>
      <c r="D20" s="272">
        <f>SUM(Finansēšana!$C$6:D6)</f>
        <v>40000</v>
      </c>
      <c r="E20" s="272">
        <f>SUM(Finansēšana!$C$6:E6)</f>
        <v>40000</v>
      </c>
      <c r="F20" s="272">
        <f>SUM(Finansēšana!$C$6:F6)</f>
        <v>40000</v>
      </c>
      <c r="G20" s="272">
        <f>SUM(Finansēšana!$C$6:G6)</f>
        <v>40000</v>
      </c>
      <c r="H20" s="272">
        <f>SUM(Finansēšana!$C$6:H6)</f>
        <v>40000</v>
      </c>
      <c r="I20" s="272">
        <f>SUM(Finansēšana!$C$6:I6)</f>
        <v>40000</v>
      </c>
      <c r="J20" s="272">
        <f>SUM(Finansēšana!$C$6:J6)</f>
        <v>40000</v>
      </c>
      <c r="K20" s="272">
        <f>SUM(Finansēšana!$C$6:K6)</f>
        <v>40000</v>
      </c>
      <c r="L20" s="272">
        <f>SUM(Finansēšana!$C$6:L6)</f>
        <v>40000</v>
      </c>
      <c r="M20" s="272">
        <f>SUM(Finansēšana!$C$6:M6)</f>
        <v>40000</v>
      </c>
      <c r="N20" s="272">
        <f>SUM(Finansēšana!$C$6:N6)</f>
        <v>40000</v>
      </c>
      <c r="O20" s="273">
        <f>SUM(Finansēšana!$C$6:O6)</f>
        <v>40000</v>
      </c>
    </row>
    <row r="21" spans="2:15" x14ac:dyDescent="0.4">
      <c r="B21" s="48" t="s">
        <v>198</v>
      </c>
      <c r="C21" s="280">
        <f t="shared" ref="C21:O21" si="6">SUM(C18:C20)</f>
        <v>40000</v>
      </c>
      <c r="D21" s="282">
        <f t="shared" si="6"/>
        <v>40000</v>
      </c>
      <c r="E21" s="282">
        <f>SUM(E18:E20)</f>
        <v>40000</v>
      </c>
      <c r="F21" s="282">
        <f t="shared" si="6"/>
        <v>40000</v>
      </c>
      <c r="G21" s="282">
        <f t="shared" si="6"/>
        <v>40000</v>
      </c>
      <c r="H21" s="282">
        <f t="shared" si="6"/>
        <v>40000</v>
      </c>
      <c r="I21" s="282">
        <f t="shared" si="6"/>
        <v>40000</v>
      </c>
      <c r="J21" s="282">
        <f t="shared" si="6"/>
        <v>40000</v>
      </c>
      <c r="K21" s="282">
        <f t="shared" si="6"/>
        <v>40000</v>
      </c>
      <c r="L21" s="282">
        <f t="shared" si="6"/>
        <v>40000</v>
      </c>
      <c r="M21" s="282">
        <f t="shared" si="6"/>
        <v>40000</v>
      </c>
      <c r="N21" s="282">
        <f t="shared" si="6"/>
        <v>40000</v>
      </c>
      <c r="O21" s="283">
        <f t="shared" si="6"/>
        <v>40000</v>
      </c>
    </row>
    <row r="22" spans="2:15" x14ac:dyDescent="0.4">
      <c r="B22" s="48" t="s">
        <v>202</v>
      </c>
      <c r="C22" s="275">
        <f t="shared" ref="C22:O22" si="7">SUM(C17,C21)</f>
        <v>150000</v>
      </c>
      <c r="D22" s="276">
        <f t="shared" si="7"/>
        <v>105000</v>
      </c>
      <c r="E22" s="276">
        <f>SUM(E17,E21)</f>
        <v>70000</v>
      </c>
      <c r="F22" s="276">
        <f t="shared" si="7"/>
        <v>40000</v>
      </c>
      <c r="G22" s="276">
        <f t="shared" si="7"/>
        <v>40000</v>
      </c>
      <c r="H22" s="276">
        <f t="shared" si="7"/>
        <v>40000</v>
      </c>
      <c r="I22" s="276">
        <f t="shared" si="7"/>
        <v>40000</v>
      </c>
      <c r="J22" s="276">
        <f t="shared" si="7"/>
        <v>40000</v>
      </c>
      <c r="K22" s="276">
        <f t="shared" si="7"/>
        <v>40000</v>
      </c>
      <c r="L22" s="276">
        <f t="shared" si="7"/>
        <v>40000</v>
      </c>
      <c r="M22" s="276">
        <f t="shared" si="7"/>
        <v>40000</v>
      </c>
      <c r="N22" s="276">
        <f t="shared" si="7"/>
        <v>40000</v>
      </c>
      <c r="O22" s="277">
        <f t="shared" si="7"/>
        <v>40000</v>
      </c>
    </row>
    <row r="23" spans="2:15" x14ac:dyDescent="0.4">
      <c r="B23" s="13" t="s">
        <v>203</v>
      </c>
      <c r="C23" s="278">
        <v>60000</v>
      </c>
      <c r="D23" s="272">
        <f>C23+NP!C25</f>
        <v>60000</v>
      </c>
      <c r="E23" s="272">
        <f>D23+NP!D25</f>
        <v>60000</v>
      </c>
      <c r="F23" s="272">
        <f>E23+NP!E25</f>
        <v>60000</v>
      </c>
      <c r="G23" s="272">
        <f>F23+NP!F25</f>
        <v>60000</v>
      </c>
      <c r="H23" s="272">
        <f>G23+NP!G25</f>
        <v>60000</v>
      </c>
      <c r="I23" s="272">
        <f>H23+NP!H25</f>
        <v>60000</v>
      </c>
      <c r="J23" s="272">
        <f>I23+NP!I25</f>
        <v>60000</v>
      </c>
      <c r="K23" s="272">
        <f>J23+NP!J25</f>
        <v>60000</v>
      </c>
      <c r="L23" s="272">
        <f>K23+NP!K25</f>
        <v>60000</v>
      </c>
      <c r="M23" s="272">
        <f>L23+NP!L25</f>
        <v>60000</v>
      </c>
      <c r="N23" s="272">
        <f>M23+NP!M25</f>
        <v>60000</v>
      </c>
      <c r="O23" s="273">
        <f>N23+NP!N25</f>
        <v>60000</v>
      </c>
    </row>
    <row r="24" spans="2:15" x14ac:dyDescent="0.4">
      <c r="B24" s="53" t="s">
        <v>204</v>
      </c>
      <c r="C24" s="278">
        <v>65000</v>
      </c>
      <c r="D24" s="272">
        <f>C24+NP!C24+C25</f>
        <v>236126.97544731706</v>
      </c>
      <c r="E24" s="272">
        <f>D24+NP!D24</f>
        <v>236126.97544731706</v>
      </c>
      <c r="F24" s="272">
        <f>E24+NP!E24</f>
        <v>236126.97544731706</v>
      </c>
      <c r="G24" s="272">
        <f>F24+NP!F24</f>
        <v>236126.97544731706</v>
      </c>
      <c r="H24" s="272">
        <f>G24+NP!G24</f>
        <v>236126.97544731706</v>
      </c>
      <c r="I24" s="272">
        <f>H24+NP!H24</f>
        <v>236126.97544731706</v>
      </c>
      <c r="J24" s="272">
        <f>I24+NP!I24</f>
        <v>236126.97544731706</v>
      </c>
      <c r="K24" s="272">
        <f>J24+NP!J24</f>
        <v>236126.97544731706</v>
      </c>
      <c r="L24" s="272">
        <f>K24+NP!K24</f>
        <v>236126.97544731706</v>
      </c>
      <c r="M24" s="272">
        <f>L24+NP!L24</f>
        <v>236126.97544731706</v>
      </c>
      <c r="N24" s="272">
        <f>M24+NP!M24</f>
        <v>236126.97544731706</v>
      </c>
      <c r="O24" s="273">
        <f>N24+NP!N24</f>
        <v>236126.97544731706</v>
      </c>
    </row>
    <row r="25" spans="2:15" x14ac:dyDescent="0.4">
      <c r="B25" s="53" t="s">
        <v>205</v>
      </c>
      <c r="C25" s="278">
        <v>171126.97544731706</v>
      </c>
      <c r="D25" s="272">
        <f>SUM(PZA!$C$44:C44)</f>
        <v>-3030.3030303030305</v>
      </c>
      <c r="E25" s="272">
        <f>SUM(PZA!$C$44:D44)</f>
        <v>-6060.606060606061</v>
      </c>
      <c r="F25" s="272">
        <f>SUM(PZA!$C$44:E44)</f>
        <v>-9090.9090909090919</v>
      </c>
      <c r="G25" s="272">
        <f>SUM(PZA!$C$44:F44)</f>
        <v>-12121.212121212122</v>
      </c>
      <c r="H25" s="272">
        <f>SUM(PZA!$C$44:G44)</f>
        <v>-15151.515151515152</v>
      </c>
      <c r="I25" s="272">
        <f>SUM(PZA!$C$44:H44)</f>
        <v>-18181.818181818184</v>
      </c>
      <c r="J25" s="272">
        <f>SUM(PZA!$C$44:I44)</f>
        <v>-21212.121212121216</v>
      </c>
      <c r="K25" s="272">
        <f>SUM(PZA!$C$44:J44)</f>
        <v>-24242.424242424247</v>
      </c>
      <c r="L25" s="272">
        <f>SUM(PZA!$C$44:K44)</f>
        <v>-27272.727272727279</v>
      </c>
      <c r="M25" s="272">
        <f>SUM(PZA!$C$44:L44)</f>
        <v>-30303.030303030311</v>
      </c>
      <c r="N25" s="272">
        <f>SUM(PZA!$C$44:M44)</f>
        <v>-33333.333333333343</v>
      </c>
      <c r="O25" s="273">
        <f>SUM(PZA!$C$44:N44)</f>
        <v>-36363.636363636375</v>
      </c>
    </row>
    <row r="26" spans="2:15" x14ac:dyDescent="0.4">
      <c r="B26" s="13" t="s">
        <v>206</v>
      </c>
      <c r="C26" s="269">
        <f>SUM(C24:C25)</f>
        <v>236126.97544731706</v>
      </c>
      <c r="D26" s="272">
        <f>SUM(D24:D25)</f>
        <v>233096.67241701402</v>
      </c>
      <c r="E26" s="272">
        <f t="shared" ref="E26:N26" si="8">SUM(E24:E25)</f>
        <v>230066.36938671101</v>
      </c>
      <c r="F26" s="272">
        <f t="shared" si="8"/>
        <v>227036.06635640797</v>
      </c>
      <c r="G26" s="272">
        <f t="shared" si="8"/>
        <v>224005.76332610493</v>
      </c>
      <c r="H26" s="272">
        <f>SUM(H24:H25)</f>
        <v>220975.46029580192</v>
      </c>
      <c r="I26" s="272">
        <f t="shared" si="8"/>
        <v>217945.15726549888</v>
      </c>
      <c r="J26" s="272">
        <f t="shared" si="8"/>
        <v>214914.85423519585</v>
      </c>
      <c r="K26" s="272">
        <f t="shared" si="8"/>
        <v>211884.55120489281</v>
      </c>
      <c r="L26" s="272">
        <f t="shared" si="8"/>
        <v>208854.24817458977</v>
      </c>
      <c r="M26" s="272">
        <f t="shared" si="8"/>
        <v>205823.94514428676</v>
      </c>
      <c r="N26" s="272">
        <f t="shared" si="8"/>
        <v>202793.64211398372</v>
      </c>
      <c r="O26" s="273">
        <f>SUM(O24:O25)</f>
        <v>199763.33908368068</v>
      </c>
    </row>
    <row r="27" spans="2:15" x14ac:dyDescent="0.4">
      <c r="B27" s="48" t="s">
        <v>207</v>
      </c>
      <c r="C27" s="275">
        <f t="shared" ref="C27:O27" si="9">SUM(C26,C23:C23)</f>
        <v>296126.97544731706</v>
      </c>
      <c r="D27" s="276">
        <f t="shared" si="9"/>
        <v>293096.67241701402</v>
      </c>
      <c r="E27" s="276">
        <f t="shared" si="9"/>
        <v>290066.36938671104</v>
      </c>
      <c r="F27" s="276">
        <f t="shared" si="9"/>
        <v>287036.06635640794</v>
      </c>
      <c r="G27" s="276">
        <f t="shared" si="9"/>
        <v>284005.76332610496</v>
      </c>
      <c r="H27" s="276">
        <f t="shared" si="9"/>
        <v>280975.46029580192</v>
      </c>
      <c r="I27" s="276">
        <f t="shared" si="9"/>
        <v>277945.15726549888</v>
      </c>
      <c r="J27" s="276">
        <f t="shared" si="9"/>
        <v>274914.85423519585</v>
      </c>
      <c r="K27" s="276">
        <f t="shared" si="9"/>
        <v>271884.55120489281</v>
      </c>
      <c r="L27" s="276">
        <f t="shared" si="9"/>
        <v>268854.24817458977</v>
      </c>
      <c r="M27" s="276">
        <f t="shared" si="9"/>
        <v>265823.94514428673</v>
      </c>
      <c r="N27" s="276">
        <f t="shared" si="9"/>
        <v>262793.64211398375</v>
      </c>
      <c r="O27" s="277">
        <f t="shared" si="9"/>
        <v>259763.33908368068</v>
      </c>
    </row>
    <row r="28" spans="2:15" x14ac:dyDescent="0.4">
      <c r="B28" s="132" t="s">
        <v>62</v>
      </c>
      <c r="C28" s="284">
        <f t="shared" ref="C28:O28" si="10">SUM(C22,C27)</f>
        <v>446126.97544731706</v>
      </c>
      <c r="D28" s="285">
        <f t="shared" si="10"/>
        <v>398096.67241701402</v>
      </c>
      <c r="E28" s="285">
        <f t="shared" si="10"/>
        <v>360066.36938671104</v>
      </c>
      <c r="F28" s="285">
        <f t="shared" si="10"/>
        <v>327036.06635640794</v>
      </c>
      <c r="G28" s="285">
        <f t="shared" si="10"/>
        <v>324005.76332610496</v>
      </c>
      <c r="H28" s="285">
        <f t="shared" si="10"/>
        <v>320975.46029580192</v>
      </c>
      <c r="I28" s="285">
        <f t="shared" si="10"/>
        <v>317945.15726549888</v>
      </c>
      <c r="J28" s="285">
        <f t="shared" si="10"/>
        <v>314914.85423519585</v>
      </c>
      <c r="K28" s="285">
        <f t="shared" si="10"/>
        <v>311884.55120489281</v>
      </c>
      <c r="L28" s="285">
        <f t="shared" si="10"/>
        <v>308854.24817458977</v>
      </c>
      <c r="M28" s="285">
        <f t="shared" si="10"/>
        <v>305823.94514428673</v>
      </c>
      <c r="N28" s="285">
        <f t="shared" si="10"/>
        <v>302793.64211398375</v>
      </c>
      <c r="O28" s="286">
        <f t="shared" si="10"/>
        <v>299763.33908368065</v>
      </c>
    </row>
    <row r="29" spans="2:15" x14ac:dyDescent="0.4">
      <c r="C29" s="167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9"/>
    </row>
    <row r="30" spans="2:15" x14ac:dyDescent="0.4">
      <c r="C30" s="167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/>
    </row>
    <row r="31" spans="2:15" x14ac:dyDescent="0.4">
      <c r="B31" s="44" t="s">
        <v>208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/>
    </row>
    <row r="32" spans="2:15" x14ac:dyDescent="0.4">
      <c r="B32" s="54" t="s">
        <v>209</v>
      </c>
      <c r="C32" s="55" t="b">
        <f t="shared" ref="C32:O32" si="11">ROUND(C28,2)=ROUND(C12,2)</f>
        <v>1</v>
      </c>
      <c r="D32" s="55" t="b">
        <f t="shared" si="11"/>
        <v>1</v>
      </c>
      <c r="E32" s="55" t="b">
        <f t="shared" si="11"/>
        <v>1</v>
      </c>
      <c r="F32" s="55" t="b">
        <f t="shared" si="11"/>
        <v>1</v>
      </c>
      <c r="G32" s="55" t="b">
        <f t="shared" si="11"/>
        <v>1</v>
      </c>
      <c r="H32" s="55" t="b">
        <f t="shared" si="11"/>
        <v>1</v>
      </c>
      <c r="I32" s="55" t="b">
        <f t="shared" si="11"/>
        <v>1</v>
      </c>
      <c r="J32" s="55" t="b">
        <f t="shared" si="11"/>
        <v>1</v>
      </c>
      <c r="K32" s="55" t="b">
        <f t="shared" si="11"/>
        <v>1</v>
      </c>
      <c r="L32" s="55" t="b">
        <f t="shared" si="11"/>
        <v>1</v>
      </c>
      <c r="M32" s="55" t="b">
        <f t="shared" si="11"/>
        <v>1</v>
      </c>
      <c r="N32" s="55" t="b">
        <f t="shared" si="11"/>
        <v>1</v>
      </c>
      <c r="O32" s="56" t="b">
        <f t="shared" si="11"/>
        <v>1</v>
      </c>
    </row>
    <row r="33" spans="2:15" x14ac:dyDescent="0.4">
      <c r="B33" s="13" t="s">
        <v>210</v>
      </c>
      <c r="C33" s="49">
        <f t="shared" ref="C33:O33" si="12">ROUND(C28,2)-ROUND(C12,2)</f>
        <v>0</v>
      </c>
      <c r="D33" s="49">
        <f t="shared" si="12"/>
        <v>0</v>
      </c>
      <c r="E33" s="49">
        <f t="shared" si="12"/>
        <v>0</v>
      </c>
      <c r="F33" s="49">
        <f t="shared" si="12"/>
        <v>0</v>
      </c>
      <c r="G33" s="49">
        <f t="shared" si="12"/>
        <v>0</v>
      </c>
      <c r="H33" s="49">
        <f t="shared" si="12"/>
        <v>0</v>
      </c>
      <c r="I33" s="49">
        <f t="shared" si="12"/>
        <v>0</v>
      </c>
      <c r="J33" s="49">
        <f t="shared" si="12"/>
        <v>0</v>
      </c>
      <c r="K33" s="49">
        <f t="shared" si="12"/>
        <v>0</v>
      </c>
      <c r="L33" s="49">
        <f t="shared" si="12"/>
        <v>0</v>
      </c>
      <c r="M33" s="49">
        <f t="shared" si="12"/>
        <v>0</v>
      </c>
      <c r="N33" s="49">
        <f t="shared" si="12"/>
        <v>0</v>
      </c>
      <c r="O33" s="50">
        <f t="shared" si="12"/>
        <v>0</v>
      </c>
    </row>
    <row r="34" spans="2:15" x14ac:dyDescent="0.4">
      <c r="B34" s="57" t="s">
        <v>211</v>
      </c>
      <c r="C34" s="51">
        <f>C33</f>
        <v>0</v>
      </c>
      <c r="D34" s="51">
        <f>D33-C33</f>
        <v>0</v>
      </c>
      <c r="E34" s="51">
        <f t="shared" ref="E34:O34" si="13">E33-D33</f>
        <v>0</v>
      </c>
      <c r="F34" s="51">
        <f t="shared" si="13"/>
        <v>0</v>
      </c>
      <c r="G34" s="51">
        <f t="shared" si="13"/>
        <v>0</v>
      </c>
      <c r="H34" s="51">
        <f t="shared" si="13"/>
        <v>0</v>
      </c>
      <c r="I34" s="51">
        <f t="shared" si="13"/>
        <v>0</v>
      </c>
      <c r="J34" s="51">
        <f t="shared" si="13"/>
        <v>0</v>
      </c>
      <c r="K34" s="51">
        <f t="shared" si="13"/>
        <v>0</v>
      </c>
      <c r="L34" s="51">
        <f t="shared" si="13"/>
        <v>0</v>
      </c>
      <c r="M34" s="51">
        <f t="shared" si="13"/>
        <v>0</v>
      </c>
      <c r="N34" s="51">
        <f t="shared" si="13"/>
        <v>0</v>
      </c>
      <c r="O34" s="52">
        <f t="shared" si="13"/>
        <v>0</v>
      </c>
    </row>
    <row r="35" spans="2:15" x14ac:dyDescent="0.4">
      <c r="O35" s="163"/>
    </row>
    <row r="51" spans="3:15" x14ac:dyDescent="0.4"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4"/>
    </row>
    <row r="52" spans="3:15" x14ac:dyDescent="0.4">
      <c r="C52" s="165"/>
      <c r="D52" s="162"/>
      <c r="E52" s="162"/>
      <c r="F52" s="162"/>
      <c r="G52" s="162"/>
      <c r="O52" s="166"/>
    </row>
    <row r="53" spans="3:15" x14ac:dyDescent="0.4">
      <c r="C53" s="165"/>
      <c r="D53" s="162"/>
      <c r="O53" s="166"/>
    </row>
    <row r="54" spans="3:15" x14ac:dyDescent="0.4">
      <c r="C54" s="165"/>
      <c r="D54" s="162"/>
      <c r="O54" s="166"/>
    </row>
    <row r="55" spans="3:15" x14ac:dyDescent="0.4">
      <c r="D55" s="162"/>
    </row>
    <row r="56" spans="3:15" x14ac:dyDescent="0.4">
      <c r="D56" s="162"/>
    </row>
    <row r="57" spans="3:15" x14ac:dyDescent="0.4">
      <c r="D57" s="162"/>
    </row>
    <row r="58" spans="3:15" x14ac:dyDescent="0.4">
      <c r="D58" s="162"/>
    </row>
  </sheetData>
  <sheetProtection formatColumns="0" formatRows="0" selectLockedCells="1"/>
  <protectedRanges>
    <protectedRange sqref="D9:O9 C10:O10" name="Range1"/>
    <protectedRange sqref="C7 C6:O6" name="Range5"/>
    <protectedRange sqref="C5:O5" name="Range6"/>
    <protectedRange sqref="C23:O25" name="Range7"/>
    <protectedRange sqref="C18:O20" name="Range9"/>
    <protectedRange sqref="C15:O16" name="Range10"/>
  </protectedRanges>
  <phoneticPr fontId="2" type="noConversion"/>
  <pageMargins left="0.74803149606299213" right="0.74803149606299213" top="0.98425196850393704" bottom="0.98425196850393704" header="0.51181102362204722" footer="0.51181102362204722"/>
  <pageSetup paperSize="9" scale="65" orientation="landscape" r:id="rId1"/>
  <headerFooter alignWithMargins="0"/>
  <ignoredErrors>
    <ignoredError sqref="C7" unlockedFormula="1"/>
    <ignoredError sqref="C26:C27" formulaRange="1"/>
    <ignoredError sqref="F23 G23:O23" formula="1" unlockedFormula="1"/>
    <ignoredError sqref="D23:E2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6" tint="0.39997558519241921"/>
  </sheetPr>
  <dimension ref="B2:P30"/>
  <sheetViews>
    <sheetView showGridLines="0" zoomScale="85" zoomScaleNormal="85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N25" sqref="N25"/>
    </sheetView>
  </sheetViews>
  <sheetFormatPr defaultColWidth="9.1328125" defaultRowHeight="14.25" x14ac:dyDescent="0.4"/>
  <cols>
    <col min="1" max="1" width="5.53125" style="171" customWidth="1"/>
    <col min="2" max="2" width="67.86328125" style="172" bestFit="1" customWidth="1"/>
    <col min="3" max="9" width="10.46484375" style="173" customWidth="1"/>
    <col min="10" max="14" width="10.1328125" style="173" bestFit="1" customWidth="1"/>
    <col min="15" max="15" width="12.86328125" style="174" bestFit="1" customWidth="1"/>
    <col min="16" max="16" width="9.1328125" style="401"/>
    <col min="17" max="16384" width="9.1328125" style="171"/>
  </cols>
  <sheetData>
    <row r="2" spans="2:15" ht="15.4" thickBot="1" x14ac:dyDescent="0.45">
      <c r="B2" s="254" t="str">
        <f>LEFT(Pieņēmumi!$B$2,FIND("Budžets",Pieņēmumi!$B$2)-1)&amp;"Naudas plūsmas budžets "</f>
        <v xml:space="preserve">Spēka ražotājs Naudas plūsmas budžets 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</row>
    <row r="3" spans="2:15" ht="14.65" thickTop="1" x14ac:dyDescent="0.4"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2:15" x14ac:dyDescent="0.4">
      <c r="B4" s="9" t="s">
        <v>212</v>
      </c>
      <c r="C4" s="10" t="str">
        <f>LEFT(Pieņēmumi!E7,3)</f>
        <v>Jan</v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1" t="s">
        <v>165</v>
      </c>
    </row>
    <row r="5" spans="2:15" x14ac:dyDescent="0.4"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8"/>
    </row>
    <row r="6" spans="2:15" x14ac:dyDescent="0.4">
      <c r="B6" s="134" t="s">
        <v>213</v>
      </c>
      <c r="C6" s="260">
        <f>Bilance!C5</f>
        <v>156126.97544731706</v>
      </c>
      <c r="D6" s="260">
        <f>C30</f>
        <v>136126.97544731706</v>
      </c>
      <c r="E6" s="260">
        <f t="shared" ref="E6:N6" si="1">D30</f>
        <v>126126.97544731706</v>
      </c>
      <c r="F6" s="260">
        <f t="shared" si="1"/>
        <v>96126.975447317061</v>
      </c>
      <c r="G6" s="260">
        <f t="shared" si="1"/>
        <v>96126.975447317061</v>
      </c>
      <c r="H6" s="260">
        <f t="shared" si="1"/>
        <v>96126.975447317061</v>
      </c>
      <c r="I6" s="260">
        <f t="shared" si="1"/>
        <v>96126.975447317061</v>
      </c>
      <c r="J6" s="260">
        <f t="shared" si="1"/>
        <v>96126.975447317061</v>
      </c>
      <c r="K6" s="260">
        <f t="shared" si="1"/>
        <v>96126.975447317061</v>
      </c>
      <c r="L6" s="260">
        <f t="shared" si="1"/>
        <v>96126.975447317061</v>
      </c>
      <c r="M6" s="260">
        <f t="shared" si="1"/>
        <v>96126.975447317061</v>
      </c>
      <c r="N6" s="260">
        <f t="shared" si="1"/>
        <v>96126.975447317061</v>
      </c>
      <c r="O6" s="260">
        <f>C6</f>
        <v>156126.97544731706</v>
      </c>
    </row>
    <row r="7" spans="2:15" ht="9.75" customHeight="1" x14ac:dyDescent="0.4">
      <c r="B7" s="58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364"/>
    </row>
    <row r="8" spans="2:15" x14ac:dyDescent="0.4">
      <c r="B8" s="60" t="s">
        <v>221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365"/>
    </row>
    <row r="9" spans="2:15" x14ac:dyDescent="0.4">
      <c r="B9" s="22" t="s">
        <v>60</v>
      </c>
      <c r="C9" s="256">
        <f>PZA!C44</f>
        <v>-3030.3030303030305</v>
      </c>
      <c r="D9" s="256">
        <f>PZA!D44</f>
        <v>-3030.3030303030305</v>
      </c>
      <c r="E9" s="256">
        <f>PZA!E44</f>
        <v>-3030.3030303030305</v>
      </c>
      <c r="F9" s="256">
        <f>PZA!F44</f>
        <v>-3030.3030303030305</v>
      </c>
      <c r="G9" s="256">
        <f>PZA!G44</f>
        <v>-3030.3030303030305</v>
      </c>
      <c r="H9" s="256">
        <f>PZA!H44</f>
        <v>-3030.3030303030305</v>
      </c>
      <c r="I9" s="256">
        <f>PZA!I44</f>
        <v>-3030.3030303030305</v>
      </c>
      <c r="J9" s="256">
        <f>PZA!J44</f>
        <v>-3030.3030303030305</v>
      </c>
      <c r="K9" s="256">
        <f>PZA!K44</f>
        <v>-3030.3030303030305</v>
      </c>
      <c r="L9" s="256">
        <f>PZA!L44</f>
        <v>-3030.3030303030305</v>
      </c>
      <c r="M9" s="256">
        <f>PZA!M44</f>
        <v>-3030.3030303030305</v>
      </c>
      <c r="N9" s="256">
        <f>PZA!N44</f>
        <v>-3030.3030303030305</v>
      </c>
      <c r="O9" s="366">
        <f t="shared" ref="O9:O14" si="2">SUM(C9:N9)</f>
        <v>-36363.636363636375</v>
      </c>
    </row>
    <row r="10" spans="2:15" x14ac:dyDescent="0.4">
      <c r="B10" s="22" t="s">
        <v>215</v>
      </c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366">
        <f t="shared" si="2"/>
        <v>0</v>
      </c>
    </row>
    <row r="11" spans="2:15" x14ac:dyDescent="0.4">
      <c r="B11" s="62" t="s">
        <v>216</v>
      </c>
      <c r="C11" s="256">
        <f>SUM(PZA!C33:C34)</f>
        <v>3030.3030303030305</v>
      </c>
      <c r="D11" s="256">
        <f>SUM(PZA!D33:D34)</f>
        <v>3030.3030303030305</v>
      </c>
      <c r="E11" s="256">
        <f>SUM(PZA!E33:E34)</f>
        <v>3030.3030303030305</v>
      </c>
      <c r="F11" s="256">
        <f>SUM(PZA!F33:F34)</f>
        <v>3030.3030303030305</v>
      </c>
      <c r="G11" s="256">
        <f>SUM(PZA!G33:G34)</f>
        <v>3030.3030303030305</v>
      </c>
      <c r="H11" s="256">
        <f>SUM(PZA!H33:H34)</f>
        <v>3030.3030303030305</v>
      </c>
      <c r="I11" s="256">
        <f>SUM(PZA!I33:I34)</f>
        <v>3030.3030303030305</v>
      </c>
      <c r="J11" s="256">
        <f>SUM(PZA!J33:J34)</f>
        <v>3030.3030303030305</v>
      </c>
      <c r="K11" s="256">
        <f>SUM(PZA!K33:K34)</f>
        <v>3030.3030303030305</v>
      </c>
      <c r="L11" s="256">
        <f>SUM(PZA!L33:L34)</f>
        <v>3030.3030303030305</v>
      </c>
      <c r="M11" s="256">
        <f>SUM(PZA!M33:M34)</f>
        <v>3030.3030303030305</v>
      </c>
      <c r="N11" s="256">
        <f>SUM(PZA!N33:N34)</f>
        <v>3030.3030303030305</v>
      </c>
      <c r="O11" s="366">
        <f t="shared" si="2"/>
        <v>36363.636363636375</v>
      </c>
    </row>
    <row r="12" spans="2:15" x14ac:dyDescent="0.4">
      <c r="B12" s="62" t="s">
        <v>217</v>
      </c>
      <c r="C12" s="256">
        <f>-(Bilance!D6-Bilance!C6)</f>
        <v>25000</v>
      </c>
      <c r="D12" s="256">
        <f>-(Bilance!E6-Bilance!D6)</f>
        <v>25000</v>
      </c>
      <c r="E12" s="256">
        <f>-(Bilance!F6-Bilance!E6)</f>
        <v>0</v>
      </c>
      <c r="F12" s="256">
        <f>-(Bilance!G6-Bilance!F6)</f>
        <v>0</v>
      </c>
      <c r="G12" s="256">
        <f>-(Bilance!H6-Bilance!G6)</f>
        <v>0</v>
      </c>
      <c r="H12" s="256">
        <f>-(Bilance!I6-Bilance!H6)</f>
        <v>0</v>
      </c>
      <c r="I12" s="256">
        <f>-(Bilance!J6-Bilance!I6)</f>
        <v>0</v>
      </c>
      <c r="J12" s="256">
        <f>-(Bilance!K6-Bilance!J6)</f>
        <v>0</v>
      </c>
      <c r="K12" s="256">
        <f>-(Bilance!L6-Bilance!K6)</f>
        <v>0</v>
      </c>
      <c r="L12" s="256">
        <f>-(Bilance!M6-Bilance!L6)</f>
        <v>0</v>
      </c>
      <c r="M12" s="256">
        <f>-(Bilance!N6-Bilance!M6)</f>
        <v>0</v>
      </c>
      <c r="N12" s="256">
        <f>-(Bilance!O6-Bilance!N6)</f>
        <v>0</v>
      </c>
      <c r="O12" s="366">
        <f t="shared" si="2"/>
        <v>50000</v>
      </c>
    </row>
    <row r="13" spans="2:15" x14ac:dyDescent="0.4">
      <c r="B13" s="62" t="s">
        <v>218</v>
      </c>
      <c r="C13" s="256">
        <f>-(Bilance!D7-Bilance!C7)</f>
        <v>0</v>
      </c>
      <c r="D13" s="256">
        <f>-(Bilance!E7-Bilance!D7)</f>
        <v>0</v>
      </c>
      <c r="E13" s="256">
        <f>-(Bilance!F7-Bilance!E7)</f>
        <v>0</v>
      </c>
      <c r="F13" s="256">
        <f>-(Bilance!G7-Bilance!F7)</f>
        <v>0</v>
      </c>
      <c r="G13" s="256">
        <f>-(Bilance!H7-Bilance!G7)</f>
        <v>0</v>
      </c>
      <c r="H13" s="256">
        <f>-(Bilance!I7-Bilance!H7)</f>
        <v>0</v>
      </c>
      <c r="I13" s="256">
        <f>-(Bilance!J7-Bilance!I7)</f>
        <v>0</v>
      </c>
      <c r="J13" s="256">
        <f>-(Bilance!K7-Bilance!J7)</f>
        <v>0</v>
      </c>
      <c r="K13" s="256">
        <f>-(Bilance!L7-Bilance!K7)</f>
        <v>0</v>
      </c>
      <c r="L13" s="256">
        <f>-(Bilance!M7-Bilance!L7)</f>
        <v>0</v>
      </c>
      <c r="M13" s="256">
        <f>-(Bilance!N7-Bilance!M7)</f>
        <v>0</v>
      </c>
      <c r="N13" s="256">
        <f>-(Bilance!O7-Bilance!N7)</f>
        <v>0</v>
      </c>
      <c r="O13" s="366">
        <f t="shared" si="2"/>
        <v>0</v>
      </c>
    </row>
    <row r="14" spans="2:15" x14ac:dyDescent="0.4">
      <c r="B14" s="62" t="s">
        <v>219</v>
      </c>
      <c r="C14" s="256">
        <f>SUM(Bilance!D15:D16)-SUM(Bilance!C15:C16)</f>
        <v>-45000</v>
      </c>
      <c r="D14" s="256">
        <f>SUM(Bilance!E15:E16)-SUM(Bilance!D15:D16)</f>
        <v>-35000</v>
      </c>
      <c r="E14" s="256">
        <f>SUM(Bilance!F15:F16)-SUM(Bilance!E15:E16)</f>
        <v>-30000</v>
      </c>
      <c r="F14" s="256">
        <f>SUM(Bilance!G15:G16)-SUM(Bilance!F15:F16)</f>
        <v>0</v>
      </c>
      <c r="G14" s="256">
        <f>SUM(Bilance!H15:H16)-SUM(Bilance!G15:G16)</f>
        <v>0</v>
      </c>
      <c r="H14" s="256">
        <f>SUM(Bilance!I15:I16)-SUM(Bilance!H15:H16)</f>
        <v>0</v>
      </c>
      <c r="I14" s="256">
        <f>SUM(Bilance!J15:J16)-SUM(Bilance!I15:I16)</f>
        <v>0</v>
      </c>
      <c r="J14" s="256">
        <f>SUM(Bilance!K15:K16)-SUM(Bilance!J15:J16)</f>
        <v>0</v>
      </c>
      <c r="K14" s="256">
        <f>SUM(Bilance!L15:L16)-SUM(Bilance!K15:K16)</f>
        <v>0</v>
      </c>
      <c r="L14" s="256">
        <f>SUM(Bilance!M15:M16)-SUM(Bilance!L15:L16)</f>
        <v>0</v>
      </c>
      <c r="M14" s="256">
        <f>SUM(Bilance!N15:N16)-SUM(Bilance!M15:M16)</f>
        <v>0</v>
      </c>
      <c r="N14" s="256">
        <f>SUM(Bilance!O15:O16)-SUM(Bilance!N15:N16)</f>
        <v>0</v>
      </c>
      <c r="O14" s="366">
        <f t="shared" si="2"/>
        <v>-110000</v>
      </c>
    </row>
    <row r="15" spans="2:15" x14ac:dyDescent="0.4">
      <c r="B15" s="63" t="s">
        <v>214</v>
      </c>
      <c r="C15" s="257">
        <f>SUM(C9:C14)</f>
        <v>-20000</v>
      </c>
      <c r="D15" s="257">
        <f t="shared" ref="D15:O15" si="3">SUM(D9:D14)</f>
        <v>-10000</v>
      </c>
      <c r="E15" s="257">
        <f t="shared" si="3"/>
        <v>-30000</v>
      </c>
      <c r="F15" s="257">
        <f t="shared" si="3"/>
        <v>0</v>
      </c>
      <c r="G15" s="257">
        <f t="shared" si="3"/>
        <v>0</v>
      </c>
      <c r="H15" s="257">
        <f t="shared" si="3"/>
        <v>0</v>
      </c>
      <c r="I15" s="257">
        <f t="shared" si="3"/>
        <v>0</v>
      </c>
      <c r="J15" s="257">
        <f t="shared" si="3"/>
        <v>0</v>
      </c>
      <c r="K15" s="257">
        <f t="shared" si="3"/>
        <v>0</v>
      </c>
      <c r="L15" s="257">
        <f t="shared" si="3"/>
        <v>0</v>
      </c>
      <c r="M15" s="257">
        <f t="shared" si="3"/>
        <v>0</v>
      </c>
      <c r="N15" s="257">
        <f t="shared" si="3"/>
        <v>0</v>
      </c>
      <c r="O15" s="367">
        <f t="shared" si="3"/>
        <v>-60000</v>
      </c>
    </row>
    <row r="16" spans="2:15" x14ac:dyDescent="0.4">
      <c r="B16" s="58"/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368"/>
    </row>
    <row r="17" spans="2:15" x14ac:dyDescent="0.4">
      <c r="B17" s="60" t="s">
        <v>222</v>
      </c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366"/>
    </row>
    <row r="18" spans="2:15" x14ac:dyDescent="0.4">
      <c r="B18" s="22" t="s">
        <v>69</v>
      </c>
      <c r="C18" s="256">
        <f>-SUM(CapEx!D7:D14,CapEx!D16:D18)</f>
        <v>0</v>
      </c>
      <c r="D18" s="256">
        <f>-SUM(CapEx!E7:E14,CapEx!E16:E18)</f>
        <v>0</v>
      </c>
      <c r="E18" s="256">
        <f>-SUM(CapEx!F7:F14,CapEx!F16:F18)</f>
        <v>0</v>
      </c>
      <c r="F18" s="256">
        <f>-SUM(CapEx!G7:G14,CapEx!G16:G18)</f>
        <v>0</v>
      </c>
      <c r="G18" s="256">
        <f>-SUM(CapEx!H7:H14,CapEx!H16:H18)</f>
        <v>0</v>
      </c>
      <c r="H18" s="256">
        <f>-SUM(CapEx!I7:I14,CapEx!I16:I18)</f>
        <v>0</v>
      </c>
      <c r="I18" s="256">
        <f>-SUM(CapEx!J7:J14,CapEx!J16:J18)</f>
        <v>0</v>
      </c>
      <c r="J18" s="256">
        <f>-SUM(CapEx!K7:K14,CapEx!K16:K18)</f>
        <v>0</v>
      </c>
      <c r="K18" s="256">
        <f>-SUM(CapEx!L7:L14,CapEx!L16:L18)</f>
        <v>0</v>
      </c>
      <c r="L18" s="256">
        <f>-SUM(CapEx!M7:M14,CapEx!M16:M18)</f>
        <v>0</v>
      </c>
      <c r="M18" s="256">
        <f>-SUM(CapEx!N7:N14,CapEx!N16:N18)</f>
        <v>0</v>
      </c>
      <c r="N18" s="256">
        <f>-SUM(CapEx!O7:O14,CapEx!O16:O18)</f>
        <v>0</v>
      </c>
      <c r="O18" s="366">
        <f>SUM(C18:N18)</f>
        <v>0</v>
      </c>
    </row>
    <row r="19" spans="2:15" x14ac:dyDescent="0.4">
      <c r="B19" s="63" t="s">
        <v>220</v>
      </c>
      <c r="C19" s="257">
        <f t="shared" ref="C19:O19" si="4">SUM(C18:C18)</f>
        <v>0</v>
      </c>
      <c r="D19" s="257">
        <f t="shared" si="4"/>
        <v>0</v>
      </c>
      <c r="E19" s="257">
        <f t="shared" si="4"/>
        <v>0</v>
      </c>
      <c r="F19" s="257">
        <f t="shared" si="4"/>
        <v>0</v>
      </c>
      <c r="G19" s="257">
        <f t="shared" si="4"/>
        <v>0</v>
      </c>
      <c r="H19" s="257">
        <f t="shared" si="4"/>
        <v>0</v>
      </c>
      <c r="I19" s="257">
        <f t="shared" si="4"/>
        <v>0</v>
      </c>
      <c r="J19" s="257">
        <f t="shared" si="4"/>
        <v>0</v>
      </c>
      <c r="K19" s="257">
        <f t="shared" si="4"/>
        <v>0</v>
      </c>
      <c r="L19" s="257">
        <f t="shared" si="4"/>
        <v>0</v>
      </c>
      <c r="M19" s="257">
        <f t="shared" si="4"/>
        <v>0</v>
      </c>
      <c r="N19" s="257">
        <f t="shared" si="4"/>
        <v>0</v>
      </c>
      <c r="O19" s="367">
        <f t="shared" si="4"/>
        <v>0</v>
      </c>
    </row>
    <row r="20" spans="2:15" x14ac:dyDescent="0.4">
      <c r="B20" s="64"/>
      <c r="C20" s="259"/>
      <c r="D20" s="259"/>
      <c r="E20" s="259"/>
      <c r="F20" s="259"/>
      <c r="G20" s="259"/>
      <c r="H20" s="259"/>
      <c r="I20" s="259"/>
      <c r="J20" s="259"/>
      <c r="K20" s="259"/>
      <c r="L20" s="259"/>
      <c r="M20" s="259"/>
      <c r="N20" s="259"/>
      <c r="O20" s="368"/>
    </row>
    <row r="21" spans="2:15" x14ac:dyDescent="0.4">
      <c r="B21" s="60" t="s">
        <v>223</v>
      </c>
      <c r="C21" s="256"/>
      <c r="D21" s="256"/>
      <c r="E21" s="256"/>
      <c r="F21" s="256"/>
      <c r="G21" s="256"/>
      <c r="H21" s="256"/>
      <c r="I21" s="256"/>
      <c r="J21" s="256"/>
      <c r="K21" s="256"/>
      <c r="L21" s="256"/>
      <c r="M21" s="256"/>
      <c r="N21" s="256"/>
      <c r="O21" s="366"/>
    </row>
    <row r="22" spans="2:15" x14ac:dyDescent="0.4">
      <c r="B22" s="22" t="s">
        <v>225</v>
      </c>
      <c r="C22" s="256">
        <f>Finansēšana!D$11+Finansēšana!D$21</f>
        <v>0</v>
      </c>
      <c r="D22" s="256">
        <f>Finansēšana!E$11+Finansēšana!E$21</f>
        <v>0</v>
      </c>
      <c r="E22" s="256">
        <f>Finansēšana!F$11+Finansēšana!F$21</f>
        <v>0</v>
      </c>
      <c r="F22" s="256">
        <f>Finansēšana!G$11+Finansēšana!G$21</f>
        <v>0</v>
      </c>
      <c r="G22" s="256">
        <f>Finansēšana!H$11+Finansēšana!H$21</f>
        <v>0</v>
      </c>
      <c r="H22" s="256">
        <f>Finansēšana!I$11+Finansēšana!I$21</f>
        <v>0</v>
      </c>
      <c r="I22" s="256">
        <f>Finansēšana!J$11+Finansēšana!J$21</f>
        <v>0</v>
      </c>
      <c r="J22" s="256">
        <f>Finansēšana!K$11+Finansēšana!K$21</f>
        <v>0</v>
      </c>
      <c r="K22" s="256">
        <f>Finansēšana!L$11+Finansēšana!L$21</f>
        <v>0</v>
      </c>
      <c r="L22" s="256">
        <f>Finansēšana!M$11+Finansēšana!M$21</f>
        <v>0</v>
      </c>
      <c r="M22" s="256">
        <f>Finansēšana!N$11+Finansēšana!N$21</f>
        <v>0</v>
      </c>
      <c r="N22" s="256">
        <f>Finansēšana!O$11+Finansēšana!O$21</f>
        <v>0</v>
      </c>
      <c r="O22" s="366">
        <f t="shared" ref="O22:O25" si="5">SUM(C22:N22)</f>
        <v>0</v>
      </c>
    </row>
    <row r="23" spans="2:15" x14ac:dyDescent="0.4">
      <c r="B23" s="22" t="s">
        <v>226</v>
      </c>
      <c r="C23" s="256">
        <f>Finansēšana!D6</f>
        <v>0</v>
      </c>
      <c r="D23" s="256">
        <f>Finansēšana!E6</f>
        <v>0</v>
      </c>
      <c r="E23" s="256">
        <f>Finansēšana!F6</f>
        <v>0</v>
      </c>
      <c r="F23" s="256">
        <f>Finansēšana!G6</f>
        <v>0</v>
      </c>
      <c r="G23" s="256">
        <f>Finansēšana!H6</f>
        <v>0</v>
      </c>
      <c r="H23" s="256">
        <f>Finansēšana!I6</f>
        <v>0</v>
      </c>
      <c r="I23" s="256">
        <f>Finansēšana!J6</f>
        <v>0</v>
      </c>
      <c r="J23" s="256">
        <f>Finansēšana!K6</f>
        <v>0</v>
      </c>
      <c r="K23" s="256">
        <f>Finansēšana!L6</f>
        <v>0</v>
      </c>
      <c r="L23" s="256">
        <f>Finansēšana!M6</f>
        <v>0</v>
      </c>
      <c r="M23" s="256">
        <f>Finansēšana!N6</f>
        <v>0</v>
      </c>
      <c r="N23" s="256">
        <f>Finansēšana!O6</f>
        <v>0</v>
      </c>
      <c r="O23" s="366">
        <f t="shared" si="5"/>
        <v>0</v>
      </c>
    </row>
    <row r="24" spans="2:15" x14ac:dyDescent="0.4">
      <c r="B24" s="62" t="s">
        <v>227</v>
      </c>
      <c r="C24" s="266">
        <v>0</v>
      </c>
      <c r="D24" s="266">
        <v>0</v>
      </c>
      <c r="E24" s="266">
        <v>0</v>
      </c>
      <c r="F24" s="266">
        <v>0</v>
      </c>
      <c r="G24" s="266">
        <v>0</v>
      </c>
      <c r="H24" s="266">
        <v>0</v>
      </c>
      <c r="I24" s="266">
        <v>0</v>
      </c>
      <c r="J24" s="266">
        <v>0</v>
      </c>
      <c r="K24" s="266">
        <v>0</v>
      </c>
      <c r="L24" s="266">
        <v>0</v>
      </c>
      <c r="M24" s="266">
        <v>0</v>
      </c>
      <c r="N24" s="266">
        <v>0</v>
      </c>
      <c r="O24" s="366">
        <f t="shared" si="5"/>
        <v>0</v>
      </c>
    </row>
    <row r="25" spans="2:15" x14ac:dyDescent="0.4">
      <c r="B25" s="22" t="s">
        <v>228</v>
      </c>
      <c r="C25" s="266">
        <v>0</v>
      </c>
      <c r="D25" s="266">
        <v>0</v>
      </c>
      <c r="E25" s="266">
        <v>0</v>
      </c>
      <c r="F25" s="266">
        <v>0</v>
      </c>
      <c r="G25" s="266">
        <v>0</v>
      </c>
      <c r="H25" s="266">
        <v>0</v>
      </c>
      <c r="I25" s="266">
        <v>0</v>
      </c>
      <c r="J25" s="266">
        <v>0</v>
      </c>
      <c r="K25" s="266">
        <v>0</v>
      </c>
      <c r="L25" s="266">
        <v>0</v>
      </c>
      <c r="M25" s="266">
        <v>0</v>
      </c>
      <c r="N25" s="266">
        <v>0</v>
      </c>
      <c r="O25" s="366">
        <f t="shared" si="5"/>
        <v>0</v>
      </c>
    </row>
    <row r="26" spans="2:15" x14ac:dyDescent="0.4">
      <c r="B26" s="63" t="s">
        <v>224</v>
      </c>
      <c r="C26" s="257">
        <f t="shared" ref="C26:O26" si="6">SUM(C22:C25)</f>
        <v>0</v>
      </c>
      <c r="D26" s="257">
        <f t="shared" si="6"/>
        <v>0</v>
      </c>
      <c r="E26" s="257">
        <f t="shared" si="6"/>
        <v>0</v>
      </c>
      <c r="F26" s="257">
        <f t="shared" si="6"/>
        <v>0</v>
      </c>
      <c r="G26" s="257">
        <f t="shared" si="6"/>
        <v>0</v>
      </c>
      <c r="H26" s="257">
        <f t="shared" si="6"/>
        <v>0</v>
      </c>
      <c r="I26" s="257">
        <f t="shared" si="6"/>
        <v>0</v>
      </c>
      <c r="J26" s="257">
        <f t="shared" si="6"/>
        <v>0</v>
      </c>
      <c r="K26" s="257">
        <f t="shared" si="6"/>
        <v>0</v>
      </c>
      <c r="L26" s="257">
        <f t="shared" si="6"/>
        <v>0</v>
      </c>
      <c r="M26" s="257">
        <f t="shared" si="6"/>
        <v>0</v>
      </c>
      <c r="N26" s="257">
        <f t="shared" si="6"/>
        <v>0</v>
      </c>
      <c r="O26" s="367">
        <f t="shared" si="6"/>
        <v>0</v>
      </c>
    </row>
    <row r="27" spans="2:15" x14ac:dyDescent="0.4">
      <c r="B27" s="58"/>
      <c r="C27" s="258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368"/>
    </row>
    <row r="28" spans="2:15" x14ac:dyDescent="0.4">
      <c r="B28" s="28" t="s">
        <v>64</v>
      </c>
      <c r="C28" s="475">
        <f t="shared" ref="C28:N28" si="7">C15+C19+C26</f>
        <v>-20000</v>
      </c>
      <c r="D28" s="475">
        <f t="shared" si="7"/>
        <v>-10000</v>
      </c>
      <c r="E28" s="475">
        <f t="shared" si="7"/>
        <v>-30000</v>
      </c>
      <c r="F28" s="475">
        <f t="shared" si="7"/>
        <v>0</v>
      </c>
      <c r="G28" s="475">
        <f t="shared" si="7"/>
        <v>0</v>
      </c>
      <c r="H28" s="475">
        <f t="shared" si="7"/>
        <v>0</v>
      </c>
      <c r="I28" s="475">
        <f t="shared" si="7"/>
        <v>0</v>
      </c>
      <c r="J28" s="475">
        <f t="shared" si="7"/>
        <v>0</v>
      </c>
      <c r="K28" s="475">
        <f t="shared" si="7"/>
        <v>0</v>
      </c>
      <c r="L28" s="475">
        <f t="shared" si="7"/>
        <v>0</v>
      </c>
      <c r="M28" s="475">
        <f t="shared" si="7"/>
        <v>0</v>
      </c>
      <c r="N28" s="475">
        <f t="shared" si="7"/>
        <v>0</v>
      </c>
      <c r="O28" s="476">
        <f>SUM(C28:N28)</f>
        <v>-60000</v>
      </c>
    </row>
    <row r="29" spans="2:15" x14ac:dyDescent="0.4">
      <c r="B29" s="58"/>
      <c r="C29" s="477"/>
      <c r="D29" s="477"/>
      <c r="E29" s="477"/>
      <c r="F29" s="477"/>
      <c r="G29" s="477"/>
      <c r="H29" s="477"/>
      <c r="I29" s="477"/>
      <c r="J29" s="477"/>
      <c r="K29" s="477"/>
      <c r="L29" s="477"/>
      <c r="M29" s="477"/>
      <c r="N29" s="477"/>
      <c r="O29" s="364"/>
    </row>
    <row r="30" spans="2:15" x14ac:dyDescent="0.4">
      <c r="B30" s="134" t="s">
        <v>65</v>
      </c>
      <c r="C30" s="478">
        <f t="shared" ref="C30:N30" si="8">C6+C28</f>
        <v>136126.97544731706</v>
      </c>
      <c r="D30" s="478">
        <f t="shared" si="8"/>
        <v>126126.97544731706</v>
      </c>
      <c r="E30" s="478">
        <f t="shared" si="8"/>
        <v>96126.975447317061</v>
      </c>
      <c r="F30" s="478">
        <f t="shared" si="8"/>
        <v>96126.975447317061</v>
      </c>
      <c r="G30" s="478">
        <f t="shared" si="8"/>
        <v>96126.975447317061</v>
      </c>
      <c r="H30" s="478">
        <f t="shared" si="8"/>
        <v>96126.975447317061</v>
      </c>
      <c r="I30" s="478">
        <f t="shared" si="8"/>
        <v>96126.975447317061</v>
      </c>
      <c r="J30" s="478">
        <f t="shared" si="8"/>
        <v>96126.975447317061</v>
      </c>
      <c r="K30" s="478">
        <f t="shared" si="8"/>
        <v>96126.975447317061</v>
      </c>
      <c r="L30" s="478">
        <f t="shared" si="8"/>
        <v>96126.975447317061</v>
      </c>
      <c r="M30" s="478">
        <f t="shared" si="8"/>
        <v>96126.975447317061</v>
      </c>
      <c r="N30" s="478">
        <f t="shared" si="8"/>
        <v>96126.975447317061</v>
      </c>
      <c r="O30" s="478">
        <f>N30</f>
        <v>96126.975447317061</v>
      </c>
    </row>
  </sheetData>
  <sheetProtection formatColumns="0" formatRows="0" selectLockedCells="1"/>
  <phoneticPr fontId="2" type="noConversion"/>
  <pageMargins left="0.25" right="0.25" top="0.75" bottom="0.75" header="0.3" footer="0.3"/>
  <pageSetup paperSize="9" scale="7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4" tint="0.39997558519241921"/>
  </sheetPr>
  <dimension ref="B2:R72"/>
  <sheetViews>
    <sheetView showGridLines="0" zoomScale="70" zoomScaleNormal="70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C23" sqref="C23"/>
    </sheetView>
  </sheetViews>
  <sheetFormatPr defaultColWidth="9.1328125" defaultRowHeight="14.25" x14ac:dyDescent="0.4"/>
  <cols>
    <col min="1" max="1" width="8" style="179" customWidth="1"/>
    <col min="2" max="2" width="35" style="172" bestFit="1" customWidth="1"/>
    <col min="3" max="14" width="10" style="179" bestFit="1" customWidth="1"/>
    <col min="15" max="15" width="11.6640625" style="457" bestFit="1" customWidth="1"/>
    <col min="16" max="16" width="9.1328125" style="402"/>
    <col min="17" max="18" width="9.1328125" style="180"/>
    <col min="19" max="16384" width="9.1328125" style="179"/>
  </cols>
  <sheetData>
    <row r="2" spans="2:17" ht="14.65" x14ac:dyDescent="0.35">
      <c r="B2" s="255" t="str">
        <f>LEFT(Pieņēmumi!$B$2,FIND("Budžets",Pieņēmumi!$B$2)-1)&amp;"Pārdošanas budžets "</f>
        <v xml:space="preserve">Spēka ražotājs Pārdošanas budžets 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456"/>
    </row>
    <row r="3" spans="2:17" x14ac:dyDescent="0.4"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</row>
    <row r="4" spans="2:17" x14ac:dyDescent="0.4">
      <c r="B4" s="9"/>
      <c r="C4" s="10" t="str">
        <f>LEFT(Pieņēmumi!E7,3)</f>
        <v>Jan</v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1" t="s">
        <v>165</v>
      </c>
    </row>
    <row r="5" spans="2:17" x14ac:dyDescent="0.4"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</row>
    <row r="6" spans="2:17" x14ac:dyDescent="0.4">
      <c r="B6" s="134" t="s">
        <v>254</v>
      </c>
      <c r="C6" s="451">
        <f>SUM(C7:C18)</f>
        <v>0</v>
      </c>
      <c r="D6" s="451">
        <f t="shared" ref="D6" si="1">SUM(D7:D18)</f>
        <v>0</v>
      </c>
      <c r="E6" s="451">
        <f t="shared" ref="E6" si="2">SUM(E7:E18)</f>
        <v>0</v>
      </c>
      <c r="F6" s="451">
        <f t="shared" ref="F6" si="3">SUM(F7:F18)</f>
        <v>0</v>
      </c>
      <c r="G6" s="451">
        <f t="shared" ref="G6" si="4">SUM(G7:G18)</f>
        <v>0</v>
      </c>
      <c r="H6" s="451">
        <f t="shared" ref="H6" si="5">SUM(H7:H18)</f>
        <v>0</v>
      </c>
      <c r="I6" s="451">
        <f t="shared" ref="I6" si="6">SUM(I7:I18)</f>
        <v>0</v>
      </c>
      <c r="J6" s="451">
        <f t="shared" ref="J6" si="7">SUM(J7:J18)</f>
        <v>0</v>
      </c>
      <c r="K6" s="451">
        <f t="shared" ref="K6" si="8">SUM(K7:K18)</f>
        <v>0</v>
      </c>
      <c r="L6" s="451">
        <f t="shared" ref="L6" si="9">SUM(L7:L18)</f>
        <v>0</v>
      </c>
      <c r="M6" s="451">
        <f t="shared" ref="M6" si="10">SUM(M7:M18)</f>
        <v>0</v>
      </c>
      <c r="N6" s="451">
        <f t="shared" ref="N6" si="11">SUM(N7:N18)</f>
        <v>0</v>
      </c>
      <c r="O6" s="458">
        <f>SUM(C6:N6)</f>
        <v>0</v>
      </c>
    </row>
    <row r="7" spans="2:17" x14ac:dyDescent="0.4">
      <c r="B7" s="22" t="str">
        <f>Pieņēmumi!B15</f>
        <v>Produkts 1</v>
      </c>
      <c r="C7" s="31" cm="1">
        <f t="array" ref="C7">C24*VLOOKUP($B7,Pieņēmumi!$B$15:$C$26,2,FALSE)*(1+C$21)*SUMPRODUCT(Pieņēmumi!$C$32:$C$37,1-Pieņēmumi!$E$32:$E$37)</f>
        <v>0</v>
      </c>
      <c r="D7" s="31" cm="1">
        <f t="array" ref="D7">D24*VLOOKUP($B7,Pieņēmumi!$B$15:$C$26,2,FALSE)*(1+D$21)*SUMPRODUCT(Pieņēmumi!$C$32:$C$37,1-Pieņēmumi!$E$32:$E$37)</f>
        <v>0</v>
      </c>
      <c r="E7" s="31" cm="1">
        <f t="array" ref="E7">E24*VLOOKUP($B7,Pieņēmumi!$B$15:$C$26,2,FALSE)*(1+E$21)*SUMPRODUCT(Pieņēmumi!$C$32:$C$37,1-Pieņēmumi!$E$32:$E$37)</f>
        <v>0</v>
      </c>
      <c r="F7" s="31" cm="1">
        <f t="array" ref="F7">F24*VLOOKUP($B7,Pieņēmumi!$B$15:$C$26,2,FALSE)*(1+F$21)*SUMPRODUCT(Pieņēmumi!$C$32:$C$37,1-Pieņēmumi!$E$32:$E$37)</f>
        <v>0</v>
      </c>
      <c r="G7" s="31" cm="1">
        <f t="array" ref="G7">G24*VLOOKUP($B7,Pieņēmumi!$B$15:$C$26,2,FALSE)*(1+G$21)*SUMPRODUCT(Pieņēmumi!$C$32:$C$37,1-Pieņēmumi!$E$32:$E$37)</f>
        <v>0</v>
      </c>
      <c r="H7" s="31" cm="1">
        <f t="array" ref="H7">H24*VLOOKUP($B7,Pieņēmumi!$B$15:$C$26,2,FALSE)*(1+H$21)*SUMPRODUCT(Pieņēmumi!$C$32:$C$37,1-Pieņēmumi!$E$32:$E$37)</f>
        <v>0</v>
      </c>
      <c r="I7" s="31" cm="1">
        <f t="array" ref="I7">I24*VLOOKUP($B7,Pieņēmumi!$B$15:$C$26,2,FALSE)*(1+I$21)*SUMPRODUCT(Pieņēmumi!$C$32:$C$37,1-Pieņēmumi!$E$32:$E$37)</f>
        <v>0</v>
      </c>
      <c r="J7" s="31" cm="1">
        <f t="array" ref="J7">J24*VLOOKUP($B7,Pieņēmumi!$B$15:$C$26,2,FALSE)*(1+J$21)*SUMPRODUCT(Pieņēmumi!$C$32:$C$37,1-Pieņēmumi!$E$32:$E$37)</f>
        <v>0</v>
      </c>
      <c r="K7" s="31" cm="1">
        <f t="array" ref="K7">K24*VLOOKUP($B7,Pieņēmumi!$B$15:$C$26,2,FALSE)*(1+K$21)*SUMPRODUCT(Pieņēmumi!$C$32:$C$37,1-Pieņēmumi!$E$32:$E$37)</f>
        <v>0</v>
      </c>
      <c r="L7" s="31" cm="1">
        <f t="array" ref="L7">L24*VLOOKUP($B7,Pieņēmumi!$B$15:$C$26,2,FALSE)*(1+L$21)*SUMPRODUCT(Pieņēmumi!$C$32:$C$37,1-Pieņēmumi!$E$32:$E$37)</f>
        <v>0</v>
      </c>
      <c r="M7" s="31" cm="1">
        <f t="array" ref="M7">M24*VLOOKUP($B7,Pieņēmumi!$B$15:$C$26,2,FALSE)*(1+M$21)*SUMPRODUCT(Pieņēmumi!$C$32:$C$37,1-Pieņēmumi!$E$32:$E$37)</f>
        <v>0</v>
      </c>
      <c r="N7" s="31" cm="1">
        <f t="array" ref="N7">N24*VLOOKUP($B7,Pieņēmumi!$B$15:$C$26,2,FALSE)*(1+N$21)*SUMPRODUCT(Pieņēmumi!$C$32:$C$37,1-Pieņēmumi!$E$32:$E$37)</f>
        <v>0</v>
      </c>
      <c r="O7" s="467">
        <f>SUM(C7:N7)</f>
        <v>0</v>
      </c>
    </row>
    <row r="8" spans="2:17" x14ac:dyDescent="0.4">
      <c r="B8" s="22" t="str">
        <f>Pieņēmumi!B16</f>
        <v>Produkts 2</v>
      </c>
      <c r="C8" s="31" cm="1">
        <f t="array" ref="C8">C25*VLOOKUP($B8,Pieņēmumi!$B$15:$C$26,2,FALSE)*(1+C$21)*SUMPRODUCT(Pieņēmumi!$C$32:$C$37,1-Pieņēmumi!$E$32:$E$37)</f>
        <v>0</v>
      </c>
      <c r="D8" s="31" cm="1">
        <f t="array" ref="D8">D25*VLOOKUP($B8,Pieņēmumi!$B$15:$C$26,2,FALSE)*(1+D$21)*SUMPRODUCT(Pieņēmumi!$C$32:$C$37,1-Pieņēmumi!$E$32:$E$37)</f>
        <v>0</v>
      </c>
      <c r="E8" s="31" cm="1">
        <f t="array" ref="E8">E25*VLOOKUP($B8,Pieņēmumi!$B$15:$C$26,2,FALSE)*(1+E$21)*SUMPRODUCT(Pieņēmumi!$C$32:$C$37,1-Pieņēmumi!$E$32:$E$37)</f>
        <v>0</v>
      </c>
      <c r="F8" s="31" cm="1">
        <f t="array" ref="F8">F25*VLOOKUP($B8,Pieņēmumi!$B$15:$C$26,2,FALSE)*(1+F$21)*SUMPRODUCT(Pieņēmumi!$C$32:$C$37,1-Pieņēmumi!$E$32:$E$37)</f>
        <v>0</v>
      </c>
      <c r="G8" s="31" cm="1">
        <f t="array" ref="G8">G25*VLOOKUP($B8,Pieņēmumi!$B$15:$C$26,2,FALSE)*(1+G$21)*SUMPRODUCT(Pieņēmumi!$C$32:$C$37,1-Pieņēmumi!$E$32:$E$37)</f>
        <v>0</v>
      </c>
      <c r="H8" s="31" cm="1">
        <f t="array" ref="H8">H25*VLOOKUP($B8,Pieņēmumi!$B$15:$C$26,2,FALSE)*(1+H$21)*SUMPRODUCT(Pieņēmumi!$C$32:$C$37,1-Pieņēmumi!$E$32:$E$37)</f>
        <v>0</v>
      </c>
      <c r="I8" s="31" cm="1">
        <f t="array" ref="I8">I25*VLOOKUP($B8,Pieņēmumi!$B$15:$C$26,2,FALSE)*(1+I$21)*SUMPRODUCT(Pieņēmumi!$C$32:$C$37,1-Pieņēmumi!$E$32:$E$37)</f>
        <v>0</v>
      </c>
      <c r="J8" s="31" cm="1">
        <f t="array" ref="J8">J25*VLOOKUP($B8,Pieņēmumi!$B$15:$C$26,2,FALSE)*(1+J$21)*SUMPRODUCT(Pieņēmumi!$C$32:$C$37,1-Pieņēmumi!$E$32:$E$37)</f>
        <v>0</v>
      </c>
      <c r="K8" s="31" cm="1">
        <f t="array" ref="K8">K25*VLOOKUP($B8,Pieņēmumi!$B$15:$C$26,2,FALSE)*(1+K$21)*SUMPRODUCT(Pieņēmumi!$C$32:$C$37,1-Pieņēmumi!$E$32:$E$37)</f>
        <v>0</v>
      </c>
      <c r="L8" s="31" cm="1">
        <f t="array" ref="L8">L25*VLOOKUP($B8,Pieņēmumi!$B$15:$C$26,2,FALSE)*(1+L$21)*SUMPRODUCT(Pieņēmumi!$C$32:$C$37,1-Pieņēmumi!$E$32:$E$37)</f>
        <v>0</v>
      </c>
      <c r="M8" s="31" cm="1">
        <f t="array" ref="M8">M25*VLOOKUP($B8,Pieņēmumi!$B$15:$C$26,2,FALSE)*(1+M$21)*SUMPRODUCT(Pieņēmumi!$C$32:$C$37,1-Pieņēmumi!$E$32:$E$37)</f>
        <v>0</v>
      </c>
      <c r="N8" s="31" cm="1">
        <f t="array" ref="N8">N25*VLOOKUP($B8,Pieņēmumi!$B$15:$C$26,2,FALSE)*(1+N$21)*SUMPRODUCT(Pieņēmumi!$C$32:$C$37,1-Pieņēmumi!$E$32:$E$37)</f>
        <v>0</v>
      </c>
      <c r="O8" s="467">
        <f>SUM(C8:N8)</f>
        <v>0</v>
      </c>
    </row>
    <row r="9" spans="2:17" x14ac:dyDescent="0.4">
      <c r="B9" s="22" t="str">
        <f>Pieņēmumi!B17</f>
        <v>Produkts 3</v>
      </c>
      <c r="C9" s="31" cm="1">
        <f t="array" ref="C9">C26*VLOOKUP($B9,Pieņēmumi!$B$15:$C$26,2,FALSE)*(1+C$21)*SUMPRODUCT(Pieņēmumi!$C$32:$C$37,1-Pieņēmumi!$E$32:$E$37)</f>
        <v>0</v>
      </c>
      <c r="D9" s="31" cm="1">
        <f t="array" ref="D9">D26*VLOOKUP($B9,Pieņēmumi!$B$15:$C$26,2,FALSE)*(1+D$21)*SUMPRODUCT(Pieņēmumi!$C$32:$C$37,1-Pieņēmumi!$E$32:$E$37)</f>
        <v>0</v>
      </c>
      <c r="E9" s="31" cm="1">
        <f t="array" ref="E9">E26*VLOOKUP($B9,Pieņēmumi!$B$15:$C$26,2,FALSE)*(1+E$21)*SUMPRODUCT(Pieņēmumi!$C$32:$C$37,1-Pieņēmumi!$E$32:$E$37)</f>
        <v>0</v>
      </c>
      <c r="F9" s="31" cm="1">
        <f t="array" ref="F9">F26*VLOOKUP($B9,Pieņēmumi!$B$15:$C$26,2,FALSE)*(1+F$21)*SUMPRODUCT(Pieņēmumi!$C$32:$C$37,1-Pieņēmumi!$E$32:$E$37)</f>
        <v>0</v>
      </c>
      <c r="G9" s="31" cm="1">
        <f t="array" ref="G9">G26*VLOOKUP($B9,Pieņēmumi!$B$15:$C$26,2,FALSE)*(1+G$21)*SUMPRODUCT(Pieņēmumi!$C$32:$C$37,1-Pieņēmumi!$E$32:$E$37)</f>
        <v>0</v>
      </c>
      <c r="H9" s="31" cm="1">
        <f t="array" ref="H9">H26*VLOOKUP($B9,Pieņēmumi!$B$15:$C$26,2,FALSE)*(1+H$21)*SUMPRODUCT(Pieņēmumi!$C$32:$C$37,1-Pieņēmumi!$E$32:$E$37)</f>
        <v>0</v>
      </c>
      <c r="I9" s="31" cm="1">
        <f t="array" ref="I9">I26*VLOOKUP($B9,Pieņēmumi!$B$15:$C$26,2,FALSE)*(1+I$21)*SUMPRODUCT(Pieņēmumi!$C$32:$C$37,1-Pieņēmumi!$E$32:$E$37)</f>
        <v>0</v>
      </c>
      <c r="J9" s="31" cm="1">
        <f t="array" ref="J9">J26*VLOOKUP($B9,Pieņēmumi!$B$15:$C$26,2,FALSE)*(1+J$21)*SUMPRODUCT(Pieņēmumi!$C$32:$C$37,1-Pieņēmumi!$E$32:$E$37)</f>
        <v>0</v>
      </c>
      <c r="K9" s="31" cm="1">
        <f t="array" ref="K9">K26*VLOOKUP($B9,Pieņēmumi!$B$15:$C$26,2,FALSE)*(1+K$21)*SUMPRODUCT(Pieņēmumi!$C$32:$C$37,1-Pieņēmumi!$E$32:$E$37)</f>
        <v>0</v>
      </c>
      <c r="L9" s="31" cm="1">
        <f t="array" ref="L9">L26*VLOOKUP($B9,Pieņēmumi!$B$15:$C$26,2,FALSE)*(1+L$21)*SUMPRODUCT(Pieņēmumi!$C$32:$C$37,1-Pieņēmumi!$E$32:$E$37)</f>
        <v>0</v>
      </c>
      <c r="M9" s="31" cm="1">
        <f t="array" ref="M9">M26*VLOOKUP($B9,Pieņēmumi!$B$15:$C$26,2,FALSE)*(1+M$21)*SUMPRODUCT(Pieņēmumi!$C$32:$C$37,1-Pieņēmumi!$E$32:$E$37)</f>
        <v>0</v>
      </c>
      <c r="N9" s="31" cm="1">
        <f t="array" ref="N9">N26*VLOOKUP($B9,Pieņēmumi!$B$15:$C$26,2,FALSE)*(1+N$21)*SUMPRODUCT(Pieņēmumi!$C$32:$C$37,1-Pieņēmumi!$E$32:$E$37)</f>
        <v>0</v>
      </c>
      <c r="O9" s="467">
        <f t="shared" ref="O9:O18" si="12">SUM(C9:N9)</f>
        <v>0</v>
      </c>
    </row>
    <row r="10" spans="2:17" x14ac:dyDescent="0.4">
      <c r="B10" s="22" t="str">
        <f>Pieņēmumi!B18</f>
        <v>Produkts 4</v>
      </c>
      <c r="C10" s="31" cm="1">
        <f t="array" ref="C10">C27*VLOOKUP($B10,Pieņēmumi!$B$15:$C$26,2,FALSE)*(1+C$21)*SUMPRODUCT(Pieņēmumi!$C$32:$C$37,1-Pieņēmumi!$E$32:$E$37)</f>
        <v>0</v>
      </c>
      <c r="D10" s="31" cm="1">
        <f t="array" ref="D10">D27*VLOOKUP($B10,Pieņēmumi!$B$15:$C$26,2,FALSE)*(1+D$21)*SUMPRODUCT(Pieņēmumi!$C$32:$C$37,1-Pieņēmumi!$E$32:$E$37)</f>
        <v>0</v>
      </c>
      <c r="E10" s="31" cm="1">
        <f t="array" ref="E10">E27*VLOOKUP($B10,Pieņēmumi!$B$15:$C$26,2,FALSE)*(1+E$21)*SUMPRODUCT(Pieņēmumi!$C$32:$C$37,1-Pieņēmumi!$E$32:$E$37)</f>
        <v>0</v>
      </c>
      <c r="F10" s="31" cm="1">
        <f t="array" ref="F10">F27*VLOOKUP($B10,Pieņēmumi!$B$15:$C$26,2,FALSE)*(1+F$21)*SUMPRODUCT(Pieņēmumi!$C$32:$C$37,1-Pieņēmumi!$E$32:$E$37)</f>
        <v>0</v>
      </c>
      <c r="G10" s="31" cm="1">
        <f t="array" ref="G10">G27*VLOOKUP($B10,Pieņēmumi!$B$15:$C$26,2,FALSE)*(1+G$21)*SUMPRODUCT(Pieņēmumi!$C$32:$C$37,1-Pieņēmumi!$E$32:$E$37)</f>
        <v>0</v>
      </c>
      <c r="H10" s="31" cm="1">
        <f t="array" ref="H10">H27*VLOOKUP($B10,Pieņēmumi!$B$15:$C$26,2,FALSE)*(1+H$21)*SUMPRODUCT(Pieņēmumi!$C$32:$C$37,1-Pieņēmumi!$E$32:$E$37)</f>
        <v>0</v>
      </c>
      <c r="I10" s="31" cm="1">
        <f t="array" ref="I10">I27*VLOOKUP($B10,Pieņēmumi!$B$15:$C$26,2,FALSE)*(1+I$21)*SUMPRODUCT(Pieņēmumi!$C$32:$C$37,1-Pieņēmumi!$E$32:$E$37)</f>
        <v>0</v>
      </c>
      <c r="J10" s="31" cm="1">
        <f t="array" ref="J10">J27*VLOOKUP($B10,Pieņēmumi!$B$15:$C$26,2,FALSE)*(1+J$21)*SUMPRODUCT(Pieņēmumi!$C$32:$C$37,1-Pieņēmumi!$E$32:$E$37)</f>
        <v>0</v>
      </c>
      <c r="K10" s="31" cm="1">
        <f t="array" ref="K10">K27*VLOOKUP($B10,Pieņēmumi!$B$15:$C$26,2,FALSE)*(1+K$21)*SUMPRODUCT(Pieņēmumi!$C$32:$C$37,1-Pieņēmumi!$E$32:$E$37)</f>
        <v>0</v>
      </c>
      <c r="L10" s="31" cm="1">
        <f t="array" ref="L10">L27*VLOOKUP($B10,Pieņēmumi!$B$15:$C$26,2,FALSE)*(1+L$21)*SUMPRODUCT(Pieņēmumi!$C$32:$C$37,1-Pieņēmumi!$E$32:$E$37)</f>
        <v>0</v>
      </c>
      <c r="M10" s="31" cm="1">
        <f t="array" ref="M10">M27*VLOOKUP($B10,Pieņēmumi!$B$15:$C$26,2,FALSE)*(1+M$21)*SUMPRODUCT(Pieņēmumi!$C$32:$C$37,1-Pieņēmumi!$E$32:$E$37)</f>
        <v>0</v>
      </c>
      <c r="N10" s="31" cm="1">
        <f t="array" ref="N10">N27*VLOOKUP($B10,Pieņēmumi!$B$15:$C$26,2,FALSE)*(1+N$21)*SUMPRODUCT(Pieņēmumi!$C$32:$C$37,1-Pieņēmumi!$E$32:$E$37)</f>
        <v>0</v>
      </c>
      <c r="O10" s="467">
        <f t="shared" si="12"/>
        <v>0</v>
      </c>
    </row>
    <row r="11" spans="2:17" x14ac:dyDescent="0.4">
      <c r="B11" s="22" t="str">
        <f>Pieņēmumi!B19</f>
        <v>Produkts 5</v>
      </c>
      <c r="C11" s="31" cm="1">
        <f t="array" ref="C11">C28*VLOOKUP($B11,Pieņēmumi!$B$15:$C$26,2,FALSE)*(1+C$21)*SUMPRODUCT(Pieņēmumi!$C$32:$C$37,1-Pieņēmumi!$E$32:$E$37)</f>
        <v>0</v>
      </c>
      <c r="D11" s="31" cm="1">
        <f t="array" ref="D11">D28*VLOOKUP($B11,Pieņēmumi!$B$15:$C$26,2,FALSE)*(1+D$21)*SUMPRODUCT(Pieņēmumi!$C$32:$C$37,1-Pieņēmumi!$E$32:$E$37)</f>
        <v>0</v>
      </c>
      <c r="E11" s="31" cm="1">
        <f t="array" ref="E11">E28*VLOOKUP($B11,Pieņēmumi!$B$15:$C$26,2,FALSE)*(1+E$21)*SUMPRODUCT(Pieņēmumi!$C$32:$C$37,1-Pieņēmumi!$E$32:$E$37)</f>
        <v>0</v>
      </c>
      <c r="F11" s="31" cm="1">
        <f t="array" ref="F11">F28*VLOOKUP($B11,Pieņēmumi!$B$15:$C$26,2,FALSE)*(1+F$21)*SUMPRODUCT(Pieņēmumi!$C$32:$C$37,1-Pieņēmumi!$E$32:$E$37)</f>
        <v>0</v>
      </c>
      <c r="G11" s="31" cm="1">
        <f t="array" ref="G11">G28*VLOOKUP($B11,Pieņēmumi!$B$15:$C$26,2,FALSE)*(1+G$21)*SUMPRODUCT(Pieņēmumi!$C$32:$C$37,1-Pieņēmumi!$E$32:$E$37)</f>
        <v>0</v>
      </c>
      <c r="H11" s="31" cm="1">
        <f t="array" ref="H11">H28*VLOOKUP($B11,Pieņēmumi!$B$15:$C$26,2,FALSE)*(1+H$21)*SUMPRODUCT(Pieņēmumi!$C$32:$C$37,1-Pieņēmumi!$E$32:$E$37)</f>
        <v>0</v>
      </c>
      <c r="I11" s="31" cm="1">
        <f t="array" ref="I11">I28*VLOOKUP($B11,Pieņēmumi!$B$15:$C$26,2,FALSE)*(1+I$21)*SUMPRODUCT(Pieņēmumi!$C$32:$C$37,1-Pieņēmumi!$E$32:$E$37)</f>
        <v>0</v>
      </c>
      <c r="J11" s="31" cm="1">
        <f t="array" ref="J11">J28*VLOOKUP($B11,Pieņēmumi!$B$15:$C$26,2,FALSE)*(1+J$21)*SUMPRODUCT(Pieņēmumi!$C$32:$C$37,1-Pieņēmumi!$E$32:$E$37)</f>
        <v>0</v>
      </c>
      <c r="K11" s="31" cm="1">
        <f t="array" ref="K11">K28*VLOOKUP($B11,Pieņēmumi!$B$15:$C$26,2,FALSE)*(1+K$21)*SUMPRODUCT(Pieņēmumi!$C$32:$C$37,1-Pieņēmumi!$E$32:$E$37)</f>
        <v>0</v>
      </c>
      <c r="L11" s="31" cm="1">
        <f t="array" ref="L11">L28*VLOOKUP($B11,Pieņēmumi!$B$15:$C$26,2,FALSE)*(1+L$21)*SUMPRODUCT(Pieņēmumi!$C$32:$C$37,1-Pieņēmumi!$E$32:$E$37)</f>
        <v>0</v>
      </c>
      <c r="M11" s="31" cm="1">
        <f t="array" ref="M11">M28*VLOOKUP($B11,Pieņēmumi!$B$15:$C$26,2,FALSE)*(1+M$21)*SUMPRODUCT(Pieņēmumi!$C$32:$C$37,1-Pieņēmumi!$E$32:$E$37)</f>
        <v>0</v>
      </c>
      <c r="N11" s="31" cm="1">
        <f t="array" ref="N11">N28*VLOOKUP($B11,Pieņēmumi!$B$15:$C$26,2,FALSE)*(1+N$21)*SUMPRODUCT(Pieņēmumi!$C$32:$C$37,1-Pieņēmumi!$E$32:$E$37)</f>
        <v>0</v>
      </c>
      <c r="O11" s="467">
        <f t="shared" si="12"/>
        <v>0</v>
      </c>
    </row>
    <row r="12" spans="2:17" x14ac:dyDescent="0.4">
      <c r="B12" s="22" t="str">
        <f>Pieņēmumi!B20</f>
        <v>Produkts 6</v>
      </c>
      <c r="C12" s="31" cm="1">
        <f t="array" ref="C12">C29*VLOOKUP($B12,Pieņēmumi!$B$15:$C$26,2,FALSE)*(1+C$21)*SUMPRODUCT(Pieņēmumi!$C$32:$C$37,1-Pieņēmumi!$E$32:$E$37)</f>
        <v>0</v>
      </c>
      <c r="D12" s="31" cm="1">
        <f t="array" ref="D12">D29*VLOOKUP($B12,Pieņēmumi!$B$15:$C$26,2,FALSE)*(1+D$21)*SUMPRODUCT(Pieņēmumi!$C$32:$C$37,1-Pieņēmumi!$E$32:$E$37)</f>
        <v>0</v>
      </c>
      <c r="E12" s="31" cm="1">
        <f t="array" ref="E12">E29*VLOOKUP($B12,Pieņēmumi!$B$15:$C$26,2,FALSE)*(1+E$21)*SUMPRODUCT(Pieņēmumi!$C$32:$C$37,1-Pieņēmumi!$E$32:$E$37)</f>
        <v>0</v>
      </c>
      <c r="F12" s="31" cm="1">
        <f t="array" ref="F12">F29*VLOOKUP($B12,Pieņēmumi!$B$15:$C$26,2,FALSE)*(1+F$21)*SUMPRODUCT(Pieņēmumi!$C$32:$C$37,1-Pieņēmumi!$E$32:$E$37)</f>
        <v>0</v>
      </c>
      <c r="G12" s="31" cm="1">
        <f t="array" ref="G12">G29*VLOOKUP($B12,Pieņēmumi!$B$15:$C$26,2,FALSE)*(1+G$21)*SUMPRODUCT(Pieņēmumi!$C$32:$C$37,1-Pieņēmumi!$E$32:$E$37)</f>
        <v>0</v>
      </c>
      <c r="H12" s="31" cm="1">
        <f t="array" ref="H12">H29*VLOOKUP($B12,Pieņēmumi!$B$15:$C$26,2,FALSE)*(1+H$21)*SUMPRODUCT(Pieņēmumi!$C$32:$C$37,1-Pieņēmumi!$E$32:$E$37)</f>
        <v>0</v>
      </c>
      <c r="I12" s="31" cm="1">
        <f t="array" ref="I12">I29*VLOOKUP($B12,Pieņēmumi!$B$15:$C$26,2,FALSE)*(1+I$21)*SUMPRODUCT(Pieņēmumi!$C$32:$C$37,1-Pieņēmumi!$E$32:$E$37)</f>
        <v>0</v>
      </c>
      <c r="J12" s="31" cm="1">
        <f t="array" ref="J12">J29*VLOOKUP($B12,Pieņēmumi!$B$15:$C$26,2,FALSE)*(1+J$21)*SUMPRODUCT(Pieņēmumi!$C$32:$C$37,1-Pieņēmumi!$E$32:$E$37)</f>
        <v>0</v>
      </c>
      <c r="K12" s="31" cm="1">
        <f t="array" ref="K12">K29*VLOOKUP($B12,Pieņēmumi!$B$15:$C$26,2,FALSE)*(1+K$21)*SUMPRODUCT(Pieņēmumi!$C$32:$C$37,1-Pieņēmumi!$E$32:$E$37)</f>
        <v>0</v>
      </c>
      <c r="L12" s="31" cm="1">
        <f t="array" ref="L12">L29*VLOOKUP($B12,Pieņēmumi!$B$15:$C$26,2,FALSE)*(1+L$21)*SUMPRODUCT(Pieņēmumi!$C$32:$C$37,1-Pieņēmumi!$E$32:$E$37)</f>
        <v>0</v>
      </c>
      <c r="M12" s="31" cm="1">
        <f t="array" ref="M12">M29*VLOOKUP($B12,Pieņēmumi!$B$15:$C$26,2,FALSE)*(1+M$21)*SUMPRODUCT(Pieņēmumi!$C$32:$C$37,1-Pieņēmumi!$E$32:$E$37)</f>
        <v>0</v>
      </c>
      <c r="N12" s="31" cm="1">
        <f t="array" ref="N12">N29*VLOOKUP($B12,Pieņēmumi!$B$15:$C$26,2,FALSE)*(1+N$21)*SUMPRODUCT(Pieņēmumi!$C$32:$C$37,1-Pieņēmumi!$E$32:$E$37)</f>
        <v>0</v>
      </c>
      <c r="O12" s="467">
        <f t="shared" si="12"/>
        <v>0</v>
      </c>
    </row>
    <row r="13" spans="2:17" x14ac:dyDescent="0.4">
      <c r="B13" s="22" t="str">
        <f>Pieņēmumi!B21</f>
        <v>Produkts 7</v>
      </c>
      <c r="C13" s="31" cm="1">
        <f t="array" ref="C13">C30*VLOOKUP($B13,Pieņēmumi!$B$15:$C$26,2,FALSE)*(1+C$21)*SUMPRODUCT(Pieņēmumi!$C$32:$C$37,1-Pieņēmumi!$E$32:$E$37)</f>
        <v>0</v>
      </c>
      <c r="D13" s="31" cm="1">
        <f t="array" ref="D13">D30*VLOOKUP($B13,Pieņēmumi!$B$15:$C$26,2,FALSE)*(1+D$21)*SUMPRODUCT(Pieņēmumi!$C$32:$C$37,1-Pieņēmumi!$E$32:$E$37)</f>
        <v>0</v>
      </c>
      <c r="E13" s="31" cm="1">
        <f t="array" ref="E13">E30*VLOOKUP($B13,Pieņēmumi!$B$15:$C$26,2,FALSE)*(1+E$21)*SUMPRODUCT(Pieņēmumi!$C$32:$C$37,1-Pieņēmumi!$E$32:$E$37)</f>
        <v>0</v>
      </c>
      <c r="F13" s="31" cm="1">
        <f t="array" ref="F13">F30*VLOOKUP($B13,Pieņēmumi!$B$15:$C$26,2,FALSE)*(1+F$21)*SUMPRODUCT(Pieņēmumi!$C$32:$C$37,1-Pieņēmumi!$E$32:$E$37)</f>
        <v>0</v>
      </c>
      <c r="G13" s="31" cm="1">
        <f t="array" ref="G13">G30*VLOOKUP($B13,Pieņēmumi!$B$15:$C$26,2,FALSE)*(1+G$21)*SUMPRODUCT(Pieņēmumi!$C$32:$C$37,1-Pieņēmumi!$E$32:$E$37)</f>
        <v>0</v>
      </c>
      <c r="H13" s="31" cm="1">
        <f t="array" ref="H13">H30*VLOOKUP($B13,Pieņēmumi!$B$15:$C$26,2,FALSE)*(1+H$21)*SUMPRODUCT(Pieņēmumi!$C$32:$C$37,1-Pieņēmumi!$E$32:$E$37)</f>
        <v>0</v>
      </c>
      <c r="I13" s="31" cm="1">
        <f t="array" ref="I13">I30*VLOOKUP($B13,Pieņēmumi!$B$15:$C$26,2,FALSE)*(1+I$21)*SUMPRODUCT(Pieņēmumi!$C$32:$C$37,1-Pieņēmumi!$E$32:$E$37)</f>
        <v>0</v>
      </c>
      <c r="J13" s="31" cm="1">
        <f t="array" ref="J13">J30*VLOOKUP($B13,Pieņēmumi!$B$15:$C$26,2,FALSE)*(1+J$21)*SUMPRODUCT(Pieņēmumi!$C$32:$C$37,1-Pieņēmumi!$E$32:$E$37)</f>
        <v>0</v>
      </c>
      <c r="K13" s="31" cm="1">
        <f t="array" ref="K13">K30*VLOOKUP($B13,Pieņēmumi!$B$15:$C$26,2,FALSE)*(1+K$21)*SUMPRODUCT(Pieņēmumi!$C$32:$C$37,1-Pieņēmumi!$E$32:$E$37)</f>
        <v>0</v>
      </c>
      <c r="L13" s="31" cm="1">
        <f t="array" ref="L13">L30*VLOOKUP($B13,Pieņēmumi!$B$15:$C$26,2,FALSE)*(1+L$21)*SUMPRODUCT(Pieņēmumi!$C$32:$C$37,1-Pieņēmumi!$E$32:$E$37)</f>
        <v>0</v>
      </c>
      <c r="M13" s="31" cm="1">
        <f t="array" ref="M13">M30*VLOOKUP($B13,Pieņēmumi!$B$15:$C$26,2,FALSE)*(1+M$21)*SUMPRODUCT(Pieņēmumi!$C$32:$C$37,1-Pieņēmumi!$E$32:$E$37)</f>
        <v>0</v>
      </c>
      <c r="N13" s="31" cm="1">
        <f t="array" ref="N13">N30*VLOOKUP($B13,Pieņēmumi!$B$15:$C$26,2,FALSE)*(1+N$21)*SUMPRODUCT(Pieņēmumi!$C$32:$C$37,1-Pieņēmumi!$E$32:$E$37)</f>
        <v>0</v>
      </c>
      <c r="O13" s="467">
        <f t="shared" si="12"/>
        <v>0</v>
      </c>
    </row>
    <row r="14" spans="2:17" x14ac:dyDescent="0.4">
      <c r="B14" s="22" t="str">
        <f>Pieņēmumi!B22</f>
        <v>Produkts 8</v>
      </c>
      <c r="C14" s="31" cm="1">
        <f t="array" ref="C14">C31*VLOOKUP($B14,Pieņēmumi!$B$15:$C$26,2,FALSE)*(1+C$21)*SUMPRODUCT(Pieņēmumi!$C$32:$C$37,1-Pieņēmumi!$E$32:$E$37)</f>
        <v>0</v>
      </c>
      <c r="D14" s="31" cm="1">
        <f t="array" ref="D14">D31*VLOOKUP($B14,Pieņēmumi!$B$15:$C$26,2,FALSE)*(1+D$21)*SUMPRODUCT(Pieņēmumi!$C$32:$C$37,1-Pieņēmumi!$E$32:$E$37)</f>
        <v>0</v>
      </c>
      <c r="E14" s="31" cm="1">
        <f t="array" ref="E14">E31*VLOOKUP($B14,Pieņēmumi!$B$15:$C$26,2,FALSE)*(1+E$21)*SUMPRODUCT(Pieņēmumi!$C$32:$C$37,1-Pieņēmumi!$E$32:$E$37)</f>
        <v>0</v>
      </c>
      <c r="F14" s="31" cm="1">
        <f t="array" ref="F14">F31*VLOOKUP($B14,Pieņēmumi!$B$15:$C$26,2,FALSE)*(1+F$21)*SUMPRODUCT(Pieņēmumi!$C$32:$C$37,1-Pieņēmumi!$E$32:$E$37)</f>
        <v>0</v>
      </c>
      <c r="G14" s="31" cm="1">
        <f t="array" ref="G14">G31*VLOOKUP($B14,Pieņēmumi!$B$15:$C$26,2,FALSE)*(1+G$21)*SUMPRODUCT(Pieņēmumi!$C$32:$C$37,1-Pieņēmumi!$E$32:$E$37)</f>
        <v>0</v>
      </c>
      <c r="H14" s="31" cm="1">
        <f t="array" ref="H14">H31*VLOOKUP($B14,Pieņēmumi!$B$15:$C$26,2,FALSE)*(1+H$21)*SUMPRODUCT(Pieņēmumi!$C$32:$C$37,1-Pieņēmumi!$E$32:$E$37)</f>
        <v>0</v>
      </c>
      <c r="I14" s="31" cm="1">
        <f t="array" ref="I14">I31*VLOOKUP($B14,Pieņēmumi!$B$15:$C$26,2,FALSE)*(1+I$21)*SUMPRODUCT(Pieņēmumi!$C$32:$C$37,1-Pieņēmumi!$E$32:$E$37)</f>
        <v>0</v>
      </c>
      <c r="J14" s="31" cm="1">
        <f t="array" ref="J14">J31*VLOOKUP($B14,Pieņēmumi!$B$15:$C$26,2,FALSE)*(1+J$21)*SUMPRODUCT(Pieņēmumi!$C$32:$C$37,1-Pieņēmumi!$E$32:$E$37)</f>
        <v>0</v>
      </c>
      <c r="K14" s="31" cm="1">
        <f t="array" ref="K14">K31*VLOOKUP($B14,Pieņēmumi!$B$15:$C$26,2,FALSE)*(1+K$21)*SUMPRODUCT(Pieņēmumi!$C$32:$C$37,1-Pieņēmumi!$E$32:$E$37)</f>
        <v>0</v>
      </c>
      <c r="L14" s="31" cm="1">
        <f t="array" ref="L14">L31*VLOOKUP($B14,Pieņēmumi!$B$15:$C$26,2,FALSE)*(1+L$21)*SUMPRODUCT(Pieņēmumi!$C$32:$C$37,1-Pieņēmumi!$E$32:$E$37)</f>
        <v>0</v>
      </c>
      <c r="M14" s="31" cm="1">
        <f t="array" ref="M14">M31*VLOOKUP($B14,Pieņēmumi!$B$15:$C$26,2,FALSE)*(1+M$21)*SUMPRODUCT(Pieņēmumi!$C$32:$C$37,1-Pieņēmumi!$E$32:$E$37)</f>
        <v>0</v>
      </c>
      <c r="N14" s="31" cm="1">
        <f t="array" ref="N14">N31*VLOOKUP($B14,Pieņēmumi!$B$15:$C$26,2,FALSE)*(1+N$21)*SUMPRODUCT(Pieņēmumi!$C$32:$C$37,1-Pieņēmumi!$E$32:$E$37)</f>
        <v>0</v>
      </c>
      <c r="O14" s="467">
        <f t="shared" si="12"/>
        <v>0</v>
      </c>
      <c r="Q14" s="471"/>
    </row>
    <row r="15" spans="2:17" x14ac:dyDescent="0.4">
      <c r="B15" s="22" t="str">
        <f>Pieņēmumi!B23</f>
        <v>Produkts 9</v>
      </c>
      <c r="C15" s="31" cm="1">
        <f t="array" ref="C15">C32*VLOOKUP($B15,Pieņēmumi!$B$15:$C$26,2,FALSE)*(1+C$21)*SUMPRODUCT(Pieņēmumi!$C$32:$C$37,1-Pieņēmumi!$E$32:$E$37)</f>
        <v>0</v>
      </c>
      <c r="D15" s="31" cm="1">
        <f t="array" ref="D15">D32*VLOOKUP($B15,Pieņēmumi!$B$15:$C$26,2,FALSE)*(1+D$21)*SUMPRODUCT(Pieņēmumi!$C$32:$C$37,1-Pieņēmumi!$E$32:$E$37)</f>
        <v>0</v>
      </c>
      <c r="E15" s="31" cm="1">
        <f t="array" ref="E15">E32*VLOOKUP($B15,Pieņēmumi!$B$15:$C$26,2,FALSE)*(1+E$21)*SUMPRODUCT(Pieņēmumi!$C$32:$C$37,1-Pieņēmumi!$E$32:$E$37)</f>
        <v>0</v>
      </c>
      <c r="F15" s="31" cm="1">
        <f t="array" ref="F15">F32*VLOOKUP($B15,Pieņēmumi!$B$15:$C$26,2,FALSE)*(1+F$21)*SUMPRODUCT(Pieņēmumi!$C$32:$C$37,1-Pieņēmumi!$E$32:$E$37)</f>
        <v>0</v>
      </c>
      <c r="G15" s="31" cm="1">
        <f t="array" ref="G15">G32*VLOOKUP($B15,Pieņēmumi!$B$15:$C$26,2,FALSE)*(1+G$21)*SUMPRODUCT(Pieņēmumi!$C$32:$C$37,1-Pieņēmumi!$E$32:$E$37)</f>
        <v>0</v>
      </c>
      <c r="H15" s="31" cm="1">
        <f t="array" ref="H15">H32*VLOOKUP($B15,Pieņēmumi!$B$15:$C$26,2,FALSE)*(1+H$21)*SUMPRODUCT(Pieņēmumi!$C$32:$C$37,1-Pieņēmumi!$E$32:$E$37)</f>
        <v>0</v>
      </c>
      <c r="I15" s="31" cm="1">
        <f t="array" ref="I15">I32*VLOOKUP($B15,Pieņēmumi!$B$15:$C$26,2,FALSE)*(1+I$21)*SUMPRODUCT(Pieņēmumi!$C$32:$C$37,1-Pieņēmumi!$E$32:$E$37)</f>
        <v>0</v>
      </c>
      <c r="J15" s="31" cm="1">
        <f t="array" ref="J15">J32*VLOOKUP($B15,Pieņēmumi!$B$15:$C$26,2,FALSE)*(1+J$21)*SUMPRODUCT(Pieņēmumi!$C$32:$C$37,1-Pieņēmumi!$E$32:$E$37)</f>
        <v>0</v>
      </c>
      <c r="K15" s="31" cm="1">
        <f t="array" ref="K15">K32*VLOOKUP($B15,Pieņēmumi!$B$15:$C$26,2,FALSE)*(1+K$21)*SUMPRODUCT(Pieņēmumi!$C$32:$C$37,1-Pieņēmumi!$E$32:$E$37)</f>
        <v>0</v>
      </c>
      <c r="L15" s="31" cm="1">
        <f t="array" ref="L15">L32*VLOOKUP($B15,Pieņēmumi!$B$15:$C$26,2,FALSE)*(1+L$21)*SUMPRODUCT(Pieņēmumi!$C$32:$C$37,1-Pieņēmumi!$E$32:$E$37)</f>
        <v>0</v>
      </c>
      <c r="M15" s="31" cm="1">
        <f t="array" ref="M15">M32*VLOOKUP($B15,Pieņēmumi!$B$15:$C$26,2,FALSE)*(1+M$21)*SUMPRODUCT(Pieņēmumi!$C$32:$C$37,1-Pieņēmumi!$E$32:$E$37)</f>
        <v>0</v>
      </c>
      <c r="N15" s="31" cm="1">
        <f t="array" ref="N15">N32*VLOOKUP($B15,Pieņēmumi!$B$15:$C$26,2,FALSE)*(1+N$21)*SUMPRODUCT(Pieņēmumi!$C$32:$C$37,1-Pieņēmumi!$E$32:$E$37)</f>
        <v>0</v>
      </c>
      <c r="O15" s="467">
        <f t="shared" si="12"/>
        <v>0</v>
      </c>
    </row>
    <row r="16" spans="2:17" x14ac:dyDescent="0.4">
      <c r="B16" s="22" t="str">
        <f>Pieņēmumi!B24</f>
        <v>Produkts 10</v>
      </c>
      <c r="C16" s="31" cm="1">
        <f t="array" ref="C16">C33*VLOOKUP($B16,Pieņēmumi!$B$15:$C$26,2,FALSE)*(1+C$21)*SUMPRODUCT(Pieņēmumi!$C$32:$C$37,1-Pieņēmumi!$E$32:$E$37)</f>
        <v>0</v>
      </c>
      <c r="D16" s="31" cm="1">
        <f t="array" ref="D16">D33*VLOOKUP($B16,Pieņēmumi!$B$15:$C$26,2,FALSE)*(1+D$21)*SUMPRODUCT(Pieņēmumi!$C$32:$C$37,1-Pieņēmumi!$E$32:$E$37)</f>
        <v>0</v>
      </c>
      <c r="E16" s="31" cm="1">
        <f t="array" ref="E16">E33*VLOOKUP($B16,Pieņēmumi!$B$15:$C$26,2,FALSE)*(1+E$21)*SUMPRODUCT(Pieņēmumi!$C$32:$C$37,1-Pieņēmumi!$E$32:$E$37)</f>
        <v>0</v>
      </c>
      <c r="F16" s="31" cm="1">
        <f t="array" ref="F16">F33*VLOOKUP($B16,Pieņēmumi!$B$15:$C$26,2,FALSE)*(1+F$21)*SUMPRODUCT(Pieņēmumi!$C$32:$C$37,1-Pieņēmumi!$E$32:$E$37)</f>
        <v>0</v>
      </c>
      <c r="G16" s="31" cm="1">
        <f t="array" ref="G16">G33*VLOOKUP($B16,Pieņēmumi!$B$15:$C$26,2,FALSE)*(1+G$21)*SUMPRODUCT(Pieņēmumi!$C$32:$C$37,1-Pieņēmumi!$E$32:$E$37)</f>
        <v>0</v>
      </c>
      <c r="H16" s="31" cm="1">
        <f t="array" ref="H16">H33*VLOOKUP($B16,Pieņēmumi!$B$15:$C$26,2,FALSE)*(1+H$21)*SUMPRODUCT(Pieņēmumi!$C$32:$C$37,1-Pieņēmumi!$E$32:$E$37)</f>
        <v>0</v>
      </c>
      <c r="I16" s="31" cm="1">
        <f t="array" ref="I16">I33*VLOOKUP($B16,Pieņēmumi!$B$15:$C$26,2,FALSE)*(1+I$21)*SUMPRODUCT(Pieņēmumi!$C$32:$C$37,1-Pieņēmumi!$E$32:$E$37)</f>
        <v>0</v>
      </c>
      <c r="J16" s="31" cm="1">
        <f t="array" ref="J16">J33*VLOOKUP($B16,Pieņēmumi!$B$15:$C$26,2,FALSE)*(1+J$21)*SUMPRODUCT(Pieņēmumi!$C$32:$C$37,1-Pieņēmumi!$E$32:$E$37)</f>
        <v>0</v>
      </c>
      <c r="K16" s="31" cm="1">
        <f t="array" ref="K16">K33*VLOOKUP($B16,Pieņēmumi!$B$15:$C$26,2,FALSE)*(1+K$21)*SUMPRODUCT(Pieņēmumi!$C$32:$C$37,1-Pieņēmumi!$E$32:$E$37)</f>
        <v>0</v>
      </c>
      <c r="L16" s="31" cm="1">
        <f t="array" ref="L16">L33*VLOOKUP($B16,Pieņēmumi!$B$15:$C$26,2,FALSE)*(1+L$21)*SUMPRODUCT(Pieņēmumi!$C$32:$C$37,1-Pieņēmumi!$E$32:$E$37)</f>
        <v>0</v>
      </c>
      <c r="M16" s="31" cm="1">
        <f t="array" ref="M16">M33*VLOOKUP($B16,Pieņēmumi!$B$15:$C$26,2,FALSE)*(1+M$21)*SUMPRODUCT(Pieņēmumi!$C$32:$C$37,1-Pieņēmumi!$E$32:$E$37)</f>
        <v>0</v>
      </c>
      <c r="N16" s="31" cm="1">
        <f t="array" ref="N16">N33*VLOOKUP($B16,Pieņēmumi!$B$15:$C$26,2,FALSE)*(1+N$21)*SUMPRODUCT(Pieņēmumi!$C$32:$C$37,1-Pieņēmumi!$E$32:$E$37)</f>
        <v>0</v>
      </c>
      <c r="O16" s="467">
        <f t="shared" si="12"/>
        <v>0</v>
      </c>
    </row>
    <row r="17" spans="2:17" x14ac:dyDescent="0.4">
      <c r="B17" s="22" t="str">
        <f>Pieņēmumi!B25</f>
        <v>Produkts 11</v>
      </c>
      <c r="C17" s="31" cm="1">
        <f t="array" ref="C17">C34*VLOOKUP($B17,Pieņēmumi!$B$15:$C$26,2,FALSE)*(1+C$21)*SUMPRODUCT(Pieņēmumi!$C$32:$C$37,1-Pieņēmumi!$E$32:$E$37)</f>
        <v>0</v>
      </c>
      <c r="D17" s="31" cm="1">
        <f t="array" ref="D17">D34*VLOOKUP($B17,Pieņēmumi!$B$15:$C$26,2,FALSE)*(1+D$21)*SUMPRODUCT(Pieņēmumi!$C$32:$C$37,1-Pieņēmumi!$E$32:$E$37)</f>
        <v>0</v>
      </c>
      <c r="E17" s="31" cm="1">
        <f t="array" ref="E17">E34*VLOOKUP($B17,Pieņēmumi!$B$15:$C$26,2,FALSE)*(1+E$21)*SUMPRODUCT(Pieņēmumi!$C$32:$C$37,1-Pieņēmumi!$E$32:$E$37)</f>
        <v>0</v>
      </c>
      <c r="F17" s="31" cm="1">
        <f t="array" ref="F17">F34*VLOOKUP($B17,Pieņēmumi!$B$15:$C$26,2,FALSE)*(1+F$21)*SUMPRODUCT(Pieņēmumi!$C$32:$C$37,1-Pieņēmumi!$E$32:$E$37)</f>
        <v>0</v>
      </c>
      <c r="G17" s="31" cm="1">
        <f t="array" ref="G17">G34*VLOOKUP($B17,Pieņēmumi!$B$15:$C$26,2,FALSE)*(1+G$21)*SUMPRODUCT(Pieņēmumi!$C$32:$C$37,1-Pieņēmumi!$E$32:$E$37)</f>
        <v>0</v>
      </c>
      <c r="H17" s="31" cm="1">
        <f t="array" ref="H17">H34*VLOOKUP($B17,Pieņēmumi!$B$15:$C$26,2,FALSE)*(1+H$21)*SUMPRODUCT(Pieņēmumi!$C$32:$C$37,1-Pieņēmumi!$E$32:$E$37)</f>
        <v>0</v>
      </c>
      <c r="I17" s="31" cm="1">
        <f t="array" ref="I17">I34*VLOOKUP($B17,Pieņēmumi!$B$15:$C$26,2,FALSE)*(1+I$21)*SUMPRODUCT(Pieņēmumi!$C$32:$C$37,1-Pieņēmumi!$E$32:$E$37)</f>
        <v>0</v>
      </c>
      <c r="J17" s="31" cm="1">
        <f t="array" ref="J17">J34*VLOOKUP($B17,Pieņēmumi!$B$15:$C$26,2,FALSE)*(1+J$21)*SUMPRODUCT(Pieņēmumi!$C$32:$C$37,1-Pieņēmumi!$E$32:$E$37)</f>
        <v>0</v>
      </c>
      <c r="K17" s="31" cm="1">
        <f t="array" ref="K17">K34*VLOOKUP($B17,Pieņēmumi!$B$15:$C$26,2,FALSE)*(1+K$21)*SUMPRODUCT(Pieņēmumi!$C$32:$C$37,1-Pieņēmumi!$E$32:$E$37)</f>
        <v>0</v>
      </c>
      <c r="L17" s="31" cm="1">
        <f t="array" ref="L17">L34*VLOOKUP($B17,Pieņēmumi!$B$15:$C$26,2,FALSE)*(1+L$21)*SUMPRODUCT(Pieņēmumi!$C$32:$C$37,1-Pieņēmumi!$E$32:$E$37)</f>
        <v>0</v>
      </c>
      <c r="M17" s="31" cm="1">
        <f t="array" ref="M17">M34*VLOOKUP($B17,Pieņēmumi!$B$15:$C$26,2,FALSE)*(1+M$21)*SUMPRODUCT(Pieņēmumi!$C$32:$C$37,1-Pieņēmumi!$E$32:$E$37)</f>
        <v>0</v>
      </c>
      <c r="N17" s="31" cm="1">
        <f t="array" ref="N17">N34*VLOOKUP($B17,Pieņēmumi!$B$15:$C$26,2,FALSE)*(1+N$21)*SUMPRODUCT(Pieņēmumi!$C$32:$C$37,1-Pieņēmumi!$E$32:$E$37)</f>
        <v>0</v>
      </c>
      <c r="O17" s="467">
        <f t="shared" si="12"/>
        <v>0</v>
      </c>
    </row>
    <row r="18" spans="2:17" x14ac:dyDescent="0.4">
      <c r="B18" s="22" t="str">
        <f>Pieņēmumi!B26</f>
        <v>Produkts 12</v>
      </c>
      <c r="C18" s="31" cm="1">
        <f t="array" ref="C18">C35*VLOOKUP($B18,Pieņēmumi!$B$15:$C$26,2,FALSE)*(1+C$21)*SUMPRODUCT(Pieņēmumi!$C$32:$C$37,1-Pieņēmumi!$E$32:$E$37)</f>
        <v>0</v>
      </c>
      <c r="D18" s="31" cm="1">
        <f t="array" ref="D18">D35*VLOOKUP($B18,Pieņēmumi!$B$15:$C$26,2,FALSE)*(1+D$21)*SUMPRODUCT(Pieņēmumi!$C$32:$C$37,1-Pieņēmumi!$E$32:$E$37)</f>
        <v>0</v>
      </c>
      <c r="E18" s="31" cm="1">
        <f t="array" ref="E18">E35*VLOOKUP($B18,Pieņēmumi!$B$15:$C$26,2,FALSE)*(1+E$21)*SUMPRODUCT(Pieņēmumi!$C$32:$C$37,1-Pieņēmumi!$E$32:$E$37)</f>
        <v>0</v>
      </c>
      <c r="F18" s="31" cm="1">
        <f t="array" ref="F18">F35*VLOOKUP($B18,Pieņēmumi!$B$15:$C$26,2,FALSE)*(1+F$21)*SUMPRODUCT(Pieņēmumi!$C$32:$C$37,1-Pieņēmumi!$E$32:$E$37)</f>
        <v>0</v>
      </c>
      <c r="G18" s="31" cm="1">
        <f t="array" ref="G18">G35*VLOOKUP($B18,Pieņēmumi!$B$15:$C$26,2,FALSE)*(1+G$21)*SUMPRODUCT(Pieņēmumi!$C$32:$C$37,1-Pieņēmumi!$E$32:$E$37)</f>
        <v>0</v>
      </c>
      <c r="H18" s="31" cm="1">
        <f t="array" ref="H18">H35*VLOOKUP($B18,Pieņēmumi!$B$15:$C$26,2,FALSE)*(1+H$21)*SUMPRODUCT(Pieņēmumi!$C$32:$C$37,1-Pieņēmumi!$E$32:$E$37)</f>
        <v>0</v>
      </c>
      <c r="I18" s="31" cm="1">
        <f t="array" ref="I18">I35*VLOOKUP($B18,Pieņēmumi!$B$15:$C$26,2,FALSE)*(1+I$21)*SUMPRODUCT(Pieņēmumi!$C$32:$C$37,1-Pieņēmumi!$E$32:$E$37)</f>
        <v>0</v>
      </c>
      <c r="J18" s="31" cm="1">
        <f t="array" ref="J18">J35*VLOOKUP($B18,Pieņēmumi!$B$15:$C$26,2,FALSE)*(1+J$21)*SUMPRODUCT(Pieņēmumi!$C$32:$C$37,1-Pieņēmumi!$E$32:$E$37)</f>
        <v>0</v>
      </c>
      <c r="K18" s="31" cm="1">
        <f t="array" ref="K18">K35*VLOOKUP($B18,Pieņēmumi!$B$15:$C$26,2,FALSE)*(1+K$21)*SUMPRODUCT(Pieņēmumi!$C$32:$C$37,1-Pieņēmumi!$E$32:$E$37)</f>
        <v>0</v>
      </c>
      <c r="L18" s="31" cm="1">
        <f t="array" ref="L18">L35*VLOOKUP($B18,Pieņēmumi!$B$15:$C$26,2,FALSE)*(1+L$21)*SUMPRODUCT(Pieņēmumi!$C$32:$C$37,1-Pieņēmumi!$E$32:$E$37)</f>
        <v>0</v>
      </c>
      <c r="M18" s="31" cm="1">
        <f t="array" ref="M18">M35*VLOOKUP($B18,Pieņēmumi!$B$15:$C$26,2,FALSE)*(1+M$21)*SUMPRODUCT(Pieņēmumi!$C$32:$C$37,1-Pieņēmumi!$E$32:$E$37)</f>
        <v>0</v>
      </c>
      <c r="N18" s="31" cm="1">
        <f t="array" ref="N18">N35*VLOOKUP($B18,Pieņēmumi!$B$15:$C$26,2,FALSE)*(1+N$21)*SUMPRODUCT(Pieņēmumi!$C$32:$C$37,1-Pieņēmumi!$E$32:$E$37)</f>
        <v>0</v>
      </c>
      <c r="O18" s="467">
        <f t="shared" si="12"/>
        <v>0</v>
      </c>
    </row>
    <row r="19" spans="2:17" x14ac:dyDescent="0.4">
      <c r="B19" s="23"/>
      <c r="C19" s="450"/>
      <c r="D19" s="450"/>
      <c r="E19" s="450"/>
      <c r="F19" s="450"/>
      <c r="G19" s="450"/>
      <c r="H19" s="450"/>
      <c r="I19" s="450"/>
      <c r="J19" s="450"/>
      <c r="K19" s="450"/>
      <c r="L19" s="450"/>
      <c r="M19" s="450"/>
      <c r="N19" s="450"/>
      <c r="O19" s="459"/>
    </row>
    <row r="20" spans="2:17" x14ac:dyDescent="0.4"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</row>
    <row r="21" spans="2:17" x14ac:dyDescent="0.4">
      <c r="B21" s="66" t="s">
        <v>79</v>
      </c>
      <c r="C21" s="436">
        <v>0</v>
      </c>
      <c r="D21" s="436">
        <v>0</v>
      </c>
      <c r="E21" s="436">
        <v>0</v>
      </c>
      <c r="F21" s="436">
        <v>0</v>
      </c>
      <c r="G21" s="436">
        <v>0</v>
      </c>
      <c r="H21" s="436">
        <v>0</v>
      </c>
      <c r="I21" s="436">
        <v>0</v>
      </c>
      <c r="J21" s="436">
        <v>0</v>
      </c>
      <c r="K21" s="436">
        <v>0</v>
      </c>
      <c r="L21" s="436">
        <v>0</v>
      </c>
      <c r="M21" s="436">
        <v>0</v>
      </c>
      <c r="N21" s="436">
        <v>0</v>
      </c>
      <c r="O21" s="460"/>
    </row>
    <row r="22" spans="2:17" x14ac:dyDescent="0.4"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</row>
    <row r="23" spans="2:17" x14ac:dyDescent="0.4">
      <c r="B23" s="134" t="s">
        <v>248</v>
      </c>
      <c r="C23" s="287">
        <f>SUM(C24:C35)</f>
        <v>0</v>
      </c>
      <c r="D23" s="287">
        <f t="shared" ref="D23:N23" si="13">SUM(D24:D35)</f>
        <v>0</v>
      </c>
      <c r="E23" s="287">
        <f t="shared" si="13"/>
        <v>0</v>
      </c>
      <c r="F23" s="287">
        <f t="shared" si="13"/>
        <v>0</v>
      </c>
      <c r="G23" s="287">
        <f t="shared" si="13"/>
        <v>0</v>
      </c>
      <c r="H23" s="287">
        <f t="shared" si="13"/>
        <v>0</v>
      </c>
      <c r="I23" s="287">
        <f t="shared" si="13"/>
        <v>0</v>
      </c>
      <c r="J23" s="287">
        <f t="shared" si="13"/>
        <v>0</v>
      </c>
      <c r="K23" s="287">
        <f t="shared" si="13"/>
        <v>0</v>
      </c>
      <c r="L23" s="287">
        <f t="shared" si="13"/>
        <v>0</v>
      </c>
      <c r="M23" s="287">
        <f t="shared" si="13"/>
        <v>0</v>
      </c>
      <c r="N23" s="287">
        <f t="shared" si="13"/>
        <v>0</v>
      </c>
      <c r="O23" s="458">
        <f>SUM(C23:N23)</f>
        <v>0</v>
      </c>
    </row>
    <row r="24" spans="2:17" x14ac:dyDescent="0.4">
      <c r="B24" s="22" t="str">
        <f>Pieņēmumi!B15</f>
        <v>Produkts 1</v>
      </c>
      <c r="C24" s="455">
        <v>0</v>
      </c>
      <c r="D24" s="455">
        <v>0</v>
      </c>
      <c r="E24" s="455">
        <v>0</v>
      </c>
      <c r="F24" s="455">
        <v>0</v>
      </c>
      <c r="G24" s="455">
        <v>0</v>
      </c>
      <c r="H24" s="455">
        <v>0</v>
      </c>
      <c r="I24" s="455">
        <v>0</v>
      </c>
      <c r="J24" s="455">
        <v>0</v>
      </c>
      <c r="K24" s="455">
        <v>0</v>
      </c>
      <c r="L24" s="455">
        <v>0</v>
      </c>
      <c r="M24" s="455">
        <v>0</v>
      </c>
      <c r="N24" s="455">
        <v>0</v>
      </c>
      <c r="O24" s="467">
        <f>SUM(C24:N24)</f>
        <v>0</v>
      </c>
      <c r="Q24" s="469"/>
    </row>
    <row r="25" spans="2:17" x14ac:dyDescent="0.4">
      <c r="B25" s="22" t="str">
        <f>Pieņēmumi!B16</f>
        <v>Produkts 2</v>
      </c>
      <c r="C25" s="455">
        <v>0</v>
      </c>
      <c r="D25" s="455">
        <v>0</v>
      </c>
      <c r="E25" s="455">
        <v>0</v>
      </c>
      <c r="F25" s="455">
        <v>0</v>
      </c>
      <c r="G25" s="455">
        <v>0</v>
      </c>
      <c r="H25" s="455">
        <v>0</v>
      </c>
      <c r="I25" s="455">
        <v>0</v>
      </c>
      <c r="J25" s="455">
        <v>0</v>
      </c>
      <c r="K25" s="455">
        <v>0</v>
      </c>
      <c r="L25" s="455">
        <v>0</v>
      </c>
      <c r="M25" s="455">
        <v>0</v>
      </c>
      <c r="N25" s="455">
        <v>0</v>
      </c>
      <c r="O25" s="467">
        <f>SUM(C25:N25)</f>
        <v>0</v>
      </c>
      <c r="Q25" s="469"/>
    </row>
    <row r="26" spans="2:17" x14ac:dyDescent="0.4">
      <c r="B26" s="22" t="str">
        <f>Pieņēmumi!B17</f>
        <v>Produkts 3</v>
      </c>
      <c r="C26" s="455">
        <v>0</v>
      </c>
      <c r="D26" s="455">
        <v>0</v>
      </c>
      <c r="E26" s="455">
        <v>0</v>
      </c>
      <c r="F26" s="455">
        <v>0</v>
      </c>
      <c r="G26" s="455">
        <v>0</v>
      </c>
      <c r="H26" s="455">
        <v>0</v>
      </c>
      <c r="I26" s="455">
        <v>0</v>
      </c>
      <c r="J26" s="455">
        <v>0</v>
      </c>
      <c r="K26" s="455">
        <v>0</v>
      </c>
      <c r="L26" s="455">
        <v>0</v>
      </c>
      <c r="M26" s="455">
        <v>0</v>
      </c>
      <c r="N26" s="455">
        <v>0</v>
      </c>
      <c r="O26" s="467">
        <f t="shared" ref="O26:O35" si="14">SUM(C26:N26)</f>
        <v>0</v>
      </c>
      <c r="Q26" s="469"/>
    </row>
    <row r="27" spans="2:17" x14ac:dyDescent="0.4">
      <c r="B27" s="22" t="str">
        <f>Pieņēmumi!B18</f>
        <v>Produkts 4</v>
      </c>
      <c r="C27" s="455">
        <v>0</v>
      </c>
      <c r="D27" s="455">
        <v>0</v>
      </c>
      <c r="E27" s="455">
        <v>0</v>
      </c>
      <c r="F27" s="455">
        <v>0</v>
      </c>
      <c r="G27" s="455">
        <v>0</v>
      </c>
      <c r="H27" s="455">
        <v>0</v>
      </c>
      <c r="I27" s="455">
        <v>0</v>
      </c>
      <c r="J27" s="455">
        <v>0</v>
      </c>
      <c r="K27" s="455">
        <v>0</v>
      </c>
      <c r="L27" s="455">
        <v>0</v>
      </c>
      <c r="M27" s="455">
        <v>0</v>
      </c>
      <c r="N27" s="455">
        <v>0</v>
      </c>
      <c r="O27" s="467">
        <f t="shared" si="14"/>
        <v>0</v>
      </c>
      <c r="Q27" s="469"/>
    </row>
    <row r="28" spans="2:17" x14ac:dyDescent="0.4">
      <c r="B28" s="22" t="str">
        <f>Pieņēmumi!B19</f>
        <v>Produkts 5</v>
      </c>
      <c r="C28" s="455">
        <v>0</v>
      </c>
      <c r="D28" s="455">
        <v>0</v>
      </c>
      <c r="E28" s="455">
        <v>0</v>
      </c>
      <c r="F28" s="455">
        <v>0</v>
      </c>
      <c r="G28" s="455">
        <v>0</v>
      </c>
      <c r="H28" s="455">
        <v>0</v>
      </c>
      <c r="I28" s="455">
        <v>0</v>
      </c>
      <c r="J28" s="455">
        <v>0</v>
      </c>
      <c r="K28" s="455">
        <v>0</v>
      </c>
      <c r="L28" s="455">
        <v>0</v>
      </c>
      <c r="M28" s="455">
        <v>0</v>
      </c>
      <c r="N28" s="455">
        <v>0</v>
      </c>
      <c r="O28" s="467">
        <f t="shared" si="14"/>
        <v>0</v>
      </c>
      <c r="Q28" s="469"/>
    </row>
    <row r="29" spans="2:17" x14ac:dyDescent="0.4">
      <c r="B29" s="22" t="str">
        <f>Pieņēmumi!B20</f>
        <v>Produkts 6</v>
      </c>
      <c r="C29" s="455">
        <v>0</v>
      </c>
      <c r="D29" s="455">
        <v>0</v>
      </c>
      <c r="E29" s="455">
        <v>0</v>
      </c>
      <c r="F29" s="455">
        <v>0</v>
      </c>
      <c r="G29" s="455">
        <v>0</v>
      </c>
      <c r="H29" s="455">
        <v>0</v>
      </c>
      <c r="I29" s="455">
        <v>0</v>
      </c>
      <c r="J29" s="455">
        <v>0</v>
      </c>
      <c r="K29" s="455">
        <v>0</v>
      </c>
      <c r="L29" s="455">
        <v>0</v>
      </c>
      <c r="M29" s="455">
        <v>0</v>
      </c>
      <c r="N29" s="455">
        <v>0</v>
      </c>
      <c r="O29" s="467">
        <f t="shared" si="14"/>
        <v>0</v>
      </c>
      <c r="Q29" s="469"/>
    </row>
    <row r="30" spans="2:17" x14ac:dyDescent="0.4">
      <c r="B30" s="22" t="str">
        <f>Pieņēmumi!B21</f>
        <v>Produkts 7</v>
      </c>
      <c r="C30" s="455">
        <v>0</v>
      </c>
      <c r="D30" s="455">
        <v>0</v>
      </c>
      <c r="E30" s="455">
        <v>0</v>
      </c>
      <c r="F30" s="455">
        <v>0</v>
      </c>
      <c r="G30" s="455">
        <v>0</v>
      </c>
      <c r="H30" s="455">
        <v>0</v>
      </c>
      <c r="I30" s="455">
        <v>0</v>
      </c>
      <c r="J30" s="455">
        <v>0</v>
      </c>
      <c r="K30" s="455">
        <v>0</v>
      </c>
      <c r="L30" s="455">
        <v>0</v>
      </c>
      <c r="M30" s="455">
        <v>0</v>
      </c>
      <c r="N30" s="455">
        <v>0</v>
      </c>
      <c r="O30" s="467">
        <f t="shared" si="14"/>
        <v>0</v>
      </c>
      <c r="Q30" s="469"/>
    </row>
    <row r="31" spans="2:17" ht="15.75" customHeight="1" x14ac:dyDescent="0.4">
      <c r="B31" s="22" t="str">
        <f>Pieņēmumi!B22</f>
        <v>Produkts 8</v>
      </c>
      <c r="C31" s="455">
        <v>0</v>
      </c>
      <c r="D31" s="455">
        <v>0</v>
      </c>
      <c r="E31" s="455">
        <v>0</v>
      </c>
      <c r="F31" s="455">
        <v>0</v>
      </c>
      <c r="G31" s="455">
        <v>0</v>
      </c>
      <c r="H31" s="455">
        <v>0</v>
      </c>
      <c r="I31" s="455">
        <v>0</v>
      </c>
      <c r="J31" s="455">
        <v>0</v>
      </c>
      <c r="K31" s="455">
        <v>0</v>
      </c>
      <c r="L31" s="455">
        <v>0</v>
      </c>
      <c r="M31" s="455">
        <v>0</v>
      </c>
      <c r="N31" s="455">
        <v>0</v>
      </c>
      <c r="O31" s="467">
        <f t="shared" si="14"/>
        <v>0</v>
      </c>
    </row>
    <row r="32" spans="2:17" x14ac:dyDescent="0.4">
      <c r="B32" s="22" t="str">
        <f>Pieņēmumi!B23</f>
        <v>Produkts 9</v>
      </c>
      <c r="C32" s="455">
        <v>0</v>
      </c>
      <c r="D32" s="455">
        <v>0</v>
      </c>
      <c r="E32" s="455">
        <v>0</v>
      </c>
      <c r="F32" s="455">
        <v>0</v>
      </c>
      <c r="G32" s="455">
        <v>0</v>
      </c>
      <c r="H32" s="455">
        <v>0</v>
      </c>
      <c r="I32" s="455">
        <v>0</v>
      </c>
      <c r="J32" s="455">
        <v>0</v>
      </c>
      <c r="K32" s="455">
        <v>0</v>
      </c>
      <c r="L32" s="455">
        <v>0</v>
      </c>
      <c r="M32" s="455">
        <v>0</v>
      </c>
      <c r="N32" s="455">
        <v>0</v>
      </c>
      <c r="O32" s="467">
        <f t="shared" si="14"/>
        <v>0</v>
      </c>
    </row>
    <row r="33" spans="2:15" x14ac:dyDescent="0.4">
      <c r="B33" s="22" t="str">
        <f>Pieņēmumi!B24</f>
        <v>Produkts 10</v>
      </c>
      <c r="C33" s="455">
        <v>0</v>
      </c>
      <c r="D33" s="455">
        <v>0</v>
      </c>
      <c r="E33" s="455">
        <v>0</v>
      </c>
      <c r="F33" s="455">
        <v>0</v>
      </c>
      <c r="G33" s="455">
        <v>0</v>
      </c>
      <c r="H33" s="455">
        <v>0</v>
      </c>
      <c r="I33" s="455">
        <v>0</v>
      </c>
      <c r="J33" s="455">
        <v>0</v>
      </c>
      <c r="K33" s="455">
        <v>0</v>
      </c>
      <c r="L33" s="455">
        <v>0</v>
      </c>
      <c r="M33" s="455">
        <v>0</v>
      </c>
      <c r="N33" s="455">
        <v>0</v>
      </c>
      <c r="O33" s="467">
        <f t="shared" si="14"/>
        <v>0</v>
      </c>
    </row>
    <row r="34" spans="2:15" x14ac:dyDescent="0.4">
      <c r="B34" s="22" t="str">
        <f>Pieņēmumi!B25</f>
        <v>Produkts 11</v>
      </c>
      <c r="C34" s="455">
        <v>0</v>
      </c>
      <c r="D34" s="455">
        <v>0</v>
      </c>
      <c r="E34" s="455">
        <v>0</v>
      </c>
      <c r="F34" s="455">
        <v>0</v>
      </c>
      <c r="G34" s="455">
        <v>0</v>
      </c>
      <c r="H34" s="455">
        <v>0</v>
      </c>
      <c r="I34" s="455">
        <v>0</v>
      </c>
      <c r="J34" s="455">
        <v>0</v>
      </c>
      <c r="K34" s="455">
        <v>0</v>
      </c>
      <c r="L34" s="455">
        <v>0</v>
      </c>
      <c r="M34" s="455">
        <v>0</v>
      </c>
      <c r="N34" s="455">
        <v>0</v>
      </c>
      <c r="O34" s="467">
        <f t="shared" si="14"/>
        <v>0</v>
      </c>
    </row>
    <row r="35" spans="2:15" x14ac:dyDescent="0.4">
      <c r="B35" s="22" t="str">
        <f>Pieņēmumi!B26</f>
        <v>Produkts 12</v>
      </c>
      <c r="C35" s="455">
        <v>0</v>
      </c>
      <c r="D35" s="455">
        <v>0</v>
      </c>
      <c r="E35" s="455">
        <v>0</v>
      </c>
      <c r="F35" s="455">
        <v>0</v>
      </c>
      <c r="G35" s="455">
        <v>0</v>
      </c>
      <c r="H35" s="455">
        <v>0</v>
      </c>
      <c r="I35" s="455">
        <v>0</v>
      </c>
      <c r="J35" s="455">
        <v>0</v>
      </c>
      <c r="K35" s="455">
        <v>0</v>
      </c>
      <c r="L35" s="455">
        <v>0</v>
      </c>
      <c r="M35" s="455">
        <v>0</v>
      </c>
      <c r="N35" s="455">
        <v>0</v>
      </c>
      <c r="O35" s="467">
        <f t="shared" si="14"/>
        <v>0</v>
      </c>
    </row>
    <row r="36" spans="2:15" x14ac:dyDescent="0.4">
      <c r="B36" s="23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461"/>
    </row>
    <row r="37" spans="2:15" x14ac:dyDescent="0.4"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</row>
    <row r="38" spans="2:15" x14ac:dyDescent="0.4">
      <c r="B38" s="134" t="s">
        <v>80</v>
      </c>
      <c r="C38" s="287">
        <f t="shared" ref="C38:N38" si="15">SUM(C39:C41)</f>
        <v>0</v>
      </c>
      <c r="D38" s="287">
        <f t="shared" si="15"/>
        <v>0</v>
      </c>
      <c r="E38" s="287">
        <f t="shared" si="15"/>
        <v>0</v>
      </c>
      <c r="F38" s="287">
        <f t="shared" si="15"/>
        <v>0</v>
      </c>
      <c r="G38" s="287">
        <f t="shared" si="15"/>
        <v>0</v>
      </c>
      <c r="H38" s="287">
        <f t="shared" si="15"/>
        <v>0</v>
      </c>
      <c r="I38" s="287">
        <f t="shared" si="15"/>
        <v>0</v>
      </c>
      <c r="J38" s="287">
        <f t="shared" si="15"/>
        <v>0</v>
      </c>
      <c r="K38" s="287">
        <f t="shared" si="15"/>
        <v>0</v>
      </c>
      <c r="L38" s="287">
        <f t="shared" si="15"/>
        <v>0</v>
      </c>
      <c r="M38" s="287">
        <f t="shared" si="15"/>
        <v>0</v>
      </c>
      <c r="N38" s="287">
        <f t="shared" si="15"/>
        <v>0</v>
      </c>
      <c r="O38" s="463">
        <f>SUM(C38:N38)</f>
        <v>0</v>
      </c>
    </row>
    <row r="39" spans="2:15" x14ac:dyDescent="0.4">
      <c r="B39" s="67" t="s">
        <v>281</v>
      </c>
      <c r="C39" s="288">
        <v>0</v>
      </c>
      <c r="D39" s="288">
        <v>0</v>
      </c>
      <c r="E39" s="288">
        <v>0</v>
      </c>
      <c r="F39" s="288">
        <v>0</v>
      </c>
      <c r="G39" s="288">
        <v>0</v>
      </c>
      <c r="H39" s="288">
        <v>0</v>
      </c>
      <c r="I39" s="288">
        <v>0</v>
      </c>
      <c r="J39" s="288">
        <v>0</v>
      </c>
      <c r="K39" s="288">
        <v>0</v>
      </c>
      <c r="L39" s="288">
        <v>0</v>
      </c>
      <c r="M39" s="288">
        <v>0</v>
      </c>
      <c r="N39" s="288">
        <v>0</v>
      </c>
      <c r="O39" s="462">
        <f>SUM(C39:N39)</f>
        <v>0</v>
      </c>
    </row>
    <row r="40" spans="2:15" x14ac:dyDescent="0.4">
      <c r="B40" s="67" t="s">
        <v>81</v>
      </c>
      <c r="C40" s="288">
        <v>0</v>
      </c>
      <c r="D40" s="288">
        <v>0</v>
      </c>
      <c r="E40" s="288">
        <v>0</v>
      </c>
      <c r="F40" s="288">
        <v>0</v>
      </c>
      <c r="G40" s="288">
        <v>0</v>
      </c>
      <c r="H40" s="288">
        <v>0</v>
      </c>
      <c r="I40" s="288">
        <v>0</v>
      </c>
      <c r="J40" s="288">
        <v>0</v>
      </c>
      <c r="K40" s="288">
        <v>0</v>
      </c>
      <c r="L40" s="288">
        <v>0</v>
      </c>
      <c r="M40" s="288">
        <v>0</v>
      </c>
      <c r="N40" s="288">
        <v>0</v>
      </c>
      <c r="O40" s="462">
        <f>SUM(C40:N40)</f>
        <v>0</v>
      </c>
    </row>
    <row r="41" spans="2:15" x14ac:dyDescent="0.4">
      <c r="B41" s="67" t="s">
        <v>82</v>
      </c>
      <c r="C41" s="288">
        <v>0</v>
      </c>
      <c r="D41" s="288">
        <v>0</v>
      </c>
      <c r="E41" s="288">
        <v>0</v>
      </c>
      <c r="F41" s="288">
        <v>0</v>
      </c>
      <c r="G41" s="288">
        <v>0</v>
      </c>
      <c r="H41" s="288">
        <v>0</v>
      </c>
      <c r="I41" s="288">
        <v>0</v>
      </c>
      <c r="J41" s="288">
        <v>0</v>
      </c>
      <c r="K41" s="288">
        <v>0</v>
      </c>
      <c r="L41" s="288">
        <v>0</v>
      </c>
      <c r="M41" s="288">
        <v>0</v>
      </c>
      <c r="N41" s="288">
        <v>0</v>
      </c>
      <c r="O41" s="462">
        <f>SUM(C41:N41)</f>
        <v>0</v>
      </c>
    </row>
    <row r="42" spans="2:15" x14ac:dyDescent="0.4"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464"/>
    </row>
    <row r="43" spans="2:15" x14ac:dyDescent="0.4"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465"/>
    </row>
    <row r="44" spans="2:15" x14ac:dyDescent="0.4">
      <c r="B44" s="148"/>
      <c r="C44"/>
      <c r="D44"/>
      <c r="E44"/>
      <c r="F44"/>
      <c r="G44"/>
      <c r="H44"/>
      <c r="I44"/>
      <c r="J44"/>
      <c r="K44"/>
      <c r="L44"/>
      <c r="M44"/>
      <c r="N44"/>
      <c r="O44" s="466"/>
    </row>
    <row r="45" spans="2:15" x14ac:dyDescent="0.4">
      <c r="B45" s="148"/>
      <c r="C45"/>
      <c r="D45"/>
      <c r="E45"/>
      <c r="F45"/>
      <c r="G45"/>
      <c r="H45"/>
      <c r="I45"/>
      <c r="J45"/>
      <c r="K45"/>
      <c r="L45"/>
      <c r="M45"/>
      <c r="N45"/>
      <c r="O45" s="466"/>
    </row>
    <row r="46" spans="2:15" x14ac:dyDescent="0.4">
      <c r="B46" s="148"/>
      <c r="C46"/>
      <c r="D46"/>
      <c r="E46"/>
      <c r="F46"/>
      <c r="G46"/>
      <c r="H46"/>
      <c r="I46"/>
      <c r="J46"/>
      <c r="K46"/>
      <c r="L46"/>
      <c r="M46"/>
      <c r="N46"/>
      <c r="O46" s="466"/>
    </row>
    <row r="47" spans="2:15" x14ac:dyDescent="0.4">
      <c r="B47" s="148"/>
      <c r="C47"/>
      <c r="D47"/>
      <c r="E47"/>
      <c r="F47"/>
      <c r="G47"/>
      <c r="H47"/>
      <c r="I47"/>
      <c r="J47"/>
      <c r="K47"/>
      <c r="L47"/>
      <c r="M47"/>
      <c r="N47"/>
      <c r="O47" s="466"/>
    </row>
    <row r="48" spans="2:15" x14ac:dyDescent="0.4">
      <c r="B48" s="148"/>
      <c r="C48"/>
      <c r="D48"/>
      <c r="E48"/>
      <c r="F48"/>
      <c r="G48"/>
      <c r="H48"/>
      <c r="I48"/>
      <c r="J48"/>
      <c r="K48"/>
      <c r="L48"/>
      <c r="M48"/>
      <c r="N48"/>
      <c r="O48" s="466"/>
    </row>
    <row r="49" spans="2:15" x14ac:dyDescent="0.4">
      <c r="B49" s="148"/>
      <c r="C49"/>
      <c r="D49"/>
      <c r="E49"/>
      <c r="F49"/>
      <c r="G49"/>
      <c r="H49"/>
      <c r="I49"/>
      <c r="J49"/>
      <c r="K49"/>
      <c r="L49"/>
      <c r="M49"/>
      <c r="N49"/>
      <c r="O49" s="466"/>
    </row>
    <row r="50" spans="2:15" x14ac:dyDescent="0.4">
      <c r="B50" s="148"/>
      <c r="C50"/>
      <c r="D50"/>
      <c r="E50"/>
      <c r="F50"/>
      <c r="G50"/>
      <c r="H50"/>
      <c r="I50"/>
      <c r="J50"/>
      <c r="K50"/>
      <c r="L50"/>
      <c r="M50"/>
      <c r="N50"/>
      <c r="O50" s="466"/>
    </row>
    <row r="51" spans="2:15" x14ac:dyDescent="0.4">
      <c r="B51" s="148"/>
      <c r="C51"/>
      <c r="D51"/>
      <c r="E51"/>
      <c r="F51"/>
      <c r="G51"/>
      <c r="H51"/>
      <c r="I51"/>
      <c r="J51"/>
      <c r="K51"/>
      <c r="L51"/>
      <c r="M51"/>
      <c r="N51"/>
      <c r="O51" s="466"/>
    </row>
    <row r="52" spans="2:15" x14ac:dyDescent="0.4">
      <c r="B52" s="148"/>
      <c r="C52"/>
      <c r="D52"/>
      <c r="E52"/>
      <c r="F52"/>
      <c r="G52"/>
      <c r="H52"/>
      <c r="I52"/>
      <c r="J52"/>
      <c r="K52"/>
      <c r="L52"/>
      <c r="M52"/>
      <c r="N52"/>
      <c r="O52" s="466"/>
    </row>
    <row r="53" spans="2:15" x14ac:dyDescent="0.4">
      <c r="B53" s="148"/>
      <c r="C53"/>
      <c r="D53"/>
      <c r="E53"/>
      <c r="F53"/>
      <c r="G53"/>
      <c r="H53"/>
      <c r="I53"/>
      <c r="J53"/>
      <c r="K53"/>
      <c r="L53"/>
      <c r="M53"/>
      <c r="N53"/>
      <c r="O53" s="466"/>
    </row>
    <row r="54" spans="2:15" x14ac:dyDescent="0.4">
      <c r="B54" s="148"/>
      <c r="C54"/>
      <c r="D54"/>
      <c r="E54"/>
      <c r="F54"/>
      <c r="G54"/>
      <c r="H54"/>
      <c r="I54"/>
      <c r="J54"/>
      <c r="K54"/>
      <c r="L54"/>
      <c r="M54"/>
      <c r="N54"/>
      <c r="O54" s="466"/>
    </row>
    <row r="55" spans="2:15" x14ac:dyDescent="0.4">
      <c r="B55" s="148"/>
      <c r="C55"/>
      <c r="D55"/>
      <c r="E55"/>
      <c r="F55"/>
      <c r="G55"/>
      <c r="H55"/>
      <c r="I55"/>
      <c r="J55"/>
      <c r="K55"/>
      <c r="L55"/>
      <c r="M55"/>
      <c r="N55"/>
      <c r="O55" s="466"/>
    </row>
    <row r="56" spans="2:15" x14ac:dyDescent="0.4">
      <c r="B56" s="148"/>
      <c r="C56"/>
      <c r="D56"/>
      <c r="E56"/>
      <c r="F56"/>
      <c r="G56"/>
      <c r="H56"/>
      <c r="I56"/>
      <c r="J56"/>
      <c r="K56"/>
      <c r="L56"/>
      <c r="M56"/>
      <c r="N56"/>
      <c r="O56" s="466"/>
    </row>
    <row r="57" spans="2:15" x14ac:dyDescent="0.4">
      <c r="B57" s="148"/>
      <c r="C57"/>
      <c r="D57"/>
      <c r="E57"/>
      <c r="F57"/>
      <c r="G57"/>
      <c r="H57"/>
      <c r="I57"/>
      <c r="J57"/>
      <c r="K57"/>
      <c r="L57"/>
      <c r="M57"/>
      <c r="N57"/>
      <c r="O57" s="466"/>
    </row>
    <row r="58" spans="2:15" x14ac:dyDescent="0.4">
      <c r="B58" s="148"/>
      <c r="C58"/>
      <c r="D58"/>
      <c r="E58"/>
      <c r="F58"/>
      <c r="G58"/>
      <c r="H58"/>
      <c r="I58"/>
      <c r="J58"/>
      <c r="K58"/>
      <c r="L58"/>
      <c r="M58"/>
      <c r="N58"/>
      <c r="O58" s="466"/>
    </row>
    <row r="59" spans="2:15" x14ac:dyDescent="0.4">
      <c r="B59" s="148"/>
      <c r="C59"/>
      <c r="D59"/>
      <c r="E59"/>
      <c r="F59"/>
      <c r="G59"/>
      <c r="H59"/>
      <c r="I59"/>
      <c r="J59"/>
      <c r="K59"/>
      <c r="L59"/>
      <c r="M59"/>
      <c r="N59"/>
      <c r="O59" s="466"/>
    </row>
    <row r="60" spans="2:15" x14ac:dyDescent="0.4">
      <c r="B60" s="148"/>
      <c r="C60"/>
      <c r="D60"/>
      <c r="E60"/>
      <c r="F60"/>
      <c r="G60"/>
      <c r="H60"/>
      <c r="I60"/>
      <c r="J60"/>
      <c r="K60"/>
      <c r="L60"/>
      <c r="M60"/>
      <c r="N60"/>
      <c r="O60" s="466"/>
    </row>
    <row r="61" spans="2:15" x14ac:dyDescent="0.4">
      <c r="B61" s="148"/>
      <c r="C61"/>
      <c r="D61"/>
      <c r="E61"/>
      <c r="F61"/>
      <c r="G61"/>
      <c r="H61"/>
      <c r="I61"/>
      <c r="J61"/>
      <c r="K61"/>
      <c r="L61"/>
      <c r="M61"/>
      <c r="N61"/>
      <c r="O61" s="466"/>
    </row>
    <row r="62" spans="2:15" x14ac:dyDescent="0.4">
      <c r="B62" s="148"/>
      <c r="C62"/>
      <c r="D62"/>
      <c r="E62"/>
      <c r="F62"/>
      <c r="G62"/>
      <c r="H62"/>
      <c r="I62"/>
      <c r="J62"/>
      <c r="K62"/>
      <c r="L62"/>
      <c r="M62"/>
      <c r="N62"/>
      <c r="O62" s="466"/>
    </row>
    <row r="63" spans="2:15" x14ac:dyDescent="0.4">
      <c r="B63" s="148"/>
      <c r="C63"/>
      <c r="D63"/>
      <c r="E63"/>
      <c r="F63"/>
      <c r="G63"/>
      <c r="H63"/>
      <c r="I63"/>
      <c r="J63"/>
      <c r="K63"/>
      <c r="L63"/>
      <c r="M63"/>
      <c r="N63"/>
      <c r="O63" s="466"/>
    </row>
    <row r="64" spans="2:15" x14ac:dyDescent="0.4">
      <c r="B64" s="148"/>
      <c r="C64"/>
      <c r="D64"/>
      <c r="E64"/>
      <c r="F64"/>
      <c r="G64"/>
      <c r="H64"/>
      <c r="I64"/>
      <c r="J64"/>
      <c r="K64"/>
      <c r="L64"/>
      <c r="M64"/>
      <c r="N64"/>
      <c r="O64" s="466"/>
    </row>
    <row r="65" spans="2:15" x14ac:dyDescent="0.4">
      <c r="B65" s="148"/>
      <c r="C65"/>
      <c r="D65"/>
      <c r="E65"/>
      <c r="F65"/>
      <c r="G65"/>
      <c r="H65"/>
      <c r="I65"/>
      <c r="J65"/>
      <c r="K65"/>
      <c r="L65"/>
      <c r="M65"/>
      <c r="N65"/>
      <c r="O65" s="466"/>
    </row>
    <row r="66" spans="2:15" x14ac:dyDescent="0.4">
      <c r="B66" s="148"/>
      <c r="C66"/>
      <c r="D66"/>
      <c r="E66"/>
      <c r="F66"/>
      <c r="G66"/>
      <c r="H66"/>
      <c r="I66"/>
      <c r="J66"/>
      <c r="K66"/>
      <c r="L66"/>
      <c r="M66"/>
      <c r="N66"/>
      <c r="O66" s="466"/>
    </row>
    <row r="67" spans="2:15" x14ac:dyDescent="0.4">
      <c r="B67" s="148"/>
      <c r="C67"/>
      <c r="D67"/>
      <c r="E67"/>
      <c r="F67"/>
      <c r="G67"/>
      <c r="H67"/>
      <c r="I67"/>
      <c r="J67"/>
      <c r="K67"/>
      <c r="L67"/>
      <c r="M67"/>
      <c r="N67"/>
      <c r="O67" s="466"/>
    </row>
    <row r="68" spans="2:15" x14ac:dyDescent="0.4">
      <c r="B68" s="148"/>
      <c r="C68"/>
      <c r="D68"/>
      <c r="E68"/>
      <c r="F68"/>
      <c r="G68"/>
      <c r="H68"/>
      <c r="I68"/>
      <c r="J68"/>
      <c r="K68"/>
      <c r="L68"/>
      <c r="M68"/>
      <c r="N68"/>
      <c r="O68" s="466"/>
    </row>
    <row r="69" spans="2:15" x14ac:dyDescent="0.4">
      <c r="B69" s="148"/>
      <c r="C69"/>
      <c r="D69"/>
      <c r="E69"/>
      <c r="F69"/>
      <c r="G69"/>
      <c r="H69"/>
      <c r="I69"/>
      <c r="J69"/>
      <c r="K69"/>
      <c r="L69"/>
      <c r="M69"/>
      <c r="N69"/>
      <c r="O69" s="466"/>
    </row>
    <row r="70" spans="2:15" x14ac:dyDescent="0.4">
      <c r="B70" s="148"/>
      <c r="C70"/>
      <c r="D70"/>
      <c r="E70"/>
      <c r="F70"/>
      <c r="G70"/>
      <c r="H70"/>
      <c r="I70"/>
      <c r="J70"/>
      <c r="K70"/>
      <c r="L70"/>
      <c r="M70"/>
      <c r="N70"/>
      <c r="O70" s="466"/>
    </row>
    <row r="71" spans="2:15" x14ac:dyDescent="0.4">
      <c r="B71" s="148"/>
      <c r="C71"/>
      <c r="D71"/>
      <c r="E71"/>
      <c r="F71"/>
      <c r="G71"/>
      <c r="H71"/>
      <c r="I71"/>
      <c r="J71"/>
      <c r="K71"/>
      <c r="L71"/>
      <c r="M71"/>
      <c r="N71"/>
      <c r="O71" s="466"/>
    </row>
    <row r="72" spans="2:15" x14ac:dyDescent="0.4">
      <c r="B72" s="148"/>
      <c r="C72"/>
      <c r="D72"/>
      <c r="E72"/>
      <c r="F72"/>
      <c r="G72"/>
      <c r="H72"/>
      <c r="I72"/>
      <c r="J72"/>
      <c r="K72"/>
      <c r="L72"/>
      <c r="M72"/>
      <c r="N72"/>
      <c r="O72" s="466"/>
    </row>
  </sheetData>
  <sheetProtection formatColumns="0" formatRows="0" selectLockedCells="1"/>
  <phoneticPr fontId="2" type="noConversion"/>
  <pageMargins left="0.75" right="0.75" top="1" bottom="1" header="0.5" footer="0.5"/>
  <pageSetup paperSize="9" scale="6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2:P27"/>
  <sheetViews>
    <sheetView showGridLines="0" zoomScaleNormal="100" workbookViewId="0">
      <pane ySplit="4" topLeftCell="A5" activePane="bottomLeft" state="frozen"/>
      <selection pane="bottomLeft" activeCell="C12" sqref="C12"/>
    </sheetView>
  </sheetViews>
  <sheetFormatPr defaultColWidth="9.1328125" defaultRowHeight="14.25" x14ac:dyDescent="0.4"/>
  <cols>
    <col min="1" max="1" width="6.86328125" style="179" customWidth="1"/>
    <col min="2" max="2" width="35" style="172" bestFit="1" customWidth="1"/>
    <col min="3" max="3" width="8.53125" style="179" customWidth="1"/>
    <col min="4" max="4" width="9.46484375" style="179" bestFit="1" customWidth="1"/>
    <col min="5" max="5" width="10.53125" style="179" customWidth="1"/>
    <col min="6" max="7" width="10.46484375" style="179" customWidth="1"/>
    <col min="8" max="8" width="10.53125" style="179" customWidth="1"/>
    <col min="9" max="9" width="9.53125" style="179" customWidth="1"/>
    <col min="10" max="10" width="10" style="179" customWidth="1"/>
    <col min="11" max="14" width="9.46484375" style="179" bestFit="1" customWidth="1"/>
    <col min="15" max="15" width="11.1328125" style="184" bestFit="1" customWidth="1"/>
    <col min="16" max="16" width="9.46484375" style="403" customWidth="1"/>
    <col min="17" max="16384" width="9.1328125" style="179"/>
  </cols>
  <sheetData>
    <row r="2" spans="1:16" ht="14.65" x14ac:dyDescent="0.35">
      <c r="A2" s="2"/>
      <c r="B2" s="255" t="str">
        <f>LEFT(Pieņēmumi!$B$2,FIND("Budžets",Pieņēmumi!$B$2)-1)&amp;"Ražošanas izmaksas "</f>
        <v xml:space="preserve">Spēka ražotājs Ražošanas izmaksas 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</row>
    <row r="3" spans="1:16" x14ac:dyDescent="0.4"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5"/>
    </row>
    <row r="4" spans="1:16" x14ac:dyDescent="0.4">
      <c r="A4" s="2"/>
      <c r="B4" s="9"/>
      <c r="C4" s="10" t="str">
        <f>LEFT(Pieņēmumi!E7,3)</f>
        <v>Jan</v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0" t="s">
        <v>165</v>
      </c>
    </row>
    <row r="5" spans="1:16" x14ac:dyDescent="0.4">
      <c r="B5" s="186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8"/>
    </row>
    <row r="6" spans="1:16" x14ac:dyDescent="0.4">
      <c r="A6" s="2"/>
      <c r="B6" s="134" t="s">
        <v>83</v>
      </c>
      <c r="C6" s="287">
        <f t="shared" ref="C6:N6" si="1">C8+C15</f>
        <v>0</v>
      </c>
      <c r="D6" s="287">
        <f t="shared" si="1"/>
        <v>0</v>
      </c>
      <c r="E6" s="287">
        <f t="shared" si="1"/>
        <v>0</v>
      </c>
      <c r="F6" s="287">
        <f t="shared" si="1"/>
        <v>0</v>
      </c>
      <c r="G6" s="287">
        <f t="shared" si="1"/>
        <v>0</v>
      </c>
      <c r="H6" s="287">
        <f t="shared" si="1"/>
        <v>0</v>
      </c>
      <c r="I6" s="287">
        <f t="shared" si="1"/>
        <v>0</v>
      </c>
      <c r="J6" s="287">
        <f t="shared" si="1"/>
        <v>0</v>
      </c>
      <c r="K6" s="287">
        <f t="shared" si="1"/>
        <v>0</v>
      </c>
      <c r="L6" s="287">
        <f t="shared" si="1"/>
        <v>0</v>
      </c>
      <c r="M6" s="287">
        <f t="shared" si="1"/>
        <v>0</v>
      </c>
      <c r="N6" s="287">
        <f t="shared" si="1"/>
        <v>0</v>
      </c>
      <c r="O6" s="287">
        <f>SUM(C6:N6)</f>
        <v>0</v>
      </c>
    </row>
    <row r="7" spans="1:16" x14ac:dyDescent="0.4">
      <c r="A7" s="2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404"/>
    </row>
    <row r="8" spans="1:16" x14ac:dyDescent="0.4">
      <c r="A8" s="2"/>
      <c r="B8" s="66" t="s">
        <v>84</v>
      </c>
      <c r="C8" s="289">
        <f>SUM(C9:C13)</f>
        <v>0</v>
      </c>
      <c r="D8" s="289">
        <f t="shared" ref="D8:N8" si="2">SUM(D9:D13)</f>
        <v>0</v>
      </c>
      <c r="E8" s="289">
        <f t="shared" si="2"/>
        <v>0</v>
      </c>
      <c r="F8" s="289">
        <f t="shared" si="2"/>
        <v>0</v>
      </c>
      <c r="G8" s="289">
        <f t="shared" si="2"/>
        <v>0</v>
      </c>
      <c r="H8" s="289">
        <f t="shared" si="2"/>
        <v>0</v>
      </c>
      <c r="I8" s="289">
        <f t="shared" si="2"/>
        <v>0</v>
      </c>
      <c r="J8" s="289">
        <f t="shared" si="2"/>
        <v>0</v>
      </c>
      <c r="K8" s="289">
        <f t="shared" si="2"/>
        <v>0</v>
      </c>
      <c r="L8" s="289">
        <f t="shared" si="2"/>
        <v>0</v>
      </c>
      <c r="M8" s="289">
        <f t="shared" si="2"/>
        <v>0</v>
      </c>
      <c r="N8" s="289">
        <f t="shared" si="2"/>
        <v>0</v>
      </c>
      <c r="O8" s="369">
        <f t="shared" ref="O8:O15" si="3">SUM(C8:N8)</f>
        <v>0</v>
      </c>
      <c r="P8" s="404"/>
    </row>
    <row r="9" spans="1:16" x14ac:dyDescent="0.4">
      <c r="A9" s="2"/>
      <c r="B9" s="22" t="s">
        <v>85</v>
      </c>
      <c r="C9" s="262">
        <f>SUMPRODUCT(Pārdošana!C$7:C$18,Pieņēmumi!$D$15:$D$26)</f>
        <v>0</v>
      </c>
      <c r="D9" s="262">
        <f>SUMPRODUCT(Pārdošana!D$7:D$18,Pieņēmumi!$D$15:$D$26)</f>
        <v>0</v>
      </c>
      <c r="E9" s="262">
        <f>SUMPRODUCT(Pārdošana!E$7:E$18,Pieņēmumi!$D$15:$D$26)</f>
        <v>0</v>
      </c>
      <c r="F9" s="262">
        <f>SUMPRODUCT(Pārdošana!F$7:F$18,Pieņēmumi!$D$15:$D$26)</f>
        <v>0</v>
      </c>
      <c r="G9" s="262">
        <f>SUMPRODUCT(Pārdošana!G$7:G$18,Pieņēmumi!$D$15:$D$26)</f>
        <v>0</v>
      </c>
      <c r="H9" s="262">
        <f>SUMPRODUCT(Pārdošana!H$7:H$18,Pieņēmumi!$D$15:$D$26)</f>
        <v>0</v>
      </c>
      <c r="I9" s="262">
        <f>SUMPRODUCT(Pārdošana!I$7:I$18,Pieņēmumi!$D$15:$D$26)</f>
        <v>0</v>
      </c>
      <c r="J9" s="262">
        <f>SUMPRODUCT(Pārdošana!J$7:J$18,Pieņēmumi!$D$15:$D$26)</f>
        <v>0</v>
      </c>
      <c r="K9" s="262">
        <f>SUMPRODUCT(Pārdošana!K$7:K$18,Pieņēmumi!$D$15:$D$26)</f>
        <v>0</v>
      </c>
      <c r="L9" s="262">
        <f>SUMPRODUCT(Pārdošana!L$7:L$18,Pieņēmumi!$D$15:$D$26)</f>
        <v>0</v>
      </c>
      <c r="M9" s="262">
        <f>SUMPRODUCT(Pārdošana!M$7:M$18,Pieņēmumi!$D$15:$D$26)</f>
        <v>0</v>
      </c>
      <c r="N9" s="262">
        <f>SUMPRODUCT(Pārdošana!N$7:N$18,Pieņēmumi!$D$15:$D$26)</f>
        <v>0</v>
      </c>
      <c r="O9" s="370">
        <f t="shared" si="3"/>
        <v>0</v>
      </c>
      <c r="P9" s="404"/>
    </row>
    <row r="10" spans="1:16" x14ac:dyDescent="0.4">
      <c r="A10" s="2"/>
      <c r="B10" s="22" t="s">
        <v>86</v>
      </c>
      <c r="C10" s="262">
        <f>SUMPRODUCT(Pārdošana!C$7:C$18,Pieņēmumi!$E$15:$E$26)</f>
        <v>0</v>
      </c>
      <c r="D10" s="262">
        <f>SUMPRODUCT(Pārdošana!D$7:D$18,Pieņēmumi!$E$15:$E$26)</f>
        <v>0</v>
      </c>
      <c r="E10" s="262">
        <f>SUMPRODUCT(Pārdošana!E$7:E$18,Pieņēmumi!$E$15:$E$26)</f>
        <v>0</v>
      </c>
      <c r="F10" s="262">
        <f>SUMPRODUCT(Pārdošana!F$7:F$18,Pieņēmumi!$E$15:$E$26)</f>
        <v>0</v>
      </c>
      <c r="G10" s="262">
        <f>SUMPRODUCT(Pārdošana!G$7:G$18,Pieņēmumi!$E$15:$E$26)</f>
        <v>0</v>
      </c>
      <c r="H10" s="262">
        <f>SUMPRODUCT(Pārdošana!H$7:H$18,Pieņēmumi!$E$15:$E$26)</f>
        <v>0</v>
      </c>
      <c r="I10" s="262">
        <f>SUMPRODUCT(Pārdošana!I$7:I$18,Pieņēmumi!$E$15:$E$26)</f>
        <v>0</v>
      </c>
      <c r="J10" s="262">
        <f>SUMPRODUCT(Pārdošana!J$7:J$18,Pieņēmumi!$E$15:$E$26)</f>
        <v>0</v>
      </c>
      <c r="K10" s="262">
        <f>SUMPRODUCT(Pārdošana!K$7:K$18,Pieņēmumi!$E$15:$E$26)</f>
        <v>0</v>
      </c>
      <c r="L10" s="262">
        <f>SUMPRODUCT(Pārdošana!L$7:L$18,Pieņēmumi!$E$15:$E$26)</f>
        <v>0</v>
      </c>
      <c r="M10" s="262">
        <f>SUMPRODUCT(Pārdošana!M$7:M$18,Pieņēmumi!$E$15:$E$26)</f>
        <v>0</v>
      </c>
      <c r="N10" s="262">
        <f>SUMPRODUCT(Pārdošana!N$7:N$18,Pieņēmumi!$E$15:$E$26)</f>
        <v>0</v>
      </c>
      <c r="O10" s="370">
        <f>SUM(C10:N10)</f>
        <v>0</v>
      </c>
      <c r="P10" s="404"/>
    </row>
    <row r="11" spans="1:16" x14ac:dyDescent="0.4">
      <c r="A11" s="2"/>
      <c r="B11" s="22" t="s">
        <v>106</v>
      </c>
      <c r="C11" s="262">
        <f>SUMPRODUCT(Pieņēmumi!$D$32:$D$37,Pieņēmumi!$C$32:$C$37)*Pārdošana!C6</f>
        <v>0</v>
      </c>
      <c r="D11" s="262">
        <f>SUMPRODUCT(Pieņēmumi!$D$32:$D$37,Pieņēmumi!$C$32:$C$37)*Pārdošana!D6</f>
        <v>0</v>
      </c>
      <c r="E11" s="262">
        <f>SUMPRODUCT(Pieņēmumi!$D$32:$D$37,Pieņēmumi!$C$32:$C$37)*Pārdošana!E6</f>
        <v>0</v>
      </c>
      <c r="F11" s="262">
        <f>SUMPRODUCT(Pieņēmumi!$D$32:$D$37,Pieņēmumi!$C$32:$C$37)*Pārdošana!F6</f>
        <v>0</v>
      </c>
      <c r="G11" s="262">
        <f>SUMPRODUCT(Pieņēmumi!$D$32:$D$37,Pieņēmumi!$C$32:$C$37)*Pārdošana!G6</f>
        <v>0</v>
      </c>
      <c r="H11" s="262">
        <f>SUMPRODUCT(Pieņēmumi!$D$32:$D$37,Pieņēmumi!$C$32:$C$37)*Pārdošana!H6</f>
        <v>0</v>
      </c>
      <c r="I11" s="262">
        <f>SUMPRODUCT(Pieņēmumi!$D$32:$D$37,Pieņēmumi!$C$32:$C$37)*Pārdošana!I6</f>
        <v>0</v>
      </c>
      <c r="J11" s="262">
        <f>SUMPRODUCT(Pieņēmumi!$D$32:$D$37,Pieņēmumi!$C$32:$C$37)*Pārdošana!J6</f>
        <v>0</v>
      </c>
      <c r="K11" s="262">
        <f>SUMPRODUCT(Pieņēmumi!$D$32:$D$37,Pieņēmumi!$C$32:$C$37)*Pārdošana!K6</f>
        <v>0</v>
      </c>
      <c r="L11" s="262">
        <f>SUMPRODUCT(Pieņēmumi!$D$32:$D$37,Pieņēmumi!$C$32:$C$37)*Pārdošana!L6</f>
        <v>0</v>
      </c>
      <c r="M11" s="262">
        <f>SUMPRODUCT(Pieņēmumi!$D$32:$D$37,Pieņēmumi!$C$32:$C$37)*Pārdošana!M6</f>
        <v>0</v>
      </c>
      <c r="N11" s="262">
        <f>SUMPRODUCT(Pieņēmumi!$D$32:$D$37,Pieņēmumi!$C$32:$C$37)*Pārdošana!N6</f>
        <v>0</v>
      </c>
      <c r="O11" s="370">
        <f>SUM(C11:N11)</f>
        <v>0</v>
      </c>
      <c r="P11" s="404"/>
    </row>
    <row r="12" spans="1:16" x14ac:dyDescent="0.4">
      <c r="A12" s="2"/>
      <c r="B12" s="430" t="s">
        <v>93</v>
      </c>
      <c r="C12" s="291">
        <f>2.8%*Pārdošana!C6</f>
        <v>0</v>
      </c>
      <c r="D12" s="291">
        <f>2.8%*Pārdošana!D6</f>
        <v>0</v>
      </c>
      <c r="E12" s="291">
        <f>2.8%*Pārdošana!E6</f>
        <v>0</v>
      </c>
      <c r="F12" s="291">
        <f>2.8%*Pārdošana!F6</f>
        <v>0</v>
      </c>
      <c r="G12" s="291">
        <f>2.8%*Pārdošana!G6</f>
        <v>0</v>
      </c>
      <c r="H12" s="291">
        <f>2.8%*Pārdošana!H6</f>
        <v>0</v>
      </c>
      <c r="I12" s="291">
        <f>2.8%*Pārdošana!I6</f>
        <v>0</v>
      </c>
      <c r="J12" s="291">
        <f>2.8%*Pārdošana!J6</f>
        <v>0</v>
      </c>
      <c r="K12" s="291">
        <f>2.8%*Pārdošana!K6</f>
        <v>0</v>
      </c>
      <c r="L12" s="291">
        <f>2.8%*Pārdošana!L6</f>
        <v>0</v>
      </c>
      <c r="M12" s="291">
        <f>2.8%*Pārdošana!M6</f>
        <v>0</v>
      </c>
      <c r="N12" s="291">
        <f>2.8%*Pārdošana!N6</f>
        <v>0</v>
      </c>
      <c r="O12" s="370">
        <f>SUM(C12:N12)</f>
        <v>0</v>
      </c>
      <c r="P12" s="404"/>
    </row>
    <row r="13" spans="1:16" x14ac:dyDescent="0.4">
      <c r="A13" s="2"/>
      <c r="B13" s="22" t="s">
        <v>87</v>
      </c>
      <c r="C13" s="262">
        <f>SUMPRODUCT(Pārdošana!C$7:C$18,Pieņēmumi!$F$15:$F$26)</f>
        <v>0</v>
      </c>
      <c r="D13" s="262">
        <f>SUMPRODUCT(Pārdošana!D$7:D$18,Pieņēmumi!$F$15:$F$26)</f>
        <v>0</v>
      </c>
      <c r="E13" s="262">
        <f>SUMPRODUCT(Pārdošana!E$7:E$18,Pieņēmumi!$F$15:$F$26)</f>
        <v>0</v>
      </c>
      <c r="F13" s="262">
        <f>SUMPRODUCT(Pārdošana!F$7:F$18,Pieņēmumi!$F$15:$F$26)</f>
        <v>0</v>
      </c>
      <c r="G13" s="262">
        <f>SUMPRODUCT(Pārdošana!G$7:G$18,Pieņēmumi!$F$15:$F$26)</f>
        <v>0</v>
      </c>
      <c r="H13" s="262">
        <f>SUMPRODUCT(Pārdošana!H$7:H$18,Pieņēmumi!$F$15:$F$26)</f>
        <v>0</v>
      </c>
      <c r="I13" s="262">
        <f>SUMPRODUCT(Pārdošana!I$7:I$18,Pieņēmumi!$F$15:$F$26)</f>
        <v>0</v>
      </c>
      <c r="J13" s="262">
        <f>SUMPRODUCT(Pārdošana!J$7:J$18,Pieņēmumi!$F$15:$F$26)</f>
        <v>0</v>
      </c>
      <c r="K13" s="262">
        <f>SUMPRODUCT(Pārdošana!K$7:K$18,Pieņēmumi!$F$15:$F$26)</f>
        <v>0</v>
      </c>
      <c r="L13" s="262">
        <f>SUMPRODUCT(Pārdošana!L$7:L$18,Pieņēmumi!$F$15:$F$26)</f>
        <v>0</v>
      </c>
      <c r="M13" s="262">
        <f>SUMPRODUCT(Pārdošana!M$7:M$18,Pieņēmumi!$F$15:$F$26)</f>
        <v>0</v>
      </c>
      <c r="N13" s="262">
        <f>SUMPRODUCT(Pārdošana!N$7:N$18,Pieņēmumi!$F$15:$F$26)</f>
        <v>0</v>
      </c>
      <c r="O13" s="370">
        <f t="shared" si="3"/>
        <v>0</v>
      </c>
      <c r="P13" s="404"/>
    </row>
    <row r="14" spans="1:16" x14ac:dyDescent="0.4">
      <c r="A14" s="2"/>
      <c r="B14" s="2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71"/>
      <c r="P14" s="404"/>
    </row>
    <row r="15" spans="1:16" x14ac:dyDescent="0.4">
      <c r="A15" s="2"/>
      <c r="B15" s="66" t="s">
        <v>88</v>
      </c>
      <c r="C15" s="289">
        <f t="shared" ref="C15:N15" si="4">SUM(C16:C20)</f>
        <v>0</v>
      </c>
      <c r="D15" s="289">
        <f t="shared" si="4"/>
        <v>0</v>
      </c>
      <c r="E15" s="289">
        <f t="shared" si="4"/>
        <v>0</v>
      </c>
      <c r="F15" s="289">
        <f t="shared" si="4"/>
        <v>0</v>
      </c>
      <c r="G15" s="289">
        <f t="shared" si="4"/>
        <v>0</v>
      </c>
      <c r="H15" s="289">
        <f t="shared" si="4"/>
        <v>0</v>
      </c>
      <c r="I15" s="289">
        <f t="shared" si="4"/>
        <v>0</v>
      </c>
      <c r="J15" s="289">
        <f t="shared" si="4"/>
        <v>0</v>
      </c>
      <c r="K15" s="289">
        <f t="shared" si="4"/>
        <v>0</v>
      </c>
      <c r="L15" s="289">
        <f t="shared" si="4"/>
        <v>0</v>
      </c>
      <c r="M15" s="289">
        <f t="shared" si="4"/>
        <v>0</v>
      </c>
      <c r="N15" s="289">
        <f t="shared" si="4"/>
        <v>0</v>
      </c>
      <c r="O15" s="369">
        <f t="shared" si="3"/>
        <v>0</v>
      </c>
      <c r="P15" s="404"/>
    </row>
    <row r="16" spans="1:16" x14ac:dyDescent="0.4">
      <c r="A16" s="2"/>
      <c r="B16" s="22" t="s">
        <v>89</v>
      </c>
      <c r="C16" s="290">
        <f>Algas!C64</f>
        <v>0</v>
      </c>
      <c r="D16" s="290">
        <f>Algas!D64</f>
        <v>0</v>
      </c>
      <c r="E16" s="290">
        <f>Algas!E64</f>
        <v>0</v>
      </c>
      <c r="F16" s="290">
        <f>Algas!F64</f>
        <v>0</v>
      </c>
      <c r="G16" s="290">
        <f>Algas!G64</f>
        <v>0</v>
      </c>
      <c r="H16" s="290">
        <f>Algas!H64</f>
        <v>0</v>
      </c>
      <c r="I16" s="290">
        <f>Algas!I64</f>
        <v>0</v>
      </c>
      <c r="J16" s="290">
        <f>Algas!J64</f>
        <v>0</v>
      </c>
      <c r="K16" s="290">
        <f>Algas!K64</f>
        <v>0</v>
      </c>
      <c r="L16" s="290">
        <f>Algas!L64</f>
        <v>0</v>
      </c>
      <c r="M16" s="290">
        <f>Algas!M64</f>
        <v>0</v>
      </c>
      <c r="N16" s="290">
        <f>Algas!N64</f>
        <v>0</v>
      </c>
      <c r="O16" s="370">
        <f>SUM(C16:N16)</f>
        <v>0</v>
      </c>
      <c r="P16" s="404"/>
    </row>
    <row r="17" spans="1:16" x14ac:dyDescent="0.4">
      <c r="A17" s="2"/>
      <c r="B17" s="430" t="s">
        <v>92</v>
      </c>
      <c r="C17" s="291">
        <v>0</v>
      </c>
      <c r="D17" s="291">
        <v>0</v>
      </c>
      <c r="E17" s="291">
        <v>0</v>
      </c>
      <c r="F17" s="291">
        <v>0</v>
      </c>
      <c r="G17" s="291">
        <v>0</v>
      </c>
      <c r="H17" s="291">
        <v>0</v>
      </c>
      <c r="I17" s="291">
        <v>0</v>
      </c>
      <c r="J17" s="291">
        <v>0</v>
      </c>
      <c r="K17" s="291">
        <v>0</v>
      </c>
      <c r="L17" s="291">
        <v>0</v>
      </c>
      <c r="M17" s="291">
        <v>0</v>
      </c>
      <c r="N17" s="291">
        <v>0</v>
      </c>
      <c r="O17" s="370">
        <f>SUM(C17:N17)</f>
        <v>0</v>
      </c>
      <c r="P17" s="404"/>
    </row>
    <row r="18" spans="1:16" x14ac:dyDescent="0.4">
      <c r="A18" s="2"/>
      <c r="B18" s="430" t="s">
        <v>94</v>
      </c>
      <c r="C18" s="291">
        <v>0</v>
      </c>
      <c r="D18" s="291">
        <v>0</v>
      </c>
      <c r="E18" s="291">
        <v>0</v>
      </c>
      <c r="F18" s="291">
        <v>0</v>
      </c>
      <c r="G18" s="291">
        <v>0</v>
      </c>
      <c r="H18" s="291">
        <v>0</v>
      </c>
      <c r="I18" s="291">
        <v>0</v>
      </c>
      <c r="J18" s="291">
        <v>0</v>
      </c>
      <c r="K18" s="291">
        <v>0</v>
      </c>
      <c r="L18" s="291">
        <v>0</v>
      </c>
      <c r="M18" s="291">
        <v>0</v>
      </c>
      <c r="N18" s="291">
        <v>0</v>
      </c>
      <c r="O18" s="370">
        <f>SUM(C18:N18)</f>
        <v>0</v>
      </c>
      <c r="P18" s="404"/>
    </row>
    <row r="19" spans="1:16" x14ac:dyDescent="0.4">
      <c r="A19" s="2"/>
      <c r="B19" s="430" t="s">
        <v>95</v>
      </c>
      <c r="C19" s="291">
        <v>0</v>
      </c>
      <c r="D19" s="291">
        <v>0</v>
      </c>
      <c r="E19" s="291">
        <v>0</v>
      </c>
      <c r="F19" s="291">
        <v>0</v>
      </c>
      <c r="G19" s="291">
        <v>0</v>
      </c>
      <c r="H19" s="291">
        <v>0</v>
      </c>
      <c r="I19" s="291">
        <v>0</v>
      </c>
      <c r="J19" s="291">
        <v>0</v>
      </c>
      <c r="K19" s="291">
        <v>0</v>
      </c>
      <c r="L19" s="291">
        <v>0</v>
      </c>
      <c r="M19" s="291">
        <v>0</v>
      </c>
      <c r="N19" s="291">
        <v>0</v>
      </c>
      <c r="O19" s="370">
        <f>SUM(C19:N19)</f>
        <v>0</v>
      </c>
      <c r="P19" s="404"/>
    </row>
    <row r="20" spans="1:16" x14ac:dyDescent="0.4">
      <c r="A20" s="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145"/>
      <c r="P20" s="404"/>
    </row>
    <row r="27" spans="1:16" x14ac:dyDescent="0.4">
      <c r="F27" s="189"/>
    </row>
  </sheetData>
  <sheetProtection formatColumns="0" formatRows="0" selectLockedCells="1"/>
  <pageMargins left="0.7" right="0.7" top="0.75" bottom="0.75" header="0.3" footer="0.3"/>
  <pageSetup paperSize="9" orientation="portrait" r:id="rId1"/>
  <ignoredErrors>
    <ignoredError sqref="C16:N16" unlocked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B2:P93"/>
  <sheetViews>
    <sheetView showGridLines="0" zoomScale="85" zoomScaleNormal="85" workbookViewId="0">
      <pane ySplit="4" topLeftCell="A17" activePane="bottomLeft" state="frozen"/>
      <selection pane="bottomLeft" activeCell="B37" sqref="B37"/>
    </sheetView>
  </sheetViews>
  <sheetFormatPr defaultColWidth="9.1328125" defaultRowHeight="14.25" x14ac:dyDescent="0.4"/>
  <cols>
    <col min="1" max="1" width="5.53125" style="196" customWidth="1"/>
    <col min="2" max="2" width="42.53125" style="148" customWidth="1"/>
    <col min="3" max="3" width="12.46484375" style="196" customWidth="1"/>
    <col min="4" max="4" width="11.53125" style="196" customWidth="1"/>
    <col min="5" max="14" width="11.1328125" style="196" customWidth="1"/>
    <col min="15" max="15" width="17.53125" style="197" bestFit="1" customWidth="1"/>
    <col min="16" max="16" width="11.53125" style="405" bestFit="1" customWidth="1"/>
    <col min="17" max="16384" width="9.1328125" style="196"/>
  </cols>
  <sheetData>
    <row r="2" spans="2:16" ht="15.4" thickBot="1" x14ac:dyDescent="0.45">
      <c r="B2" s="191" t="str">
        <f>LEFT(Pieņēmumi!$B$2,FIND("Budžets",Pieņēmumi!$B$2)-1)&amp;"Algu budžets "</f>
        <v xml:space="preserve">Spēka ražotājs Algu budžets 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</row>
    <row r="3" spans="2:16" ht="17.649999999999999" thickTop="1" x14ac:dyDescent="0.45">
      <c r="B3" s="199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</row>
    <row r="4" spans="2:16" x14ac:dyDescent="0.4">
      <c r="B4" s="38"/>
      <c r="C4" s="10" t="str">
        <f>LEFT(Pieņēmumi!E7,3)</f>
        <v>Jan</v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40" t="s">
        <v>165</v>
      </c>
    </row>
    <row r="5" spans="2:16" x14ac:dyDescent="0.4">
      <c r="B5" s="199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372"/>
    </row>
    <row r="6" spans="2:16" s="198" customFormat="1" x14ac:dyDescent="0.4">
      <c r="B6" s="135" t="s">
        <v>108</v>
      </c>
      <c r="C6" s="136">
        <f t="shared" ref="C6:N6" si="1">C49+C64+C79</f>
        <v>0</v>
      </c>
      <c r="D6" s="136">
        <f t="shared" si="1"/>
        <v>0</v>
      </c>
      <c r="E6" s="136">
        <f t="shared" si="1"/>
        <v>0</v>
      </c>
      <c r="F6" s="136">
        <f t="shared" si="1"/>
        <v>0</v>
      </c>
      <c r="G6" s="136">
        <f t="shared" si="1"/>
        <v>0</v>
      </c>
      <c r="H6" s="136">
        <f t="shared" si="1"/>
        <v>0</v>
      </c>
      <c r="I6" s="136">
        <f t="shared" si="1"/>
        <v>0</v>
      </c>
      <c r="J6" s="136">
        <f t="shared" si="1"/>
        <v>0</v>
      </c>
      <c r="K6" s="136">
        <f t="shared" si="1"/>
        <v>0</v>
      </c>
      <c r="L6" s="136">
        <f t="shared" si="1"/>
        <v>0</v>
      </c>
      <c r="M6" s="136">
        <f t="shared" si="1"/>
        <v>0</v>
      </c>
      <c r="N6" s="136">
        <f t="shared" si="1"/>
        <v>0</v>
      </c>
      <c r="O6" s="373">
        <f>SUM(C6:N6)</f>
        <v>0</v>
      </c>
      <c r="P6" s="406"/>
    </row>
    <row r="7" spans="2:16" s="198" customFormat="1" x14ac:dyDescent="0.4">
      <c r="B7" s="7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374"/>
      <c r="P7" s="407"/>
    </row>
    <row r="8" spans="2:16" s="198" customFormat="1" x14ac:dyDescent="0.4">
      <c r="B8" s="28" t="s">
        <v>113</v>
      </c>
      <c r="C8" s="76">
        <f t="shared" ref="C8:O8" si="2">SUM(C9:C10)</f>
        <v>0</v>
      </c>
      <c r="D8" s="76">
        <f t="shared" si="2"/>
        <v>0</v>
      </c>
      <c r="E8" s="76">
        <f t="shared" si="2"/>
        <v>0</v>
      </c>
      <c r="F8" s="76">
        <f t="shared" si="2"/>
        <v>0</v>
      </c>
      <c r="G8" s="76">
        <f t="shared" si="2"/>
        <v>0</v>
      </c>
      <c r="H8" s="76">
        <f t="shared" si="2"/>
        <v>0</v>
      </c>
      <c r="I8" s="76">
        <f t="shared" si="2"/>
        <v>0</v>
      </c>
      <c r="J8" s="76">
        <f t="shared" si="2"/>
        <v>0</v>
      </c>
      <c r="K8" s="76">
        <f t="shared" si="2"/>
        <v>0</v>
      </c>
      <c r="L8" s="76">
        <f t="shared" si="2"/>
        <v>0</v>
      </c>
      <c r="M8" s="76">
        <f t="shared" si="2"/>
        <v>0</v>
      </c>
      <c r="N8" s="76">
        <f t="shared" si="2"/>
        <v>0</v>
      </c>
      <c r="O8" s="375">
        <f t="shared" si="2"/>
        <v>0</v>
      </c>
      <c r="P8" s="407"/>
    </row>
    <row r="9" spans="2:16" s="198" customFormat="1" x14ac:dyDescent="0.4">
      <c r="B9" s="77" t="s">
        <v>114</v>
      </c>
      <c r="C9" s="78">
        <f t="shared" ref="C9:N9" si="3">C60</f>
        <v>0</v>
      </c>
      <c r="D9" s="78">
        <f t="shared" si="3"/>
        <v>0</v>
      </c>
      <c r="E9" s="78">
        <f t="shared" si="3"/>
        <v>0</v>
      </c>
      <c r="F9" s="78">
        <f t="shared" si="3"/>
        <v>0</v>
      </c>
      <c r="G9" s="78">
        <f t="shared" si="3"/>
        <v>0</v>
      </c>
      <c r="H9" s="78">
        <f t="shared" si="3"/>
        <v>0</v>
      </c>
      <c r="I9" s="78">
        <f t="shared" si="3"/>
        <v>0</v>
      </c>
      <c r="J9" s="78">
        <f t="shared" si="3"/>
        <v>0</v>
      </c>
      <c r="K9" s="78">
        <f t="shared" si="3"/>
        <v>0</v>
      </c>
      <c r="L9" s="78">
        <f t="shared" si="3"/>
        <v>0</v>
      </c>
      <c r="M9" s="78">
        <f t="shared" si="3"/>
        <v>0</v>
      </c>
      <c r="N9" s="78">
        <f t="shared" si="3"/>
        <v>0</v>
      </c>
      <c r="O9" s="376">
        <f>O60</f>
        <v>0</v>
      </c>
      <c r="P9" s="407"/>
    </row>
    <row r="10" spans="2:16" s="198" customFormat="1" x14ac:dyDescent="0.4">
      <c r="B10" s="77" t="s">
        <v>54</v>
      </c>
      <c r="C10" s="78">
        <f t="shared" ref="C10:N10" si="4">C61</f>
        <v>0</v>
      </c>
      <c r="D10" s="78">
        <f t="shared" si="4"/>
        <v>0</v>
      </c>
      <c r="E10" s="78">
        <f t="shared" si="4"/>
        <v>0</v>
      </c>
      <c r="F10" s="78">
        <f t="shared" si="4"/>
        <v>0</v>
      </c>
      <c r="G10" s="78">
        <f t="shared" si="4"/>
        <v>0</v>
      </c>
      <c r="H10" s="78">
        <f t="shared" si="4"/>
        <v>0</v>
      </c>
      <c r="I10" s="78">
        <f t="shared" si="4"/>
        <v>0</v>
      </c>
      <c r="J10" s="78">
        <f t="shared" si="4"/>
        <v>0</v>
      </c>
      <c r="K10" s="78">
        <f t="shared" si="4"/>
        <v>0</v>
      </c>
      <c r="L10" s="78">
        <f t="shared" si="4"/>
        <v>0</v>
      </c>
      <c r="M10" s="78">
        <f t="shared" si="4"/>
        <v>0</v>
      </c>
      <c r="N10" s="78">
        <f t="shared" si="4"/>
        <v>0</v>
      </c>
      <c r="O10" s="376">
        <f>O61</f>
        <v>0</v>
      </c>
      <c r="P10" s="407"/>
    </row>
    <row r="11" spans="2:16" s="198" customFormat="1" x14ac:dyDescent="0.4">
      <c r="B11" s="79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374"/>
      <c r="P11" s="407"/>
    </row>
    <row r="12" spans="2:16" s="198" customFormat="1" x14ac:dyDescent="0.4">
      <c r="B12" s="28" t="s">
        <v>120</v>
      </c>
      <c r="C12" s="76">
        <f t="shared" ref="C12:O12" si="5">SUM(C13:C15)</f>
        <v>0</v>
      </c>
      <c r="D12" s="76">
        <f t="shared" si="5"/>
        <v>0</v>
      </c>
      <c r="E12" s="76">
        <f t="shared" si="5"/>
        <v>0</v>
      </c>
      <c r="F12" s="76">
        <f t="shared" si="5"/>
        <v>0</v>
      </c>
      <c r="G12" s="76">
        <f t="shared" si="5"/>
        <v>0</v>
      </c>
      <c r="H12" s="76">
        <f t="shared" si="5"/>
        <v>0</v>
      </c>
      <c r="I12" s="76">
        <f t="shared" si="5"/>
        <v>0</v>
      </c>
      <c r="J12" s="76">
        <f t="shared" si="5"/>
        <v>0</v>
      </c>
      <c r="K12" s="76">
        <f t="shared" si="5"/>
        <v>0</v>
      </c>
      <c r="L12" s="76">
        <f t="shared" si="5"/>
        <v>0</v>
      </c>
      <c r="M12" s="76">
        <f t="shared" si="5"/>
        <v>0</v>
      </c>
      <c r="N12" s="76">
        <f t="shared" si="5"/>
        <v>0</v>
      </c>
      <c r="O12" s="375">
        <f t="shared" si="5"/>
        <v>0</v>
      </c>
      <c r="P12" s="407"/>
    </row>
    <row r="13" spans="2:16" s="198" customFormat="1" x14ac:dyDescent="0.4">
      <c r="B13" s="77" t="s">
        <v>115</v>
      </c>
      <c r="C13" s="78">
        <f t="shared" ref="C13:N13" si="6">C75</f>
        <v>0</v>
      </c>
      <c r="D13" s="78">
        <f t="shared" si="6"/>
        <v>0</v>
      </c>
      <c r="E13" s="78">
        <f t="shared" si="6"/>
        <v>0</v>
      </c>
      <c r="F13" s="78">
        <f t="shared" si="6"/>
        <v>0</v>
      </c>
      <c r="G13" s="78">
        <f t="shared" si="6"/>
        <v>0</v>
      </c>
      <c r="H13" s="78">
        <f t="shared" si="6"/>
        <v>0</v>
      </c>
      <c r="I13" s="78">
        <f t="shared" si="6"/>
        <v>0</v>
      </c>
      <c r="J13" s="78">
        <f t="shared" si="6"/>
        <v>0</v>
      </c>
      <c r="K13" s="78">
        <f t="shared" si="6"/>
        <v>0</v>
      </c>
      <c r="L13" s="78">
        <f t="shared" si="6"/>
        <v>0</v>
      </c>
      <c r="M13" s="78">
        <f t="shared" si="6"/>
        <v>0</v>
      </c>
      <c r="N13" s="78">
        <f t="shared" si="6"/>
        <v>0</v>
      </c>
      <c r="O13" s="376">
        <f>O75</f>
        <v>0</v>
      </c>
      <c r="P13" s="407"/>
    </row>
    <row r="14" spans="2:16" s="198" customFormat="1" x14ac:dyDescent="0.4">
      <c r="B14" s="77" t="s">
        <v>116</v>
      </c>
      <c r="C14" s="78">
        <f>C92</f>
        <v>0</v>
      </c>
      <c r="D14" s="78">
        <f t="shared" ref="D14:O14" si="7">D92</f>
        <v>0</v>
      </c>
      <c r="E14" s="78">
        <f t="shared" si="7"/>
        <v>0</v>
      </c>
      <c r="F14" s="78">
        <f t="shared" si="7"/>
        <v>0</v>
      </c>
      <c r="G14" s="78">
        <f t="shared" si="7"/>
        <v>0</v>
      </c>
      <c r="H14" s="78">
        <f t="shared" si="7"/>
        <v>0</v>
      </c>
      <c r="I14" s="78">
        <f t="shared" si="7"/>
        <v>0</v>
      </c>
      <c r="J14" s="78">
        <f t="shared" si="7"/>
        <v>0</v>
      </c>
      <c r="K14" s="78">
        <f t="shared" si="7"/>
        <v>0</v>
      </c>
      <c r="L14" s="78">
        <f t="shared" si="7"/>
        <v>0</v>
      </c>
      <c r="M14" s="78">
        <f t="shared" si="7"/>
        <v>0</v>
      </c>
      <c r="N14" s="78">
        <f t="shared" si="7"/>
        <v>0</v>
      </c>
      <c r="O14" s="376">
        <f t="shared" si="7"/>
        <v>0</v>
      </c>
      <c r="P14" s="407"/>
    </row>
    <row r="15" spans="2:16" s="198" customFormat="1" x14ac:dyDescent="0.4">
      <c r="B15" s="77" t="str">
        <f>B10</f>
        <v>DDSN</v>
      </c>
      <c r="C15" s="78">
        <f t="shared" ref="C15:O15" si="8">SUM(C76,C93)</f>
        <v>0</v>
      </c>
      <c r="D15" s="78">
        <f t="shared" si="8"/>
        <v>0</v>
      </c>
      <c r="E15" s="78">
        <f t="shared" si="8"/>
        <v>0</v>
      </c>
      <c r="F15" s="78">
        <f t="shared" si="8"/>
        <v>0</v>
      </c>
      <c r="G15" s="78">
        <f t="shared" si="8"/>
        <v>0</v>
      </c>
      <c r="H15" s="78">
        <f t="shared" si="8"/>
        <v>0</v>
      </c>
      <c r="I15" s="78">
        <f t="shared" si="8"/>
        <v>0</v>
      </c>
      <c r="J15" s="78">
        <f t="shared" si="8"/>
        <v>0</v>
      </c>
      <c r="K15" s="78">
        <f t="shared" si="8"/>
        <v>0</v>
      </c>
      <c r="L15" s="78">
        <f t="shared" si="8"/>
        <v>0</v>
      </c>
      <c r="M15" s="78">
        <f t="shared" si="8"/>
        <v>0</v>
      </c>
      <c r="N15" s="78">
        <f t="shared" si="8"/>
        <v>0</v>
      </c>
      <c r="O15" s="376">
        <f t="shared" si="8"/>
        <v>0</v>
      </c>
      <c r="P15" s="407"/>
    </row>
    <row r="16" spans="2:16" s="198" customFormat="1" x14ac:dyDescent="0.4"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376"/>
      <c r="P16" s="407"/>
    </row>
    <row r="17" spans="2:16" s="198" customFormat="1" x14ac:dyDescent="0.4">
      <c r="B17" s="74" t="s">
        <v>117</v>
      </c>
      <c r="C17" s="78">
        <f t="shared" ref="C17:N17" si="9">SUM(C24:C33,C36:C45)</f>
        <v>0</v>
      </c>
      <c r="D17" s="78">
        <f t="shared" si="9"/>
        <v>0</v>
      </c>
      <c r="E17" s="78">
        <f t="shared" si="9"/>
        <v>0</v>
      </c>
      <c r="F17" s="78">
        <f t="shared" si="9"/>
        <v>0</v>
      </c>
      <c r="G17" s="78">
        <f t="shared" si="9"/>
        <v>0</v>
      </c>
      <c r="H17" s="78">
        <f t="shared" si="9"/>
        <v>0</v>
      </c>
      <c r="I17" s="78">
        <f t="shared" si="9"/>
        <v>0</v>
      </c>
      <c r="J17" s="78">
        <f t="shared" si="9"/>
        <v>0</v>
      </c>
      <c r="K17" s="78">
        <f t="shared" si="9"/>
        <v>0</v>
      </c>
      <c r="L17" s="78">
        <f t="shared" si="9"/>
        <v>0</v>
      </c>
      <c r="M17" s="78">
        <f t="shared" si="9"/>
        <v>0</v>
      </c>
      <c r="N17" s="78">
        <f t="shared" si="9"/>
        <v>0</v>
      </c>
      <c r="O17" s="377">
        <f>AVERAGE(C17:N17)</f>
        <v>0</v>
      </c>
      <c r="P17" s="407"/>
    </row>
    <row r="18" spans="2:16" s="198" customFormat="1" x14ac:dyDescent="0.4">
      <c r="B18" s="74" t="s">
        <v>119</v>
      </c>
      <c r="C18" s="78">
        <f t="shared" ref="C18:O18" si="10">IFERROR(C6/C17,0)</f>
        <v>0</v>
      </c>
      <c r="D18" s="78">
        <f t="shared" si="10"/>
        <v>0</v>
      </c>
      <c r="E18" s="78">
        <f t="shared" si="10"/>
        <v>0</v>
      </c>
      <c r="F18" s="78">
        <f t="shared" si="10"/>
        <v>0</v>
      </c>
      <c r="G18" s="78">
        <f t="shared" si="10"/>
        <v>0</v>
      </c>
      <c r="H18" s="78">
        <f t="shared" si="10"/>
        <v>0</v>
      </c>
      <c r="I18" s="78">
        <f t="shared" si="10"/>
        <v>0</v>
      </c>
      <c r="J18" s="78">
        <f t="shared" si="10"/>
        <v>0</v>
      </c>
      <c r="K18" s="78">
        <f t="shared" si="10"/>
        <v>0</v>
      </c>
      <c r="L18" s="78">
        <f t="shared" si="10"/>
        <v>0</v>
      </c>
      <c r="M18" s="78">
        <f t="shared" si="10"/>
        <v>0</v>
      </c>
      <c r="N18" s="78">
        <f t="shared" si="10"/>
        <v>0</v>
      </c>
      <c r="O18" s="376">
        <f t="shared" si="10"/>
        <v>0</v>
      </c>
      <c r="P18" s="407"/>
    </row>
    <row r="19" spans="2:16" s="198" customFormat="1" x14ac:dyDescent="0.4">
      <c r="B19" s="74" t="s">
        <v>118</v>
      </c>
      <c r="C19" s="78">
        <f>C18/(1+Pieņēmumi!$J$14)</f>
        <v>0</v>
      </c>
      <c r="D19" s="78">
        <f>D18/(1+Pieņēmumi!$J$14)</f>
        <v>0</v>
      </c>
      <c r="E19" s="78">
        <f>E18/(1+Pieņēmumi!$J$14)</f>
        <v>0</v>
      </c>
      <c r="F19" s="78">
        <f>F18/(1+Pieņēmumi!$J$14)</f>
        <v>0</v>
      </c>
      <c r="G19" s="78">
        <f>G18/(1+Pieņēmumi!$J$14)</f>
        <v>0</v>
      </c>
      <c r="H19" s="78">
        <f>H18/(1+Pieņēmumi!$J$14)</f>
        <v>0</v>
      </c>
      <c r="I19" s="78">
        <f>I18/(1+Pieņēmumi!$J$14)</f>
        <v>0</v>
      </c>
      <c r="J19" s="78">
        <f>J18/(1+Pieņēmumi!$J$14)</f>
        <v>0</v>
      </c>
      <c r="K19" s="78">
        <f>K18/(1+Pieņēmumi!$J$14)</f>
        <v>0</v>
      </c>
      <c r="L19" s="78">
        <f>L18/(1+Pieņēmumi!$J$14)</f>
        <v>0</v>
      </c>
      <c r="M19" s="78">
        <f>M18/(1+Pieņēmumi!$J$14)</f>
        <v>0</v>
      </c>
      <c r="N19" s="78">
        <f>N18/(1+Pieņēmumi!$J$14)</f>
        <v>0</v>
      </c>
      <c r="O19" s="376">
        <f>O18/(1+Pieņēmumi!$J$14)</f>
        <v>0</v>
      </c>
      <c r="P19" s="407"/>
    </row>
    <row r="20" spans="2:16" s="198" customFormat="1" x14ac:dyDescent="0.4">
      <c r="B20" s="80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378"/>
      <c r="P20" s="407"/>
    </row>
    <row r="21" spans="2:16" s="198" customFormat="1" x14ac:dyDescent="0.4">
      <c r="B21" s="202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379"/>
      <c r="P21" s="407"/>
    </row>
    <row r="22" spans="2:16" s="198" customFormat="1" x14ac:dyDescent="0.4">
      <c r="B22" s="202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379"/>
      <c r="P22" s="407"/>
    </row>
    <row r="23" spans="2:16" s="198" customFormat="1" ht="28.5" customHeight="1" x14ac:dyDescent="0.4">
      <c r="B23" s="190" t="s">
        <v>110</v>
      </c>
      <c r="C23" s="390" t="s">
        <v>112</v>
      </c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1" t="s">
        <v>121</v>
      </c>
      <c r="P23" s="407"/>
    </row>
    <row r="24" spans="2:16" s="198" customFormat="1" x14ac:dyDescent="0.4">
      <c r="B24" s="82" t="s">
        <v>122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0</v>
      </c>
      <c r="O24" s="380">
        <v>0</v>
      </c>
      <c r="P24" s="407"/>
    </row>
    <row r="25" spans="2:16" s="198" customFormat="1" x14ac:dyDescent="0.4">
      <c r="B25" s="82" t="s">
        <v>123</v>
      </c>
      <c r="C25" s="83">
        <v>0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380">
        <v>0</v>
      </c>
      <c r="P25" s="407"/>
    </row>
    <row r="26" spans="2:16" s="198" customFormat="1" x14ac:dyDescent="0.4">
      <c r="B26" s="82" t="s">
        <v>124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380">
        <v>0</v>
      </c>
      <c r="P26" s="407"/>
    </row>
    <row r="27" spans="2:16" x14ac:dyDescent="0.4">
      <c r="B27" s="82" t="s">
        <v>125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380">
        <v>0</v>
      </c>
    </row>
    <row r="28" spans="2:16" x14ac:dyDescent="0.4">
      <c r="B28" s="82" t="s">
        <v>128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380">
        <v>0</v>
      </c>
    </row>
    <row r="29" spans="2:16" x14ac:dyDescent="0.4">
      <c r="B29" s="82" t="s">
        <v>126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380">
        <v>0</v>
      </c>
    </row>
    <row r="30" spans="2:16" x14ac:dyDescent="0.4">
      <c r="B30" s="82" t="s">
        <v>255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380">
        <v>0</v>
      </c>
    </row>
    <row r="31" spans="2:16" x14ac:dyDescent="0.4">
      <c r="B31" s="82" t="s">
        <v>256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380">
        <v>0</v>
      </c>
    </row>
    <row r="32" spans="2:16" x14ac:dyDescent="0.4">
      <c r="B32" s="82" t="s">
        <v>257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380">
        <v>0</v>
      </c>
    </row>
    <row r="33" spans="2:15" x14ac:dyDescent="0.4">
      <c r="B33" s="82" t="s">
        <v>258</v>
      </c>
      <c r="C33" s="83">
        <v>0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380">
        <v>0</v>
      </c>
    </row>
    <row r="34" spans="2:15" x14ac:dyDescent="0.4">
      <c r="B34" s="82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380"/>
    </row>
    <row r="35" spans="2:15" ht="28.5" customHeight="1" x14ac:dyDescent="0.4">
      <c r="B35" s="190" t="s">
        <v>111</v>
      </c>
      <c r="C35" s="390" t="s">
        <v>112</v>
      </c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2" t="s">
        <v>109</v>
      </c>
    </row>
    <row r="36" spans="2:15" x14ac:dyDescent="0.4">
      <c r="B36" s="82" t="s">
        <v>247</v>
      </c>
      <c r="C36" s="83">
        <v>0</v>
      </c>
      <c r="D36" s="83">
        <v>0</v>
      </c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380">
        <v>0</v>
      </c>
    </row>
    <row r="37" spans="2:15" x14ac:dyDescent="0.4">
      <c r="B37" s="82" t="s">
        <v>140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380">
        <v>0</v>
      </c>
    </row>
    <row r="38" spans="2:15" x14ac:dyDescent="0.4">
      <c r="B38" s="82" t="s">
        <v>141</v>
      </c>
      <c r="C38" s="83">
        <v>0</v>
      </c>
      <c r="D38" s="83">
        <v>0</v>
      </c>
      <c r="E38" s="83">
        <v>0</v>
      </c>
      <c r="F38" s="83">
        <v>0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380">
        <v>0</v>
      </c>
    </row>
    <row r="39" spans="2:15" x14ac:dyDescent="0.4">
      <c r="B39" s="82" t="s">
        <v>259</v>
      </c>
      <c r="C39" s="83">
        <v>0</v>
      </c>
      <c r="D39" s="83">
        <v>0</v>
      </c>
      <c r="E39" s="83">
        <v>0</v>
      </c>
      <c r="F39" s="83">
        <v>0</v>
      </c>
      <c r="G39" s="83">
        <v>0</v>
      </c>
      <c r="H39" s="83">
        <v>0</v>
      </c>
      <c r="I39" s="83">
        <v>0</v>
      </c>
      <c r="J39" s="83">
        <v>0</v>
      </c>
      <c r="K39" s="83">
        <v>0</v>
      </c>
      <c r="L39" s="83">
        <v>0</v>
      </c>
      <c r="M39" s="83">
        <v>0</v>
      </c>
      <c r="N39" s="83">
        <v>0</v>
      </c>
      <c r="O39" s="380">
        <v>0</v>
      </c>
    </row>
    <row r="40" spans="2:15" x14ac:dyDescent="0.4">
      <c r="B40" s="82" t="s">
        <v>261</v>
      </c>
      <c r="C40" s="83">
        <v>0</v>
      </c>
      <c r="D40" s="83">
        <v>0</v>
      </c>
      <c r="E40" s="83">
        <v>0</v>
      </c>
      <c r="F40" s="83">
        <v>0</v>
      </c>
      <c r="G40" s="83">
        <v>0</v>
      </c>
      <c r="H40" s="83">
        <v>0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380">
        <v>0</v>
      </c>
    </row>
    <row r="41" spans="2:15" x14ac:dyDescent="0.4">
      <c r="B41" s="82" t="s">
        <v>260</v>
      </c>
      <c r="C41" s="83">
        <v>0</v>
      </c>
      <c r="D41" s="83">
        <v>0</v>
      </c>
      <c r="E41" s="83">
        <v>0</v>
      </c>
      <c r="F41" s="83">
        <v>0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380">
        <v>0</v>
      </c>
    </row>
    <row r="42" spans="2:15" x14ac:dyDescent="0.4">
      <c r="B42" s="82" t="s">
        <v>255</v>
      </c>
      <c r="C42" s="83">
        <v>0</v>
      </c>
      <c r="D42" s="83">
        <v>0</v>
      </c>
      <c r="E42" s="83">
        <v>0</v>
      </c>
      <c r="F42" s="83">
        <v>0</v>
      </c>
      <c r="G42" s="83">
        <v>0</v>
      </c>
      <c r="H42" s="83">
        <v>0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380">
        <v>0</v>
      </c>
    </row>
    <row r="43" spans="2:15" x14ac:dyDescent="0.4">
      <c r="B43" s="82" t="s">
        <v>256</v>
      </c>
      <c r="C43" s="83">
        <v>0</v>
      </c>
      <c r="D43" s="83">
        <v>0</v>
      </c>
      <c r="E43" s="83">
        <v>0</v>
      </c>
      <c r="F43" s="83">
        <v>0</v>
      </c>
      <c r="G43" s="83">
        <v>0</v>
      </c>
      <c r="H43" s="83">
        <v>0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380">
        <v>0</v>
      </c>
    </row>
    <row r="44" spans="2:15" x14ac:dyDescent="0.4">
      <c r="B44" s="82" t="s">
        <v>257</v>
      </c>
      <c r="C44" s="83">
        <v>0</v>
      </c>
      <c r="D44" s="83">
        <v>0</v>
      </c>
      <c r="E44" s="83">
        <v>0</v>
      </c>
      <c r="F44" s="83">
        <v>0</v>
      </c>
      <c r="G44" s="83">
        <v>0</v>
      </c>
      <c r="H44" s="83">
        <v>0</v>
      </c>
      <c r="I44" s="83">
        <v>0</v>
      </c>
      <c r="J44" s="83">
        <v>0</v>
      </c>
      <c r="K44" s="83">
        <v>0</v>
      </c>
      <c r="L44" s="83">
        <v>0</v>
      </c>
      <c r="M44" s="83">
        <v>0</v>
      </c>
      <c r="N44" s="83">
        <v>0</v>
      </c>
      <c r="O44" s="380">
        <v>0</v>
      </c>
    </row>
    <row r="45" spans="2:15" x14ac:dyDescent="0.4">
      <c r="B45" s="82" t="s">
        <v>258</v>
      </c>
      <c r="C45" s="83">
        <v>0</v>
      </c>
      <c r="D45" s="83">
        <v>0</v>
      </c>
      <c r="E45" s="83">
        <v>0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380">
        <v>0</v>
      </c>
    </row>
    <row r="46" spans="2:15" x14ac:dyDescent="0.4"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</row>
    <row r="47" spans="2:15" x14ac:dyDescent="0.4">
      <c r="O47" s="381"/>
    </row>
    <row r="48" spans="2:15" x14ac:dyDescent="0.4">
      <c r="O48" s="381"/>
    </row>
    <row r="49" spans="2:16" x14ac:dyDescent="0.4">
      <c r="B49" s="194" t="s">
        <v>127</v>
      </c>
      <c r="C49" s="204">
        <f t="shared" ref="C49:N49" si="11">SUM(C60,C61:C61)</f>
        <v>0</v>
      </c>
      <c r="D49" s="204">
        <f t="shared" si="11"/>
        <v>0</v>
      </c>
      <c r="E49" s="204">
        <f t="shared" si="11"/>
        <v>0</v>
      </c>
      <c r="F49" s="204">
        <f t="shared" si="11"/>
        <v>0</v>
      </c>
      <c r="G49" s="204">
        <f t="shared" si="11"/>
        <v>0</v>
      </c>
      <c r="H49" s="204">
        <f t="shared" si="11"/>
        <v>0</v>
      </c>
      <c r="I49" s="204">
        <f t="shared" si="11"/>
        <v>0</v>
      </c>
      <c r="J49" s="204">
        <f t="shared" si="11"/>
        <v>0</v>
      </c>
      <c r="K49" s="204">
        <f t="shared" si="11"/>
        <v>0</v>
      </c>
      <c r="L49" s="204">
        <f t="shared" si="11"/>
        <v>0</v>
      </c>
      <c r="M49" s="204">
        <f t="shared" si="11"/>
        <v>0</v>
      </c>
      <c r="N49" s="204">
        <f t="shared" si="11"/>
        <v>0</v>
      </c>
      <c r="O49" s="382">
        <f>SUM(C49:N49)</f>
        <v>0</v>
      </c>
      <c r="P49" s="439"/>
    </row>
    <row r="50" spans="2:16" x14ac:dyDescent="0.4">
      <c r="B50" s="107" t="str">
        <f t="shared" ref="B50:B59" si="12">B24</f>
        <v>Valde</v>
      </c>
      <c r="C50" s="84">
        <f>$O24*C24</f>
        <v>0</v>
      </c>
      <c r="D50" s="84">
        <f t="shared" ref="D50:N50" si="13">$O24*D24</f>
        <v>0</v>
      </c>
      <c r="E50" s="84">
        <f t="shared" si="13"/>
        <v>0</v>
      </c>
      <c r="F50" s="84">
        <f t="shared" si="13"/>
        <v>0</v>
      </c>
      <c r="G50" s="84">
        <f t="shared" si="13"/>
        <v>0</v>
      </c>
      <c r="H50" s="84">
        <f t="shared" si="13"/>
        <v>0</v>
      </c>
      <c r="I50" s="84">
        <f t="shared" si="13"/>
        <v>0</v>
      </c>
      <c r="J50" s="84">
        <f t="shared" si="13"/>
        <v>0</v>
      </c>
      <c r="K50" s="84">
        <f t="shared" si="13"/>
        <v>0</v>
      </c>
      <c r="L50" s="84">
        <f t="shared" si="13"/>
        <v>0</v>
      </c>
      <c r="M50" s="84">
        <f t="shared" si="13"/>
        <v>0</v>
      </c>
      <c r="N50" s="84">
        <f t="shared" si="13"/>
        <v>0</v>
      </c>
      <c r="O50" s="383">
        <f t="shared" ref="O50:O59" si="14">IF($B50="","",SUM(C50:N50))</f>
        <v>0</v>
      </c>
    </row>
    <row r="51" spans="2:16" x14ac:dyDescent="0.4">
      <c r="B51" s="107" t="str">
        <f t="shared" si="12"/>
        <v>Pārdošana un mārketings</v>
      </c>
      <c r="C51" s="84">
        <f t="shared" ref="C51:N51" si="15">$O25*C25</f>
        <v>0</v>
      </c>
      <c r="D51" s="84">
        <f t="shared" si="15"/>
        <v>0</v>
      </c>
      <c r="E51" s="84">
        <f t="shared" si="15"/>
        <v>0</v>
      </c>
      <c r="F51" s="84">
        <f t="shared" si="15"/>
        <v>0</v>
      </c>
      <c r="G51" s="84">
        <f t="shared" si="15"/>
        <v>0</v>
      </c>
      <c r="H51" s="84">
        <f t="shared" si="15"/>
        <v>0</v>
      </c>
      <c r="I51" s="84">
        <f t="shared" si="15"/>
        <v>0</v>
      </c>
      <c r="J51" s="84">
        <f t="shared" si="15"/>
        <v>0</v>
      </c>
      <c r="K51" s="84">
        <f t="shared" si="15"/>
        <v>0</v>
      </c>
      <c r="L51" s="84">
        <f t="shared" si="15"/>
        <v>0</v>
      </c>
      <c r="M51" s="84">
        <f t="shared" si="15"/>
        <v>0</v>
      </c>
      <c r="N51" s="84">
        <f t="shared" si="15"/>
        <v>0</v>
      </c>
      <c r="O51" s="383">
        <f t="shared" si="14"/>
        <v>0</v>
      </c>
    </row>
    <row r="52" spans="2:16" x14ac:dyDescent="0.4">
      <c r="B52" s="107" t="str">
        <f t="shared" si="12"/>
        <v>Sagādes daļa</v>
      </c>
      <c r="C52" s="84">
        <f t="shared" ref="C52:N52" si="16">$O26*C26</f>
        <v>0</v>
      </c>
      <c r="D52" s="84">
        <f t="shared" si="16"/>
        <v>0</v>
      </c>
      <c r="E52" s="84">
        <f t="shared" si="16"/>
        <v>0</v>
      </c>
      <c r="F52" s="84">
        <f t="shared" si="16"/>
        <v>0</v>
      </c>
      <c r="G52" s="84">
        <f t="shared" si="16"/>
        <v>0</v>
      </c>
      <c r="H52" s="84">
        <f t="shared" si="16"/>
        <v>0</v>
      </c>
      <c r="I52" s="84">
        <f t="shared" si="16"/>
        <v>0</v>
      </c>
      <c r="J52" s="84">
        <f t="shared" si="16"/>
        <v>0</v>
      </c>
      <c r="K52" s="84">
        <f t="shared" si="16"/>
        <v>0</v>
      </c>
      <c r="L52" s="84">
        <f t="shared" si="16"/>
        <v>0</v>
      </c>
      <c r="M52" s="84">
        <f t="shared" si="16"/>
        <v>0</v>
      </c>
      <c r="N52" s="84">
        <f t="shared" si="16"/>
        <v>0</v>
      </c>
      <c r="O52" s="383">
        <f t="shared" si="14"/>
        <v>0</v>
      </c>
    </row>
    <row r="53" spans="2:16" x14ac:dyDescent="0.4">
      <c r="B53" s="107" t="str">
        <f t="shared" si="12"/>
        <v>Finanšu daļa</v>
      </c>
      <c r="C53" s="84">
        <f t="shared" ref="C53:N53" si="17">$O27*C27</f>
        <v>0</v>
      </c>
      <c r="D53" s="84">
        <f t="shared" si="17"/>
        <v>0</v>
      </c>
      <c r="E53" s="84">
        <f t="shared" si="17"/>
        <v>0</v>
      </c>
      <c r="F53" s="84">
        <f t="shared" si="17"/>
        <v>0</v>
      </c>
      <c r="G53" s="84">
        <f t="shared" si="17"/>
        <v>0</v>
      </c>
      <c r="H53" s="84">
        <f t="shared" si="17"/>
        <v>0</v>
      </c>
      <c r="I53" s="84">
        <f t="shared" si="17"/>
        <v>0</v>
      </c>
      <c r="J53" s="84">
        <f t="shared" si="17"/>
        <v>0</v>
      </c>
      <c r="K53" s="84">
        <f t="shared" si="17"/>
        <v>0</v>
      </c>
      <c r="L53" s="84">
        <f t="shared" si="17"/>
        <v>0</v>
      </c>
      <c r="M53" s="84">
        <f t="shared" si="17"/>
        <v>0</v>
      </c>
      <c r="N53" s="84">
        <f t="shared" si="17"/>
        <v>0</v>
      </c>
      <c r="O53" s="383">
        <f t="shared" si="14"/>
        <v>0</v>
      </c>
    </row>
    <row r="54" spans="2:16" x14ac:dyDescent="0.4">
      <c r="B54" s="107" t="str">
        <f t="shared" si="12"/>
        <v>Personāla daļa</v>
      </c>
      <c r="C54" s="84">
        <f t="shared" ref="C54:N54" si="18">$O28*C28</f>
        <v>0</v>
      </c>
      <c r="D54" s="84">
        <f t="shared" si="18"/>
        <v>0</v>
      </c>
      <c r="E54" s="84">
        <f t="shared" si="18"/>
        <v>0</v>
      </c>
      <c r="F54" s="84">
        <f t="shared" si="18"/>
        <v>0</v>
      </c>
      <c r="G54" s="84">
        <f t="shared" si="18"/>
        <v>0</v>
      </c>
      <c r="H54" s="84">
        <f t="shared" si="18"/>
        <v>0</v>
      </c>
      <c r="I54" s="84">
        <f t="shared" si="18"/>
        <v>0</v>
      </c>
      <c r="J54" s="84">
        <f t="shared" si="18"/>
        <v>0</v>
      </c>
      <c r="K54" s="84">
        <f t="shared" si="18"/>
        <v>0</v>
      </c>
      <c r="L54" s="84">
        <f t="shared" si="18"/>
        <v>0</v>
      </c>
      <c r="M54" s="84">
        <f t="shared" si="18"/>
        <v>0</v>
      </c>
      <c r="N54" s="84">
        <f t="shared" si="18"/>
        <v>0</v>
      </c>
      <c r="O54" s="383">
        <f t="shared" si="14"/>
        <v>0</v>
      </c>
    </row>
    <row r="55" spans="2:16" x14ac:dyDescent="0.4">
      <c r="B55" s="107" t="str">
        <f t="shared" si="12"/>
        <v>Pārējie administrācijas darbinieki</v>
      </c>
      <c r="C55" s="84">
        <f t="shared" ref="C55:N55" si="19">$O29*C29</f>
        <v>0</v>
      </c>
      <c r="D55" s="84">
        <f t="shared" si="19"/>
        <v>0</v>
      </c>
      <c r="E55" s="84">
        <f t="shared" si="19"/>
        <v>0</v>
      </c>
      <c r="F55" s="84">
        <f t="shared" si="19"/>
        <v>0</v>
      </c>
      <c r="G55" s="84">
        <f t="shared" si="19"/>
        <v>0</v>
      </c>
      <c r="H55" s="84">
        <f t="shared" si="19"/>
        <v>0</v>
      </c>
      <c r="I55" s="84">
        <f t="shared" si="19"/>
        <v>0</v>
      </c>
      <c r="J55" s="84">
        <f t="shared" si="19"/>
        <v>0</v>
      </c>
      <c r="K55" s="84">
        <f t="shared" si="19"/>
        <v>0</v>
      </c>
      <c r="L55" s="84">
        <f t="shared" si="19"/>
        <v>0</v>
      </c>
      <c r="M55" s="84">
        <f t="shared" si="19"/>
        <v>0</v>
      </c>
      <c r="N55" s="84">
        <f t="shared" si="19"/>
        <v>0</v>
      </c>
      <c r="O55" s="383">
        <f t="shared" si="14"/>
        <v>0</v>
      </c>
    </row>
    <row r="56" spans="2:16" x14ac:dyDescent="0.4">
      <c r="B56" s="107" t="str">
        <f t="shared" si="12"/>
        <v>Darbinieks 7</v>
      </c>
      <c r="C56" s="84">
        <f t="shared" ref="C56:N56" si="20">$O30*C30</f>
        <v>0</v>
      </c>
      <c r="D56" s="84">
        <f t="shared" si="20"/>
        <v>0</v>
      </c>
      <c r="E56" s="84">
        <f t="shared" si="20"/>
        <v>0</v>
      </c>
      <c r="F56" s="84">
        <f t="shared" si="20"/>
        <v>0</v>
      </c>
      <c r="G56" s="84">
        <f t="shared" si="20"/>
        <v>0</v>
      </c>
      <c r="H56" s="84">
        <f t="shared" si="20"/>
        <v>0</v>
      </c>
      <c r="I56" s="84">
        <f t="shared" si="20"/>
        <v>0</v>
      </c>
      <c r="J56" s="84">
        <f t="shared" si="20"/>
        <v>0</v>
      </c>
      <c r="K56" s="84">
        <f t="shared" si="20"/>
        <v>0</v>
      </c>
      <c r="L56" s="84">
        <f t="shared" si="20"/>
        <v>0</v>
      </c>
      <c r="M56" s="84">
        <f t="shared" si="20"/>
        <v>0</v>
      </c>
      <c r="N56" s="84">
        <f t="shared" si="20"/>
        <v>0</v>
      </c>
      <c r="O56" s="383">
        <f t="shared" si="14"/>
        <v>0</v>
      </c>
    </row>
    <row r="57" spans="2:16" x14ac:dyDescent="0.4">
      <c r="B57" s="107" t="str">
        <f t="shared" si="12"/>
        <v>Darbinieks 8</v>
      </c>
      <c r="C57" s="84">
        <f t="shared" ref="C57:N57" si="21">$O31*C31</f>
        <v>0</v>
      </c>
      <c r="D57" s="84">
        <f t="shared" si="21"/>
        <v>0</v>
      </c>
      <c r="E57" s="84">
        <f t="shared" si="21"/>
        <v>0</v>
      </c>
      <c r="F57" s="84">
        <f t="shared" si="21"/>
        <v>0</v>
      </c>
      <c r="G57" s="84">
        <f t="shared" si="21"/>
        <v>0</v>
      </c>
      <c r="H57" s="84">
        <f t="shared" si="21"/>
        <v>0</v>
      </c>
      <c r="I57" s="84">
        <f t="shared" si="21"/>
        <v>0</v>
      </c>
      <c r="J57" s="84">
        <f t="shared" si="21"/>
        <v>0</v>
      </c>
      <c r="K57" s="84">
        <f t="shared" si="21"/>
        <v>0</v>
      </c>
      <c r="L57" s="84">
        <f t="shared" si="21"/>
        <v>0</v>
      </c>
      <c r="M57" s="84">
        <f t="shared" si="21"/>
        <v>0</v>
      </c>
      <c r="N57" s="84">
        <f t="shared" si="21"/>
        <v>0</v>
      </c>
      <c r="O57" s="383">
        <f t="shared" si="14"/>
        <v>0</v>
      </c>
    </row>
    <row r="58" spans="2:16" x14ac:dyDescent="0.4">
      <c r="B58" s="107" t="str">
        <f t="shared" si="12"/>
        <v>Darbinieks 9</v>
      </c>
      <c r="C58" s="84">
        <f t="shared" ref="C58:N58" si="22">$O32*C32</f>
        <v>0</v>
      </c>
      <c r="D58" s="84">
        <f t="shared" si="22"/>
        <v>0</v>
      </c>
      <c r="E58" s="84">
        <f t="shared" si="22"/>
        <v>0</v>
      </c>
      <c r="F58" s="84">
        <f t="shared" si="22"/>
        <v>0</v>
      </c>
      <c r="G58" s="84">
        <f t="shared" si="22"/>
        <v>0</v>
      </c>
      <c r="H58" s="84">
        <f t="shared" si="22"/>
        <v>0</v>
      </c>
      <c r="I58" s="84">
        <f t="shared" si="22"/>
        <v>0</v>
      </c>
      <c r="J58" s="84">
        <f t="shared" si="22"/>
        <v>0</v>
      </c>
      <c r="K58" s="84">
        <f t="shared" si="22"/>
        <v>0</v>
      </c>
      <c r="L58" s="84">
        <f t="shared" si="22"/>
        <v>0</v>
      </c>
      <c r="M58" s="84">
        <f t="shared" si="22"/>
        <v>0</v>
      </c>
      <c r="N58" s="84">
        <f t="shared" si="22"/>
        <v>0</v>
      </c>
      <c r="O58" s="383">
        <f t="shared" si="14"/>
        <v>0</v>
      </c>
    </row>
    <row r="59" spans="2:16" x14ac:dyDescent="0.4">
      <c r="B59" s="107" t="str">
        <f t="shared" si="12"/>
        <v>Darbinieks 10</v>
      </c>
      <c r="C59" s="84">
        <f t="shared" ref="C59:N59" si="23">$O33*C33</f>
        <v>0</v>
      </c>
      <c r="D59" s="84">
        <f t="shared" si="23"/>
        <v>0</v>
      </c>
      <c r="E59" s="84">
        <f t="shared" si="23"/>
        <v>0</v>
      </c>
      <c r="F59" s="84">
        <f t="shared" si="23"/>
        <v>0</v>
      </c>
      <c r="G59" s="84">
        <f t="shared" si="23"/>
        <v>0</v>
      </c>
      <c r="H59" s="84">
        <f t="shared" si="23"/>
        <v>0</v>
      </c>
      <c r="I59" s="84">
        <f t="shared" si="23"/>
        <v>0</v>
      </c>
      <c r="J59" s="84">
        <f t="shared" si="23"/>
        <v>0</v>
      </c>
      <c r="K59" s="84">
        <f t="shared" si="23"/>
        <v>0</v>
      </c>
      <c r="L59" s="84">
        <f t="shared" si="23"/>
        <v>0</v>
      </c>
      <c r="M59" s="84">
        <f t="shared" si="23"/>
        <v>0</v>
      </c>
      <c r="N59" s="84">
        <f t="shared" si="23"/>
        <v>0</v>
      </c>
      <c r="O59" s="383">
        <f t="shared" si="14"/>
        <v>0</v>
      </c>
    </row>
    <row r="60" spans="2:16" x14ac:dyDescent="0.4">
      <c r="B60" s="422" t="s">
        <v>129</v>
      </c>
      <c r="C60" s="437">
        <f>SUM(C50:C59)</f>
        <v>0</v>
      </c>
      <c r="D60" s="437">
        <f t="shared" ref="D60:M60" si="24">SUM(D50:D59)</f>
        <v>0</v>
      </c>
      <c r="E60" s="437">
        <f t="shared" si="24"/>
        <v>0</v>
      </c>
      <c r="F60" s="437">
        <f t="shared" si="24"/>
        <v>0</v>
      </c>
      <c r="G60" s="437">
        <f t="shared" si="24"/>
        <v>0</v>
      </c>
      <c r="H60" s="437">
        <f t="shared" si="24"/>
        <v>0</v>
      </c>
      <c r="I60" s="437">
        <f t="shared" si="24"/>
        <v>0</v>
      </c>
      <c r="J60" s="437">
        <f t="shared" si="24"/>
        <v>0</v>
      </c>
      <c r="K60" s="437">
        <f t="shared" si="24"/>
        <v>0</v>
      </c>
      <c r="L60" s="437">
        <f t="shared" si="24"/>
        <v>0</v>
      </c>
      <c r="M60" s="437">
        <f t="shared" si="24"/>
        <v>0</v>
      </c>
      <c r="N60" s="437">
        <f>SUM(N50:N59)</f>
        <v>0</v>
      </c>
      <c r="O60" s="424">
        <f>SUM(C60:N60)</f>
        <v>0</v>
      </c>
    </row>
    <row r="61" spans="2:16" x14ac:dyDescent="0.4">
      <c r="B61" s="422" t="s">
        <v>54</v>
      </c>
      <c r="C61" s="423">
        <f>C60*Pieņēmumi!$J$14</f>
        <v>0</v>
      </c>
      <c r="D61" s="423">
        <f>D60*Pieņēmumi!$J$14</f>
        <v>0</v>
      </c>
      <c r="E61" s="423">
        <f>E60*Pieņēmumi!$J$14</f>
        <v>0</v>
      </c>
      <c r="F61" s="423">
        <f>F60*Pieņēmumi!$J$14</f>
        <v>0</v>
      </c>
      <c r="G61" s="423">
        <f>G60*Pieņēmumi!$J$14</f>
        <v>0</v>
      </c>
      <c r="H61" s="423">
        <f>H60*Pieņēmumi!$J$14</f>
        <v>0</v>
      </c>
      <c r="I61" s="423">
        <f>I60*Pieņēmumi!$J$14</f>
        <v>0</v>
      </c>
      <c r="J61" s="423">
        <f>J60*Pieņēmumi!$J$14</f>
        <v>0</v>
      </c>
      <c r="K61" s="423">
        <f>K60*Pieņēmumi!$J$14</f>
        <v>0</v>
      </c>
      <c r="L61" s="423">
        <f>L60*Pieņēmumi!$J$14</f>
        <v>0</v>
      </c>
      <c r="M61" s="423">
        <f>M60*Pieņēmumi!$J$14</f>
        <v>0</v>
      </c>
      <c r="N61" s="423">
        <f>N60*Pieņēmumi!$J$14</f>
        <v>0</v>
      </c>
      <c r="O61" s="424">
        <f>IF($B61="","",SUM(C61:N61))</f>
        <v>0</v>
      </c>
    </row>
    <row r="62" spans="2:16" x14ac:dyDescent="0.4">
      <c r="O62" s="381"/>
    </row>
    <row r="63" spans="2:16" x14ac:dyDescent="0.4">
      <c r="O63" s="381"/>
    </row>
    <row r="64" spans="2:16" x14ac:dyDescent="0.4">
      <c r="B64" s="195" t="s">
        <v>133</v>
      </c>
      <c r="C64" s="204">
        <f t="shared" ref="C64:N64" si="25">SUM(C75,C76:C76)</f>
        <v>0</v>
      </c>
      <c r="D64" s="204">
        <f t="shared" si="25"/>
        <v>0</v>
      </c>
      <c r="E64" s="204">
        <f t="shared" si="25"/>
        <v>0</v>
      </c>
      <c r="F64" s="204">
        <f t="shared" si="25"/>
        <v>0</v>
      </c>
      <c r="G64" s="204">
        <f t="shared" si="25"/>
        <v>0</v>
      </c>
      <c r="H64" s="204">
        <f t="shared" si="25"/>
        <v>0</v>
      </c>
      <c r="I64" s="204">
        <f t="shared" si="25"/>
        <v>0</v>
      </c>
      <c r="J64" s="204">
        <f t="shared" si="25"/>
        <v>0</v>
      </c>
      <c r="K64" s="204">
        <f t="shared" si="25"/>
        <v>0</v>
      </c>
      <c r="L64" s="204">
        <f t="shared" si="25"/>
        <v>0</v>
      </c>
      <c r="M64" s="204">
        <f t="shared" si="25"/>
        <v>0</v>
      </c>
      <c r="N64" s="204">
        <f t="shared" si="25"/>
        <v>0</v>
      </c>
      <c r="O64" s="382">
        <f>SUM(C64:N64)</f>
        <v>0</v>
      </c>
    </row>
    <row r="65" spans="2:15" x14ac:dyDescent="0.4">
      <c r="B65" s="36" t="str">
        <f t="shared" ref="B65:B74" si="26">B36</f>
        <v>Ražošanas vadība</v>
      </c>
      <c r="C65" s="206">
        <f>C36*$O36</f>
        <v>0</v>
      </c>
      <c r="D65" s="206">
        <f t="shared" ref="D65:N65" si="27">D36*$O36</f>
        <v>0</v>
      </c>
      <c r="E65" s="206">
        <f t="shared" si="27"/>
        <v>0</v>
      </c>
      <c r="F65" s="206">
        <f t="shared" si="27"/>
        <v>0</v>
      </c>
      <c r="G65" s="206">
        <f t="shared" si="27"/>
        <v>0</v>
      </c>
      <c r="H65" s="206">
        <f t="shared" si="27"/>
        <v>0</v>
      </c>
      <c r="I65" s="206">
        <f t="shared" si="27"/>
        <v>0</v>
      </c>
      <c r="J65" s="206">
        <f t="shared" si="27"/>
        <v>0</v>
      </c>
      <c r="K65" s="206">
        <f t="shared" si="27"/>
        <v>0</v>
      </c>
      <c r="L65" s="206">
        <f t="shared" si="27"/>
        <v>0</v>
      </c>
      <c r="M65" s="206">
        <f t="shared" si="27"/>
        <v>0</v>
      </c>
      <c r="N65" s="206">
        <f t="shared" si="27"/>
        <v>0</v>
      </c>
      <c r="O65" s="384">
        <f t="shared" ref="O65:O74" si="28">IF($B65="","",SUM(C65:N65))</f>
        <v>0</v>
      </c>
    </row>
    <row r="66" spans="2:15" x14ac:dyDescent="0.4">
      <c r="B66" s="36" t="str">
        <f t="shared" si="26"/>
        <v>Ražošanas strādnieki</v>
      </c>
      <c r="C66" s="206">
        <f t="shared" ref="C66:N66" si="29">C37*$O37</f>
        <v>0</v>
      </c>
      <c r="D66" s="206">
        <f t="shared" si="29"/>
        <v>0</v>
      </c>
      <c r="E66" s="206">
        <f t="shared" si="29"/>
        <v>0</v>
      </c>
      <c r="F66" s="206">
        <f t="shared" si="29"/>
        <v>0</v>
      </c>
      <c r="G66" s="206">
        <f t="shared" si="29"/>
        <v>0</v>
      </c>
      <c r="H66" s="206">
        <f t="shared" si="29"/>
        <v>0</v>
      </c>
      <c r="I66" s="206">
        <f t="shared" si="29"/>
        <v>0</v>
      </c>
      <c r="J66" s="206">
        <f t="shared" si="29"/>
        <v>0</v>
      </c>
      <c r="K66" s="206">
        <f t="shared" si="29"/>
        <v>0</v>
      </c>
      <c r="L66" s="206">
        <f t="shared" si="29"/>
        <v>0</v>
      </c>
      <c r="M66" s="206">
        <f t="shared" si="29"/>
        <v>0</v>
      </c>
      <c r="N66" s="206">
        <f t="shared" si="29"/>
        <v>0</v>
      </c>
      <c r="O66" s="384">
        <f t="shared" si="28"/>
        <v>0</v>
      </c>
    </row>
    <row r="67" spans="2:15" x14ac:dyDescent="0.4">
      <c r="B67" s="36" t="str">
        <f t="shared" si="26"/>
        <v>Noliktavas strādnieki</v>
      </c>
      <c r="C67" s="206">
        <f t="shared" ref="C67:N67" si="30">C38*$O38</f>
        <v>0</v>
      </c>
      <c r="D67" s="206">
        <f t="shared" si="30"/>
        <v>0</v>
      </c>
      <c r="E67" s="206">
        <f t="shared" si="30"/>
        <v>0</v>
      </c>
      <c r="F67" s="206">
        <f t="shared" si="30"/>
        <v>0</v>
      </c>
      <c r="G67" s="206">
        <f t="shared" si="30"/>
        <v>0</v>
      </c>
      <c r="H67" s="206">
        <f t="shared" si="30"/>
        <v>0</v>
      </c>
      <c r="I67" s="206">
        <f t="shared" si="30"/>
        <v>0</v>
      </c>
      <c r="J67" s="206">
        <f t="shared" si="30"/>
        <v>0</v>
      </c>
      <c r="K67" s="206">
        <f t="shared" si="30"/>
        <v>0</v>
      </c>
      <c r="L67" s="206">
        <f t="shared" si="30"/>
        <v>0</v>
      </c>
      <c r="M67" s="206">
        <f t="shared" si="30"/>
        <v>0</v>
      </c>
      <c r="N67" s="206">
        <f t="shared" si="30"/>
        <v>0</v>
      </c>
      <c r="O67" s="384">
        <f t="shared" si="28"/>
        <v>0</v>
      </c>
    </row>
    <row r="68" spans="2:15" x14ac:dyDescent="0.4">
      <c r="B68" s="36" t="str">
        <f t="shared" si="26"/>
        <v>Darbinieks 4</v>
      </c>
      <c r="C68" s="206">
        <f t="shared" ref="C68:N68" si="31">C39*$O39</f>
        <v>0</v>
      </c>
      <c r="D68" s="206">
        <f t="shared" si="31"/>
        <v>0</v>
      </c>
      <c r="E68" s="206">
        <f t="shared" si="31"/>
        <v>0</v>
      </c>
      <c r="F68" s="206">
        <f t="shared" si="31"/>
        <v>0</v>
      </c>
      <c r="G68" s="206">
        <f t="shared" si="31"/>
        <v>0</v>
      </c>
      <c r="H68" s="206">
        <f t="shared" si="31"/>
        <v>0</v>
      </c>
      <c r="I68" s="206">
        <f t="shared" si="31"/>
        <v>0</v>
      </c>
      <c r="J68" s="206">
        <f t="shared" si="31"/>
        <v>0</v>
      </c>
      <c r="K68" s="206">
        <f t="shared" si="31"/>
        <v>0</v>
      </c>
      <c r="L68" s="206">
        <f t="shared" si="31"/>
        <v>0</v>
      </c>
      <c r="M68" s="206">
        <f t="shared" si="31"/>
        <v>0</v>
      </c>
      <c r="N68" s="206">
        <f t="shared" si="31"/>
        <v>0</v>
      </c>
      <c r="O68" s="384">
        <f t="shared" si="28"/>
        <v>0</v>
      </c>
    </row>
    <row r="69" spans="2:15" x14ac:dyDescent="0.4">
      <c r="B69" s="36" t="str">
        <f t="shared" si="26"/>
        <v>Darbinieks 5</v>
      </c>
      <c r="C69" s="206">
        <f>C40*$O40</f>
        <v>0</v>
      </c>
      <c r="D69" s="206">
        <f t="shared" ref="D69:N69" si="32">D40*$O40</f>
        <v>0</v>
      </c>
      <c r="E69" s="206">
        <f t="shared" si="32"/>
        <v>0</v>
      </c>
      <c r="F69" s="206">
        <f t="shared" si="32"/>
        <v>0</v>
      </c>
      <c r="G69" s="206">
        <f t="shared" si="32"/>
        <v>0</v>
      </c>
      <c r="H69" s="206">
        <f t="shared" si="32"/>
        <v>0</v>
      </c>
      <c r="I69" s="206">
        <f t="shared" si="32"/>
        <v>0</v>
      </c>
      <c r="J69" s="206">
        <f t="shared" si="32"/>
        <v>0</v>
      </c>
      <c r="K69" s="206">
        <f t="shared" si="32"/>
        <v>0</v>
      </c>
      <c r="L69" s="206">
        <f t="shared" si="32"/>
        <v>0</v>
      </c>
      <c r="M69" s="206">
        <f t="shared" si="32"/>
        <v>0</v>
      </c>
      <c r="N69" s="206">
        <f t="shared" si="32"/>
        <v>0</v>
      </c>
      <c r="O69" s="384">
        <f t="shared" si="28"/>
        <v>0</v>
      </c>
    </row>
    <row r="70" spans="2:15" x14ac:dyDescent="0.4">
      <c r="B70" s="36" t="str">
        <f t="shared" si="26"/>
        <v>Darbinieks 6</v>
      </c>
      <c r="C70" s="206">
        <f t="shared" ref="C70:N70" si="33">C41*$O41</f>
        <v>0</v>
      </c>
      <c r="D70" s="206">
        <f t="shared" si="33"/>
        <v>0</v>
      </c>
      <c r="E70" s="206">
        <f t="shared" si="33"/>
        <v>0</v>
      </c>
      <c r="F70" s="206">
        <f t="shared" si="33"/>
        <v>0</v>
      </c>
      <c r="G70" s="206">
        <f t="shared" si="33"/>
        <v>0</v>
      </c>
      <c r="H70" s="206">
        <f t="shared" si="33"/>
        <v>0</v>
      </c>
      <c r="I70" s="206">
        <f t="shared" si="33"/>
        <v>0</v>
      </c>
      <c r="J70" s="206">
        <f t="shared" si="33"/>
        <v>0</v>
      </c>
      <c r="K70" s="206">
        <f t="shared" si="33"/>
        <v>0</v>
      </c>
      <c r="L70" s="206">
        <f t="shared" si="33"/>
        <v>0</v>
      </c>
      <c r="M70" s="206">
        <f t="shared" si="33"/>
        <v>0</v>
      </c>
      <c r="N70" s="206">
        <f t="shared" si="33"/>
        <v>0</v>
      </c>
      <c r="O70" s="384">
        <f t="shared" si="28"/>
        <v>0</v>
      </c>
    </row>
    <row r="71" spans="2:15" x14ac:dyDescent="0.4">
      <c r="B71" s="36" t="str">
        <f t="shared" si="26"/>
        <v>Darbinieks 7</v>
      </c>
      <c r="C71" s="206">
        <f t="shared" ref="C71:N71" si="34">C42*$O42</f>
        <v>0</v>
      </c>
      <c r="D71" s="206">
        <f t="shared" si="34"/>
        <v>0</v>
      </c>
      <c r="E71" s="206">
        <f t="shared" si="34"/>
        <v>0</v>
      </c>
      <c r="F71" s="206">
        <f t="shared" si="34"/>
        <v>0</v>
      </c>
      <c r="G71" s="206">
        <f t="shared" si="34"/>
        <v>0</v>
      </c>
      <c r="H71" s="206">
        <f t="shared" si="34"/>
        <v>0</v>
      </c>
      <c r="I71" s="206">
        <f t="shared" si="34"/>
        <v>0</v>
      </c>
      <c r="J71" s="206">
        <f t="shared" si="34"/>
        <v>0</v>
      </c>
      <c r="K71" s="206">
        <f t="shared" si="34"/>
        <v>0</v>
      </c>
      <c r="L71" s="206">
        <f t="shared" si="34"/>
        <v>0</v>
      </c>
      <c r="M71" s="206">
        <f t="shared" si="34"/>
        <v>0</v>
      </c>
      <c r="N71" s="206">
        <f t="shared" si="34"/>
        <v>0</v>
      </c>
      <c r="O71" s="384">
        <f t="shared" si="28"/>
        <v>0</v>
      </c>
    </row>
    <row r="72" spans="2:15" x14ac:dyDescent="0.4">
      <c r="B72" s="36" t="str">
        <f t="shared" si="26"/>
        <v>Darbinieks 8</v>
      </c>
      <c r="C72" s="206">
        <f t="shared" ref="C72:N72" si="35">C43*$O43</f>
        <v>0</v>
      </c>
      <c r="D72" s="206">
        <f t="shared" si="35"/>
        <v>0</v>
      </c>
      <c r="E72" s="206">
        <f t="shared" si="35"/>
        <v>0</v>
      </c>
      <c r="F72" s="206">
        <f t="shared" si="35"/>
        <v>0</v>
      </c>
      <c r="G72" s="206">
        <f t="shared" si="35"/>
        <v>0</v>
      </c>
      <c r="H72" s="206">
        <f t="shared" si="35"/>
        <v>0</v>
      </c>
      <c r="I72" s="206">
        <f t="shared" si="35"/>
        <v>0</v>
      </c>
      <c r="J72" s="206">
        <f t="shared" si="35"/>
        <v>0</v>
      </c>
      <c r="K72" s="206">
        <f t="shared" si="35"/>
        <v>0</v>
      </c>
      <c r="L72" s="206">
        <f t="shared" si="35"/>
        <v>0</v>
      </c>
      <c r="M72" s="206">
        <f t="shared" si="35"/>
        <v>0</v>
      </c>
      <c r="N72" s="206">
        <f t="shared" si="35"/>
        <v>0</v>
      </c>
      <c r="O72" s="384">
        <f t="shared" si="28"/>
        <v>0</v>
      </c>
    </row>
    <row r="73" spans="2:15" x14ac:dyDescent="0.4">
      <c r="B73" s="36" t="str">
        <f t="shared" si="26"/>
        <v>Darbinieks 9</v>
      </c>
      <c r="C73" s="206">
        <f t="shared" ref="C73:N73" si="36">C44*$O44</f>
        <v>0</v>
      </c>
      <c r="D73" s="206">
        <f t="shared" si="36"/>
        <v>0</v>
      </c>
      <c r="E73" s="206">
        <f t="shared" si="36"/>
        <v>0</v>
      </c>
      <c r="F73" s="206">
        <f t="shared" si="36"/>
        <v>0</v>
      </c>
      <c r="G73" s="206">
        <f t="shared" si="36"/>
        <v>0</v>
      </c>
      <c r="H73" s="206">
        <f t="shared" si="36"/>
        <v>0</v>
      </c>
      <c r="I73" s="206">
        <f t="shared" si="36"/>
        <v>0</v>
      </c>
      <c r="J73" s="206">
        <f t="shared" si="36"/>
        <v>0</v>
      </c>
      <c r="K73" s="206">
        <f t="shared" si="36"/>
        <v>0</v>
      </c>
      <c r="L73" s="206">
        <f t="shared" si="36"/>
        <v>0</v>
      </c>
      <c r="M73" s="206">
        <f t="shared" si="36"/>
        <v>0</v>
      </c>
      <c r="N73" s="206">
        <f t="shared" si="36"/>
        <v>0</v>
      </c>
      <c r="O73" s="384">
        <f t="shared" si="28"/>
        <v>0</v>
      </c>
    </row>
    <row r="74" spans="2:15" x14ac:dyDescent="0.4">
      <c r="B74" s="36" t="str">
        <f t="shared" si="26"/>
        <v>Darbinieks 10</v>
      </c>
      <c r="C74" s="206">
        <f t="shared" ref="C74:N74" si="37">C45*$O45</f>
        <v>0</v>
      </c>
      <c r="D74" s="206">
        <f t="shared" si="37"/>
        <v>0</v>
      </c>
      <c r="E74" s="206">
        <f t="shared" si="37"/>
        <v>0</v>
      </c>
      <c r="F74" s="206">
        <f t="shared" si="37"/>
        <v>0</v>
      </c>
      <c r="G74" s="206">
        <f t="shared" si="37"/>
        <v>0</v>
      </c>
      <c r="H74" s="206">
        <f t="shared" si="37"/>
        <v>0</v>
      </c>
      <c r="I74" s="206">
        <f t="shared" si="37"/>
        <v>0</v>
      </c>
      <c r="J74" s="206">
        <f t="shared" si="37"/>
        <v>0</v>
      </c>
      <c r="K74" s="206">
        <f t="shared" si="37"/>
        <v>0</v>
      </c>
      <c r="L74" s="206">
        <f t="shared" si="37"/>
        <v>0</v>
      </c>
      <c r="M74" s="206">
        <f t="shared" si="37"/>
        <v>0</v>
      </c>
      <c r="N74" s="206">
        <f t="shared" si="37"/>
        <v>0</v>
      </c>
      <c r="O74" s="384">
        <f t="shared" si="28"/>
        <v>0</v>
      </c>
    </row>
    <row r="75" spans="2:15" x14ac:dyDescent="0.4">
      <c r="B75" s="425" t="s">
        <v>130</v>
      </c>
      <c r="C75" s="438">
        <f>SUM(C65:C74)</f>
        <v>0</v>
      </c>
      <c r="D75" s="438">
        <f t="shared" ref="D75:N75" si="38">SUM(D65:D74)</f>
        <v>0</v>
      </c>
      <c r="E75" s="438">
        <f t="shared" si="38"/>
        <v>0</v>
      </c>
      <c r="F75" s="438">
        <f t="shared" si="38"/>
        <v>0</v>
      </c>
      <c r="G75" s="438">
        <f t="shared" si="38"/>
        <v>0</v>
      </c>
      <c r="H75" s="438">
        <f t="shared" si="38"/>
        <v>0</v>
      </c>
      <c r="I75" s="438">
        <f t="shared" si="38"/>
        <v>0</v>
      </c>
      <c r="J75" s="438">
        <f t="shared" si="38"/>
        <v>0</v>
      </c>
      <c r="K75" s="438">
        <f t="shared" si="38"/>
        <v>0</v>
      </c>
      <c r="L75" s="438">
        <f t="shared" si="38"/>
        <v>0</v>
      </c>
      <c r="M75" s="438">
        <f t="shared" si="38"/>
        <v>0</v>
      </c>
      <c r="N75" s="438">
        <f t="shared" si="38"/>
        <v>0</v>
      </c>
      <c r="O75" s="427">
        <f>SUM(C75:N75)</f>
        <v>0</v>
      </c>
    </row>
    <row r="76" spans="2:15" x14ac:dyDescent="0.4">
      <c r="B76" s="425" t="s">
        <v>54</v>
      </c>
      <c r="C76" s="426">
        <f>C75*Pieņēmumi!$J$14</f>
        <v>0</v>
      </c>
      <c r="D76" s="426">
        <f>D75*Pieņēmumi!$J$14</f>
        <v>0</v>
      </c>
      <c r="E76" s="426">
        <f>E75*Pieņēmumi!$J$14</f>
        <v>0</v>
      </c>
      <c r="F76" s="426">
        <f>F75*Pieņēmumi!$J$14</f>
        <v>0</v>
      </c>
      <c r="G76" s="426">
        <f>G75*Pieņēmumi!$J$14</f>
        <v>0</v>
      </c>
      <c r="H76" s="426">
        <f>H75*Pieņēmumi!$J$14</f>
        <v>0</v>
      </c>
      <c r="I76" s="426">
        <f>I75*Pieņēmumi!$J$14</f>
        <v>0</v>
      </c>
      <c r="J76" s="426">
        <f>J75*Pieņēmumi!$J$14</f>
        <v>0</v>
      </c>
      <c r="K76" s="426">
        <f>K75*Pieņēmumi!$J$14</f>
        <v>0</v>
      </c>
      <c r="L76" s="426">
        <f>L75*Pieņēmumi!$J$14</f>
        <v>0</v>
      </c>
      <c r="M76" s="426">
        <f>M75*Pieņēmumi!$J$14</f>
        <v>0</v>
      </c>
      <c r="N76" s="426">
        <f>N75*Pieņēmumi!$J$14</f>
        <v>0</v>
      </c>
      <c r="O76" s="427">
        <f>IF($B76="","",SUM(C76:N76))</f>
        <v>0</v>
      </c>
    </row>
    <row r="77" spans="2:15" x14ac:dyDescent="0.4"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353"/>
    </row>
    <row r="78" spans="2:15" x14ac:dyDescent="0.4"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353"/>
    </row>
    <row r="79" spans="2:15" x14ac:dyDescent="0.4">
      <c r="B79" s="195" t="s">
        <v>132</v>
      </c>
      <c r="C79" s="204">
        <f t="shared" ref="C79:N79" si="39">SUM(C92,C93:C93)</f>
        <v>0</v>
      </c>
      <c r="D79" s="204">
        <f t="shared" si="39"/>
        <v>0</v>
      </c>
      <c r="E79" s="204">
        <f t="shared" si="39"/>
        <v>0</v>
      </c>
      <c r="F79" s="204">
        <f t="shared" si="39"/>
        <v>0</v>
      </c>
      <c r="G79" s="204">
        <f t="shared" si="39"/>
        <v>0</v>
      </c>
      <c r="H79" s="204">
        <f t="shared" si="39"/>
        <v>0</v>
      </c>
      <c r="I79" s="204">
        <f t="shared" si="39"/>
        <v>0</v>
      </c>
      <c r="J79" s="204">
        <f t="shared" si="39"/>
        <v>0</v>
      </c>
      <c r="K79" s="204">
        <f t="shared" si="39"/>
        <v>0</v>
      </c>
      <c r="L79" s="204">
        <f t="shared" si="39"/>
        <v>0</v>
      </c>
      <c r="M79" s="204">
        <f t="shared" si="39"/>
        <v>0</v>
      </c>
      <c r="N79" s="204">
        <f t="shared" si="39"/>
        <v>0</v>
      </c>
      <c r="O79" s="382">
        <f>SUM(C79:N79)</f>
        <v>0</v>
      </c>
    </row>
    <row r="80" spans="2:15" x14ac:dyDescent="0.4">
      <c r="B80" s="36" t="str">
        <f>Pieņēmumi!B15</f>
        <v>Produkts 1</v>
      </c>
      <c r="C80" s="206">
        <f>Pārdošana!C7*Pieņēmumi!$F15</f>
        <v>0</v>
      </c>
      <c r="D80" s="206">
        <f>Pārdošana!D7*Pieņēmumi!$F15</f>
        <v>0</v>
      </c>
      <c r="E80" s="206">
        <f>Pārdošana!E7*Pieņēmumi!$F15</f>
        <v>0</v>
      </c>
      <c r="F80" s="206">
        <f>Pārdošana!F7*Pieņēmumi!$F15</f>
        <v>0</v>
      </c>
      <c r="G80" s="206">
        <f>Pārdošana!G7*Pieņēmumi!$F15</f>
        <v>0</v>
      </c>
      <c r="H80" s="206">
        <f>Pārdošana!H7*Pieņēmumi!$F15</f>
        <v>0</v>
      </c>
      <c r="I80" s="206">
        <f>Pārdošana!I7*Pieņēmumi!$F15</f>
        <v>0</v>
      </c>
      <c r="J80" s="206">
        <f>Pārdošana!J7*Pieņēmumi!$F15</f>
        <v>0</v>
      </c>
      <c r="K80" s="206">
        <f>Pārdošana!K7*Pieņēmumi!$F15</f>
        <v>0</v>
      </c>
      <c r="L80" s="206">
        <f>Pārdošana!L7*Pieņēmumi!$F15</f>
        <v>0</v>
      </c>
      <c r="M80" s="206">
        <f>Pārdošana!M7*Pieņēmumi!$F15</f>
        <v>0</v>
      </c>
      <c r="N80" s="206">
        <f>Pārdošana!N7*Pieņēmumi!$F15</f>
        <v>0</v>
      </c>
      <c r="O80" s="384">
        <f t="shared" ref="O80:O91" si="40">IF($B80="","",SUM(C80:N80))</f>
        <v>0</v>
      </c>
    </row>
    <row r="81" spans="2:15" x14ac:dyDescent="0.4">
      <c r="B81" s="36" t="str">
        <f>Pieņēmumi!B16</f>
        <v>Produkts 2</v>
      </c>
      <c r="C81" s="206">
        <f>Pārdošana!C8*Pieņēmumi!$F16</f>
        <v>0</v>
      </c>
      <c r="D81" s="206">
        <f>Pārdošana!D8*Pieņēmumi!$F16</f>
        <v>0</v>
      </c>
      <c r="E81" s="206">
        <f>Pārdošana!E8*Pieņēmumi!$F16</f>
        <v>0</v>
      </c>
      <c r="F81" s="206">
        <f>Pārdošana!F8*Pieņēmumi!$F16</f>
        <v>0</v>
      </c>
      <c r="G81" s="206">
        <f>Pārdošana!G8*Pieņēmumi!$F16</f>
        <v>0</v>
      </c>
      <c r="H81" s="206">
        <f>Pārdošana!H8*Pieņēmumi!$F16</f>
        <v>0</v>
      </c>
      <c r="I81" s="206">
        <f>Pārdošana!I8*Pieņēmumi!$F16</f>
        <v>0</v>
      </c>
      <c r="J81" s="206">
        <f>Pārdošana!J8*Pieņēmumi!$F16</f>
        <v>0</v>
      </c>
      <c r="K81" s="206">
        <f>Pārdošana!K8*Pieņēmumi!$F16</f>
        <v>0</v>
      </c>
      <c r="L81" s="206">
        <f>Pārdošana!L8*Pieņēmumi!$F16</f>
        <v>0</v>
      </c>
      <c r="M81" s="206">
        <f>Pārdošana!M8*Pieņēmumi!$F16</f>
        <v>0</v>
      </c>
      <c r="N81" s="206">
        <f>Pārdošana!N8*Pieņēmumi!$F16</f>
        <v>0</v>
      </c>
      <c r="O81" s="384">
        <f t="shared" si="40"/>
        <v>0</v>
      </c>
    </row>
    <row r="82" spans="2:15" x14ac:dyDescent="0.4">
      <c r="B82" s="36" t="str">
        <f>Pieņēmumi!B17</f>
        <v>Produkts 3</v>
      </c>
      <c r="C82" s="206">
        <f>Pārdošana!C9*Pieņēmumi!$F17</f>
        <v>0</v>
      </c>
      <c r="D82" s="206">
        <f>Pārdošana!D9*Pieņēmumi!$F17</f>
        <v>0</v>
      </c>
      <c r="E82" s="206">
        <f>Pārdošana!E9*Pieņēmumi!$F17</f>
        <v>0</v>
      </c>
      <c r="F82" s="206">
        <f>Pārdošana!F9*Pieņēmumi!$F17</f>
        <v>0</v>
      </c>
      <c r="G82" s="206">
        <f>Pārdošana!G9*Pieņēmumi!$F17</f>
        <v>0</v>
      </c>
      <c r="H82" s="206">
        <f>Pārdošana!H9*Pieņēmumi!$F17</f>
        <v>0</v>
      </c>
      <c r="I82" s="206">
        <f>Pārdošana!I9*Pieņēmumi!$F17</f>
        <v>0</v>
      </c>
      <c r="J82" s="206">
        <f>Pārdošana!J9*Pieņēmumi!$F17</f>
        <v>0</v>
      </c>
      <c r="K82" s="206">
        <f>Pārdošana!K9*Pieņēmumi!$F17</f>
        <v>0</v>
      </c>
      <c r="L82" s="206">
        <f>Pārdošana!L9*Pieņēmumi!$F17</f>
        <v>0</v>
      </c>
      <c r="M82" s="206">
        <f>Pārdošana!M9*Pieņēmumi!$F17</f>
        <v>0</v>
      </c>
      <c r="N82" s="206">
        <f>Pārdošana!N9*Pieņēmumi!$F17</f>
        <v>0</v>
      </c>
      <c r="O82" s="384">
        <f t="shared" si="40"/>
        <v>0</v>
      </c>
    </row>
    <row r="83" spans="2:15" x14ac:dyDescent="0.4">
      <c r="B83" s="36" t="str">
        <f>Pieņēmumi!B18</f>
        <v>Produkts 4</v>
      </c>
      <c r="C83" s="206">
        <f>Pārdošana!C10*Pieņēmumi!$F18</f>
        <v>0</v>
      </c>
      <c r="D83" s="206">
        <f>Pārdošana!D10*Pieņēmumi!$F18</f>
        <v>0</v>
      </c>
      <c r="E83" s="206">
        <f>Pārdošana!E10*Pieņēmumi!$F18</f>
        <v>0</v>
      </c>
      <c r="F83" s="206">
        <f>Pārdošana!F10*Pieņēmumi!$F18</f>
        <v>0</v>
      </c>
      <c r="G83" s="206">
        <f>Pārdošana!G10*Pieņēmumi!$F18</f>
        <v>0</v>
      </c>
      <c r="H83" s="206">
        <f>Pārdošana!H10*Pieņēmumi!$F18</f>
        <v>0</v>
      </c>
      <c r="I83" s="206">
        <f>Pārdošana!I10*Pieņēmumi!$F18</f>
        <v>0</v>
      </c>
      <c r="J83" s="206">
        <f>Pārdošana!J10*Pieņēmumi!$F18</f>
        <v>0</v>
      </c>
      <c r="K83" s="206">
        <f>Pārdošana!K10*Pieņēmumi!$F18</f>
        <v>0</v>
      </c>
      <c r="L83" s="206">
        <f>Pārdošana!L10*Pieņēmumi!$F18</f>
        <v>0</v>
      </c>
      <c r="M83" s="206">
        <f>Pārdošana!M10*Pieņēmumi!$F18</f>
        <v>0</v>
      </c>
      <c r="N83" s="206">
        <f>Pārdošana!N10*Pieņēmumi!$F18</f>
        <v>0</v>
      </c>
      <c r="O83" s="384">
        <f t="shared" si="40"/>
        <v>0</v>
      </c>
    </row>
    <row r="84" spans="2:15" x14ac:dyDescent="0.4">
      <c r="B84" s="36" t="str">
        <f>Pieņēmumi!B19</f>
        <v>Produkts 5</v>
      </c>
      <c r="C84" s="206">
        <f>Pārdošana!C11*Pieņēmumi!$F19</f>
        <v>0</v>
      </c>
      <c r="D84" s="206">
        <f>Pārdošana!D11*Pieņēmumi!$F19</f>
        <v>0</v>
      </c>
      <c r="E84" s="206">
        <f>Pārdošana!E11*Pieņēmumi!$F19</f>
        <v>0</v>
      </c>
      <c r="F84" s="206">
        <f>Pārdošana!F11*Pieņēmumi!$F19</f>
        <v>0</v>
      </c>
      <c r="G84" s="206">
        <f>Pārdošana!G11*Pieņēmumi!$F19</f>
        <v>0</v>
      </c>
      <c r="H84" s="206">
        <f>Pārdošana!H11*Pieņēmumi!$F19</f>
        <v>0</v>
      </c>
      <c r="I84" s="206">
        <f>Pārdošana!I11*Pieņēmumi!$F19</f>
        <v>0</v>
      </c>
      <c r="J84" s="206">
        <f>Pārdošana!J11*Pieņēmumi!$F19</f>
        <v>0</v>
      </c>
      <c r="K84" s="206">
        <f>Pārdošana!K11*Pieņēmumi!$F19</f>
        <v>0</v>
      </c>
      <c r="L84" s="206">
        <f>Pārdošana!L11*Pieņēmumi!$F19</f>
        <v>0</v>
      </c>
      <c r="M84" s="206">
        <f>Pārdošana!M11*Pieņēmumi!$F19</f>
        <v>0</v>
      </c>
      <c r="N84" s="206">
        <f>Pārdošana!N11*Pieņēmumi!$F19</f>
        <v>0</v>
      </c>
      <c r="O84" s="384">
        <f t="shared" si="40"/>
        <v>0</v>
      </c>
    </row>
    <row r="85" spans="2:15" x14ac:dyDescent="0.4">
      <c r="B85" s="36" t="str">
        <f>Pieņēmumi!B20</f>
        <v>Produkts 6</v>
      </c>
      <c r="C85" s="206">
        <f>Pārdošana!C12*Pieņēmumi!$F20</f>
        <v>0</v>
      </c>
      <c r="D85" s="206">
        <f>Pārdošana!D12*Pieņēmumi!$F20</f>
        <v>0</v>
      </c>
      <c r="E85" s="206">
        <f>Pārdošana!E12*Pieņēmumi!$F20</f>
        <v>0</v>
      </c>
      <c r="F85" s="206">
        <f>Pārdošana!F12*Pieņēmumi!$F20</f>
        <v>0</v>
      </c>
      <c r="G85" s="206">
        <f>Pārdošana!G12*Pieņēmumi!$F20</f>
        <v>0</v>
      </c>
      <c r="H85" s="206">
        <f>Pārdošana!H12*Pieņēmumi!$F20</f>
        <v>0</v>
      </c>
      <c r="I85" s="206">
        <f>Pārdošana!I12*Pieņēmumi!$F20</f>
        <v>0</v>
      </c>
      <c r="J85" s="206">
        <f>Pārdošana!J12*Pieņēmumi!$F20</f>
        <v>0</v>
      </c>
      <c r="K85" s="206">
        <f>Pārdošana!K12*Pieņēmumi!$F20</f>
        <v>0</v>
      </c>
      <c r="L85" s="206">
        <f>Pārdošana!L12*Pieņēmumi!$F20</f>
        <v>0</v>
      </c>
      <c r="M85" s="206">
        <f>Pārdošana!M12*Pieņēmumi!$F20</f>
        <v>0</v>
      </c>
      <c r="N85" s="206">
        <f>Pārdošana!N12*Pieņēmumi!$F20</f>
        <v>0</v>
      </c>
      <c r="O85" s="384">
        <f t="shared" si="40"/>
        <v>0</v>
      </c>
    </row>
    <row r="86" spans="2:15" x14ac:dyDescent="0.4">
      <c r="B86" s="36" t="str">
        <f>Pieņēmumi!B21</f>
        <v>Produkts 7</v>
      </c>
      <c r="C86" s="206">
        <f>Pārdošana!C13*Pieņēmumi!$F21</f>
        <v>0</v>
      </c>
      <c r="D86" s="206">
        <f>Pārdošana!D13*Pieņēmumi!$F21</f>
        <v>0</v>
      </c>
      <c r="E86" s="206">
        <f>Pārdošana!E13*Pieņēmumi!$F21</f>
        <v>0</v>
      </c>
      <c r="F86" s="206">
        <f>Pārdošana!F13*Pieņēmumi!$F21</f>
        <v>0</v>
      </c>
      <c r="G86" s="206">
        <f>Pārdošana!G13*Pieņēmumi!$F21</f>
        <v>0</v>
      </c>
      <c r="H86" s="206">
        <f>Pārdošana!H13*Pieņēmumi!$F21</f>
        <v>0</v>
      </c>
      <c r="I86" s="206">
        <f>Pārdošana!I13*Pieņēmumi!$F21</f>
        <v>0</v>
      </c>
      <c r="J86" s="206">
        <f>Pārdošana!J13*Pieņēmumi!$F21</f>
        <v>0</v>
      </c>
      <c r="K86" s="206">
        <f>Pārdošana!K13*Pieņēmumi!$F21</f>
        <v>0</v>
      </c>
      <c r="L86" s="206">
        <f>Pārdošana!L13*Pieņēmumi!$F21</f>
        <v>0</v>
      </c>
      <c r="M86" s="206">
        <f>Pārdošana!M13*Pieņēmumi!$F21</f>
        <v>0</v>
      </c>
      <c r="N86" s="206">
        <f>Pārdošana!N13*Pieņēmumi!$F21</f>
        <v>0</v>
      </c>
      <c r="O86" s="384">
        <f t="shared" si="40"/>
        <v>0</v>
      </c>
    </row>
    <row r="87" spans="2:15" x14ac:dyDescent="0.4">
      <c r="B87" s="36" t="str">
        <f>Pieņēmumi!B22</f>
        <v>Produkts 8</v>
      </c>
      <c r="C87" s="206">
        <f>Pārdošana!C14*Pieņēmumi!$F22</f>
        <v>0</v>
      </c>
      <c r="D87" s="206">
        <f>Pārdošana!D14*Pieņēmumi!$F22</f>
        <v>0</v>
      </c>
      <c r="E87" s="206">
        <f>Pārdošana!E14*Pieņēmumi!$F22</f>
        <v>0</v>
      </c>
      <c r="F87" s="206">
        <f>Pārdošana!F14*Pieņēmumi!$F22</f>
        <v>0</v>
      </c>
      <c r="G87" s="206">
        <f>Pārdošana!G14*Pieņēmumi!$F22</f>
        <v>0</v>
      </c>
      <c r="H87" s="206">
        <f>Pārdošana!H14*Pieņēmumi!$F22</f>
        <v>0</v>
      </c>
      <c r="I87" s="206">
        <f>Pārdošana!I14*Pieņēmumi!$F22</f>
        <v>0</v>
      </c>
      <c r="J87" s="206">
        <f>Pārdošana!J14*Pieņēmumi!$F22</f>
        <v>0</v>
      </c>
      <c r="K87" s="206">
        <f>Pārdošana!K14*Pieņēmumi!$F22</f>
        <v>0</v>
      </c>
      <c r="L87" s="206">
        <f>Pārdošana!L14*Pieņēmumi!$F22</f>
        <v>0</v>
      </c>
      <c r="M87" s="206">
        <f>Pārdošana!M14*Pieņēmumi!$F22</f>
        <v>0</v>
      </c>
      <c r="N87" s="206">
        <f>Pārdošana!N14*Pieņēmumi!$F22</f>
        <v>0</v>
      </c>
      <c r="O87" s="384">
        <f t="shared" si="40"/>
        <v>0</v>
      </c>
    </row>
    <row r="88" spans="2:15" x14ac:dyDescent="0.4">
      <c r="B88" s="36" t="str">
        <f>Pieņēmumi!B23</f>
        <v>Produkts 9</v>
      </c>
      <c r="C88" s="206">
        <f>Pārdošana!C15*Pieņēmumi!$F23</f>
        <v>0</v>
      </c>
      <c r="D88" s="206">
        <f>Pārdošana!D15*Pieņēmumi!$F23</f>
        <v>0</v>
      </c>
      <c r="E88" s="206">
        <f>Pārdošana!E15*Pieņēmumi!$F23</f>
        <v>0</v>
      </c>
      <c r="F88" s="206">
        <f>Pārdošana!F15*Pieņēmumi!$F23</f>
        <v>0</v>
      </c>
      <c r="G88" s="206">
        <f>Pārdošana!G15*Pieņēmumi!$F23</f>
        <v>0</v>
      </c>
      <c r="H88" s="206">
        <f>Pārdošana!H15*Pieņēmumi!$F23</f>
        <v>0</v>
      </c>
      <c r="I88" s="206">
        <f>Pārdošana!I15*Pieņēmumi!$F23</f>
        <v>0</v>
      </c>
      <c r="J88" s="206">
        <f>Pārdošana!J15*Pieņēmumi!$F23</f>
        <v>0</v>
      </c>
      <c r="K88" s="206">
        <f>Pārdošana!K15*Pieņēmumi!$F23</f>
        <v>0</v>
      </c>
      <c r="L88" s="206">
        <f>Pārdošana!L15*Pieņēmumi!$F23</f>
        <v>0</v>
      </c>
      <c r="M88" s="206">
        <f>Pārdošana!M15*Pieņēmumi!$F23</f>
        <v>0</v>
      </c>
      <c r="N88" s="206">
        <f>Pārdošana!N15*Pieņēmumi!$F23</f>
        <v>0</v>
      </c>
      <c r="O88" s="384">
        <f t="shared" si="40"/>
        <v>0</v>
      </c>
    </row>
    <row r="89" spans="2:15" x14ac:dyDescent="0.4">
      <c r="B89" s="36" t="str">
        <f>Pieņēmumi!B24</f>
        <v>Produkts 10</v>
      </c>
      <c r="C89" s="206">
        <f>Pārdošana!C16*Pieņēmumi!$F24</f>
        <v>0</v>
      </c>
      <c r="D89" s="206">
        <f>Pārdošana!D16*Pieņēmumi!$F24</f>
        <v>0</v>
      </c>
      <c r="E89" s="206">
        <f>Pārdošana!E16*Pieņēmumi!$F24</f>
        <v>0</v>
      </c>
      <c r="F89" s="206">
        <f>Pārdošana!F16*Pieņēmumi!$F24</f>
        <v>0</v>
      </c>
      <c r="G89" s="206">
        <f>Pārdošana!G16*Pieņēmumi!$F24</f>
        <v>0</v>
      </c>
      <c r="H89" s="206">
        <f>Pārdošana!H16*Pieņēmumi!$F24</f>
        <v>0</v>
      </c>
      <c r="I89" s="206">
        <f>Pārdošana!I16*Pieņēmumi!$F24</f>
        <v>0</v>
      </c>
      <c r="J89" s="206">
        <f>Pārdošana!J16*Pieņēmumi!$F24</f>
        <v>0</v>
      </c>
      <c r="K89" s="206">
        <f>Pārdošana!K16*Pieņēmumi!$F24</f>
        <v>0</v>
      </c>
      <c r="L89" s="206">
        <f>Pārdošana!L16*Pieņēmumi!$F24</f>
        <v>0</v>
      </c>
      <c r="M89" s="206">
        <f>Pārdošana!M16*Pieņēmumi!$F24</f>
        <v>0</v>
      </c>
      <c r="N89" s="206">
        <f>Pārdošana!N16*Pieņēmumi!$F24</f>
        <v>0</v>
      </c>
      <c r="O89" s="384">
        <f t="shared" si="40"/>
        <v>0</v>
      </c>
    </row>
    <row r="90" spans="2:15" x14ac:dyDescent="0.4">
      <c r="B90" s="36" t="str">
        <f>Pieņēmumi!B25</f>
        <v>Produkts 11</v>
      </c>
      <c r="C90" s="206">
        <f>Pārdošana!C17*Pieņēmumi!$F25</f>
        <v>0</v>
      </c>
      <c r="D90" s="206">
        <f>Pārdošana!D17*Pieņēmumi!$F25</f>
        <v>0</v>
      </c>
      <c r="E90" s="206">
        <f>Pārdošana!E17*Pieņēmumi!$F25</f>
        <v>0</v>
      </c>
      <c r="F90" s="206">
        <f>Pārdošana!F17*Pieņēmumi!$F25</f>
        <v>0</v>
      </c>
      <c r="G90" s="206">
        <f>Pārdošana!G17*Pieņēmumi!$F25</f>
        <v>0</v>
      </c>
      <c r="H90" s="206">
        <f>Pārdošana!H17*Pieņēmumi!$F25</f>
        <v>0</v>
      </c>
      <c r="I90" s="206">
        <f>Pārdošana!I17*Pieņēmumi!$F25</f>
        <v>0</v>
      </c>
      <c r="J90" s="206">
        <f>Pārdošana!J17*Pieņēmumi!$F25</f>
        <v>0</v>
      </c>
      <c r="K90" s="206">
        <f>Pārdošana!K17*Pieņēmumi!$F25</f>
        <v>0</v>
      </c>
      <c r="L90" s="206">
        <f>Pārdošana!L17*Pieņēmumi!$F25</f>
        <v>0</v>
      </c>
      <c r="M90" s="206">
        <f>Pārdošana!M17*Pieņēmumi!$F25</f>
        <v>0</v>
      </c>
      <c r="N90" s="206">
        <f>Pārdošana!N17*Pieņēmumi!$F25</f>
        <v>0</v>
      </c>
      <c r="O90" s="384">
        <f t="shared" si="40"/>
        <v>0</v>
      </c>
    </row>
    <row r="91" spans="2:15" x14ac:dyDescent="0.4">
      <c r="B91" s="36" t="str">
        <f>Pieņēmumi!B26</f>
        <v>Produkts 12</v>
      </c>
      <c r="C91" s="206">
        <f>Pārdošana!C18*Pieņēmumi!$F26</f>
        <v>0</v>
      </c>
      <c r="D91" s="206">
        <f>Pārdošana!D18*Pieņēmumi!$F26</f>
        <v>0</v>
      </c>
      <c r="E91" s="206">
        <f>Pārdošana!E18*Pieņēmumi!$F26</f>
        <v>0</v>
      </c>
      <c r="F91" s="206">
        <f>Pārdošana!F18*Pieņēmumi!$F26</f>
        <v>0</v>
      </c>
      <c r="G91" s="206">
        <f>Pārdošana!G18*Pieņēmumi!$F26</f>
        <v>0</v>
      </c>
      <c r="H91" s="206">
        <f>Pārdošana!H18*Pieņēmumi!$F26</f>
        <v>0</v>
      </c>
      <c r="I91" s="206">
        <f>Pārdošana!I18*Pieņēmumi!$F26</f>
        <v>0</v>
      </c>
      <c r="J91" s="206">
        <f>Pārdošana!J18*Pieņēmumi!$F26</f>
        <v>0</v>
      </c>
      <c r="K91" s="206">
        <f>Pārdošana!K18*Pieņēmumi!$F26</f>
        <v>0</v>
      </c>
      <c r="L91" s="206">
        <f>Pārdošana!L18*Pieņēmumi!$F26</f>
        <v>0</v>
      </c>
      <c r="M91" s="206">
        <f>Pārdošana!M18*Pieņēmumi!$F26</f>
        <v>0</v>
      </c>
      <c r="N91" s="206">
        <f>Pārdošana!N18*Pieņēmumi!$F26</f>
        <v>0</v>
      </c>
      <c r="O91" s="384">
        <f t="shared" si="40"/>
        <v>0</v>
      </c>
    </row>
    <row r="92" spans="2:15" x14ac:dyDescent="0.4">
      <c r="B92" s="425" t="s">
        <v>131</v>
      </c>
      <c r="C92" s="438">
        <f>SUM(C80:C91)</f>
        <v>0</v>
      </c>
      <c r="D92" s="438">
        <f t="shared" ref="D92:N92" si="41">SUM(D80:D91)</f>
        <v>0</v>
      </c>
      <c r="E92" s="438">
        <f t="shared" si="41"/>
        <v>0</v>
      </c>
      <c r="F92" s="438">
        <f t="shared" si="41"/>
        <v>0</v>
      </c>
      <c r="G92" s="438">
        <f t="shared" si="41"/>
        <v>0</v>
      </c>
      <c r="H92" s="438">
        <f t="shared" si="41"/>
        <v>0</v>
      </c>
      <c r="I92" s="438">
        <f t="shared" si="41"/>
        <v>0</v>
      </c>
      <c r="J92" s="438">
        <f t="shared" si="41"/>
        <v>0</v>
      </c>
      <c r="K92" s="438">
        <f t="shared" si="41"/>
        <v>0</v>
      </c>
      <c r="L92" s="438">
        <f t="shared" si="41"/>
        <v>0</v>
      </c>
      <c r="M92" s="438">
        <f t="shared" si="41"/>
        <v>0</v>
      </c>
      <c r="N92" s="438">
        <f t="shared" si="41"/>
        <v>0</v>
      </c>
      <c r="O92" s="427">
        <f>SUM(C92:N92)</f>
        <v>0</v>
      </c>
    </row>
    <row r="93" spans="2:15" x14ac:dyDescent="0.4">
      <c r="B93" s="425" t="s">
        <v>54</v>
      </c>
      <c r="C93" s="426">
        <f>C92*Pieņēmumi!$J$14</f>
        <v>0</v>
      </c>
      <c r="D93" s="426">
        <f>D92*Pieņēmumi!$J$14</f>
        <v>0</v>
      </c>
      <c r="E93" s="426">
        <f>E92*Pieņēmumi!$J$14</f>
        <v>0</v>
      </c>
      <c r="F93" s="426">
        <f>F92*Pieņēmumi!$J$14</f>
        <v>0</v>
      </c>
      <c r="G93" s="426">
        <f>G92*Pieņēmumi!$J$14</f>
        <v>0</v>
      </c>
      <c r="H93" s="426">
        <f>H92*Pieņēmumi!$J$14</f>
        <v>0</v>
      </c>
      <c r="I93" s="426">
        <f>I92*Pieņēmumi!$J$14</f>
        <v>0</v>
      </c>
      <c r="J93" s="426">
        <f>J92*Pieņēmumi!$J$14</f>
        <v>0</v>
      </c>
      <c r="K93" s="426">
        <f>K92*Pieņēmumi!$J$14</f>
        <v>0</v>
      </c>
      <c r="L93" s="426">
        <f>L92*Pieņēmumi!$J$14</f>
        <v>0</v>
      </c>
      <c r="M93" s="426">
        <f>M92*Pieņēmumi!$J$14</f>
        <v>0</v>
      </c>
      <c r="N93" s="426">
        <f>N92*Pieņēmumi!$J$14</f>
        <v>0</v>
      </c>
      <c r="O93" s="427">
        <f>IF($B93="","",SUM(C93:N93))</f>
        <v>0</v>
      </c>
    </row>
  </sheetData>
  <protectedRanges>
    <protectedRange sqref="B26:B29 B31 B33:B45 C24:N34 O24:O35 C36:O45" name="Range1_3"/>
  </protectedRanges>
  <phoneticPr fontId="97" type="noConversion"/>
  <pageMargins left="0.7" right="0.7" top="0.75" bottom="0.75" header="0.3" footer="0.3"/>
  <pageSetup paperSize="9" orientation="portrait" r:id="rId1"/>
  <ignoredErrors>
    <ignoredError sqref="O60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B2:P17"/>
  <sheetViews>
    <sheetView showGridLines="0" zoomScaleNormal="100" workbookViewId="0">
      <pane ySplit="4" topLeftCell="A5" activePane="bottomLeft" state="frozen"/>
      <selection pane="bottomLeft" activeCell="C9" sqref="C9"/>
    </sheetView>
  </sheetViews>
  <sheetFormatPr defaultColWidth="9.1328125" defaultRowHeight="14.25" x14ac:dyDescent="0.4"/>
  <cols>
    <col min="1" max="1" width="7" style="144" customWidth="1"/>
    <col min="2" max="2" width="47.46484375" style="148" bestFit="1" customWidth="1"/>
    <col min="3" max="3" width="9.86328125" style="144" customWidth="1"/>
    <col min="4" max="4" width="9" style="144" customWidth="1"/>
    <col min="5" max="14" width="9.1328125" style="144"/>
    <col min="15" max="15" width="11.1328125" style="207" customWidth="1"/>
    <col min="16" max="16" width="9.1328125" style="399"/>
    <col min="17" max="16384" width="9.1328125" style="144"/>
  </cols>
  <sheetData>
    <row r="2" spans="2:16" ht="15" thickBot="1" x14ac:dyDescent="0.4">
      <c r="B2" s="191" t="str">
        <f>LEFT(Pieņēmumi!$B$2,FIND("Budžets",Pieņēmumi!$B$2)-1)&amp;"Administrācijas izmaksu budžets "</f>
        <v xml:space="preserve">Spēka ražotājs Administrācijas izmaksu budžets 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</row>
    <row r="3" spans="2:16" ht="14.65" thickTop="1" x14ac:dyDescent="0.4"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209"/>
    </row>
    <row r="4" spans="2:16" x14ac:dyDescent="0.4">
      <c r="B4" s="44"/>
      <c r="C4" s="10" t="str">
        <f>LEFT(Pieņēmumi!E7,3)</f>
        <v>Jan</v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47" t="s">
        <v>165</v>
      </c>
    </row>
    <row r="5" spans="2:16" x14ac:dyDescent="0.4"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385"/>
    </row>
    <row r="6" spans="2:16" x14ac:dyDescent="0.4">
      <c r="B6" s="135" t="s">
        <v>246</v>
      </c>
      <c r="C6" s="137">
        <f t="shared" ref="C6:N6" si="1">SUM(C8:C13)</f>
        <v>0</v>
      </c>
      <c r="D6" s="137">
        <f t="shared" si="1"/>
        <v>0</v>
      </c>
      <c r="E6" s="137">
        <f t="shared" si="1"/>
        <v>0</v>
      </c>
      <c r="F6" s="137">
        <f t="shared" si="1"/>
        <v>0</v>
      </c>
      <c r="G6" s="137">
        <f t="shared" si="1"/>
        <v>0</v>
      </c>
      <c r="H6" s="137">
        <f t="shared" si="1"/>
        <v>0</v>
      </c>
      <c r="I6" s="137">
        <f t="shared" si="1"/>
        <v>0</v>
      </c>
      <c r="J6" s="137">
        <f t="shared" si="1"/>
        <v>0</v>
      </c>
      <c r="K6" s="137">
        <f t="shared" si="1"/>
        <v>0</v>
      </c>
      <c r="L6" s="137">
        <f t="shared" si="1"/>
        <v>0</v>
      </c>
      <c r="M6" s="137">
        <f t="shared" si="1"/>
        <v>0</v>
      </c>
      <c r="N6" s="137">
        <f t="shared" si="1"/>
        <v>0</v>
      </c>
      <c r="O6" s="137">
        <f>SUM(C6:N6)</f>
        <v>0</v>
      </c>
    </row>
    <row r="7" spans="2:16" x14ac:dyDescent="0.4">
      <c r="B7" s="87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386"/>
    </row>
    <row r="8" spans="2:16" x14ac:dyDescent="0.4">
      <c r="B8" s="89" t="s">
        <v>138</v>
      </c>
      <c r="C8" s="292">
        <f>Algas!C8</f>
        <v>0</v>
      </c>
      <c r="D8" s="292">
        <f>Algas!D8</f>
        <v>0</v>
      </c>
      <c r="E8" s="292">
        <f>Algas!E8</f>
        <v>0</v>
      </c>
      <c r="F8" s="292">
        <f>Algas!F8</f>
        <v>0</v>
      </c>
      <c r="G8" s="292">
        <f>Algas!G8</f>
        <v>0</v>
      </c>
      <c r="H8" s="292">
        <f>Algas!H8</f>
        <v>0</v>
      </c>
      <c r="I8" s="292">
        <f>Algas!I8</f>
        <v>0</v>
      </c>
      <c r="J8" s="292">
        <f>Algas!J8</f>
        <v>0</v>
      </c>
      <c r="K8" s="292">
        <f>Algas!K8</f>
        <v>0</v>
      </c>
      <c r="L8" s="292">
        <f>Algas!L8</f>
        <v>0</v>
      </c>
      <c r="M8" s="292">
        <f>Algas!M8</f>
        <v>0</v>
      </c>
      <c r="N8" s="292">
        <f>Algas!N8</f>
        <v>0</v>
      </c>
      <c r="O8" s="386">
        <f>SUM(C8:N8)</f>
        <v>0</v>
      </c>
      <c r="P8" s="408"/>
    </row>
    <row r="9" spans="2:16" x14ac:dyDescent="0.4">
      <c r="B9" s="89" t="s">
        <v>137</v>
      </c>
      <c r="C9" s="266">
        <f>4.5%*Pārdošana!C6</f>
        <v>0</v>
      </c>
      <c r="D9" s="266">
        <f>4.5%*Pārdošana!D6</f>
        <v>0</v>
      </c>
      <c r="E9" s="266">
        <f>4.5%*Pārdošana!E6</f>
        <v>0</v>
      </c>
      <c r="F9" s="266">
        <f>4.5%*Pārdošana!F6</f>
        <v>0</v>
      </c>
      <c r="G9" s="266">
        <f>4.5%*Pārdošana!G6</f>
        <v>0</v>
      </c>
      <c r="H9" s="266">
        <f>4.5%*Pārdošana!H6</f>
        <v>0</v>
      </c>
      <c r="I9" s="266">
        <f>4.5%*Pārdošana!I6</f>
        <v>0</v>
      </c>
      <c r="J9" s="266">
        <f>4.5%*Pārdošana!J6</f>
        <v>0</v>
      </c>
      <c r="K9" s="266">
        <f>4.5%*Pārdošana!K6</f>
        <v>0</v>
      </c>
      <c r="L9" s="266">
        <f>4.5%*Pārdošana!L6</f>
        <v>0</v>
      </c>
      <c r="M9" s="266">
        <f>4.5%*Pārdošana!M6</f>
        <v>0</v>
      </c>
      <c r="N9" s="266">
        <f>4.5%*Pārdošana!N6</f>
        <v>0</v>
      </c>
      <c r="O9" s="387">
        <f t="shared" ref="O9:O13" si="2">SUM(C9:N9)</f>
        <v>0</v>
      </c>
      <c r="P9" s="408"/>
    </row>
    <row r="10" spans="2:16" x14ac:dyDescent="0.4">
      <c r="B10" s="89" t="s">
        <v>139</v>
      </c>
      <c r="C10" s="266">
        <v>0</v>
      </c>
      <c r="D10" s="472">
        <f>C10</f>
        <v>0</v>
      </c>
      <c r="E10" s="472">
        <f t="shared" ref="E10:N13" si="3">D10</f>
        <v>0</v>
      </c>
      <c r="F10" s="472">
        <f t="shared" si="3"/>
        <v>0</v>
      </c>
      <c r="G10" s="472">
        <f t="shared" si="3"/>
        <v>0</v>
      </c>
      <c r="H10" s="472">
        <f t="shared" si="3"/>
        <v>0</v>
      </c>
      <c r="I10" s="472">
        <f t="shared" si="3"/>
        <v>0</v>
      </c>
      <c r="J10" s="472">
        <f t="shared" si="3"/>
        <v>0</v>
      </c>
      <c r="K10" s="472">
        <f t="shared" si="3"/>
        <v>0</v>
      </c>
      <c r="L10" s="472">
        <f t="shared" si="3"/>
        <v>0</v>
      </c>
      <c r="M10" s="472">
        <f t="shared" si="3"/>
        <v>0</v>
      </c>
      <c r="N10" s="472">
        <f t="shared" si="3"/>
        <v>0</v>
      </c>
      <c r="O10" s="386">
        <f t="shared" si="2"/>
        <v>0</v>
      </c>
      <c r="P10" s="408"/>
    </row>
    <row r="11" spans="2:16" x14ac:dyDescent="0.4">
      <c r="B11" s="89" t="s">
        <v>135</v>
      </c>
      <c r="C11" s="266">
        <v>0</v>
      </c>
      <c r="D11" s="266">
        <v>0</v>
      </c>
      <c r="E11" s="266">
        <v>0</v>
      </c>
      <c r="F11" s="266">
        <v>0</v>
      </c>
      <c r="G11" s="266">
        <v>0</v>
      </c>
      <c r="H11" s="266">
        <v>0</v>
      </c>
      <c r="I11" s="266">
        <v>0</v>
      </c>
      <c r="J11" s="266">
        <v>0</v>
      </c>
      <c r="K11" s="266">
        <v>0</v>
      </c>
      <c r="L11" s="266">
        <v>0</v>
      </c>
      <c r="M11" s="266">
        <v>0</v>
      </c>
      <c r="N11" s="266">
        <v>0</v>
      </c>
      <c r="O11" s="386">
        <f t="shared" si="2"/>
        <v>0</v>
      </c>
      <c r="P11" s="408"/>
    </row>
    <row r="12" spans="2:16" x14ac:dyDescent="0.4">
      <c r="B12" s="89" t="s">
        <v>134</v>
      </c>
      <c r="C12" s="292">
        <f>CapEx!D15</f>
        <v>0</v>
      </c>
      <c r="D12" s="292">
        <f>CapEx!E15</f>
        <v>0</v>
      </c>
      <c r="E12" s="292">
        <f>CapEx!F15</f>
        <v>0</v>
      </c>
      <c r="F12" s="292">
        <f>CapEx!G15</f>
        <v>0</v>
      </c>
      <c r="G12" s="292">
        <f>CapEx!H15</f>
        <v>0</v>
      </c>
      <c r="H12" s="292">
        <f>CapEx!I15</f>
        <v>0</v>
      </c>
      <c r="I12" s="292">
        <f>CapEx!J15</f>
        <v>0</v>
      </c>
      <c r="J12" s="292">
        <f>CapEx!K15</f>
        <v>0</v>
      </c>
      <c r="K12" s="292">
        <f>CapEx!L15</f>
        <v>0</v>
      </c>
      <c r="L12" s="292">
        <f>CapEx!M15</f>
        <v>0</v>
      </c>
      <c r="M12" s="292">
        <f>CapEx!N15</f>
        <v>0</v>
      </c>
      <c r="N12" s="292">
        <f>CapEx!O15</f>
        <v>0</v>
      </c>
      <c r="O12" s="386">
        <f t="shared" si="2"/>
        <v>0</v>
      </c>
      <c r="P12" s="408"/>
    </row>
    <row r="13" spans="2:16" x14ac:dyDescent="0.4">
      <c r="B13" s="89" t="s">
        <v>136</v>
      </c>
      <c r="C13" s="266">
        <v>0</v>
      </c>
      <c r="D13" s="472">
        <f>C13</f>
        <v>0</v>
      </c>
      <c r="E13" s="472">
        <f t="shared" si="3"/>
        <v>0</v>
      </c>
      <c r="F13" s="472">
        <f t="shared" si="3"/>
        <v>0</v>
      </c>
      <c r="G13" s="472">
        <f t="shared" si="3"/>
        <v>0</v>
      </c>
      <c r="H13" s="472">
        <f t="shared" si="3"/>
        <v>0</v>
      </c>
      <c r="I13" s="472">
        <f t="shared" si="3"/>
        <v>0</v>
      </c>
      <c r="J13" s="472">
        <f t="shared" si="3"/>
        <v>0</v>
      </c>
      <c r="K13" s="472">
        <f t="shared" si="3"/>
        <v>0</v>
      </c>
      <c r="L13" s="472">
        <f t="shared" si="3"/>
        <v>0</v>
      </c>
      <c r="M13" s="472">
        <f t="shared" si="3"/>
        <v>0</v>
      </c>
      <c r="N13" s="472">
        <f t="shared" si="3"/>
        <v>0</v>
      </c>
      <c r="O13" s="386">
        <f t="shared" si="2"/>
        <v>0</v>
      </c>
      <c r="P13" s="408"/>
    </row>
    <row r="14" spans="2:16" x14ac:dyDescent="0.4">
      <c r="B14" s="90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146"/>
      <c r="P14" s="408"/>
    </row>
    <row r="15" spans="2:16" ht="10.5" customHeight="1" x14ac:dyDescent="0.4"/>
    <row r="16" spans="2:16" ht="10.5" customHeight="1" x14ac:dyDescent="0.4"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</row>
    <row r="17" ht="10.5" customHeight="1" x14ac:dyDescent="0.4"/>
  </sheetData>
  <protectedRanges>
    <protectedRange sqref="B8:N8 B10:N13" name="Range1"/>
  </protectedRange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2:Q18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0" sqref="C10"/>
    </sheetView>
  </sheetViews>
  <sheetFormatPr defaultColWidth="9.1328125" defaultRowHeight="14.25" x14ac:dyDescent="0.4"/>
  <cols>
    <col min="1" max="1" width="5.46484375" style="211" customWidth="1"/>
    <col min="2" max="2" width="39.46484375" style="172" bestFit="1" customWidth="1"/>
    <col min="3" max="14" width="10.46484375" style="211" customWidth="1"/>
    <col min="15" max="15" width="10.1328125" style="409" bestFit="1" customWidth="1"/>
  </cols>
  <sheetData>
    <row r="2" spans="1:17" ht="15" thickBot="1" x14ac:dyDescent="0.4">
      <c r="A2" s="3"/>
      <c r="B2" s="254" t="str">
        <f>LEFT(Pieņēmumi!$B$2,FIND("Budžets",Pieņēmumi!$B$2)-1)&amp;"Iepirkumi un krājumi "</f>
        <v xml:space="preserve">Spēka ražotājs Iepirkumi un krājumi 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17" ht="14.65" thickTop="1" x14ac:dyDescent="0.4">
      <c r="B3" s="212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</row>
    <row r="4" spans="1:17" x14ac:dyDescent="0.4">
      <c r="A4" s="3"/>
      <c r="B4" s="9"/>
      <c r="C4" s="10" t="str">
        <f>LEFT(Pieņēmumi!E7,3)</f>
        <v>Jan</v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</row>
    <row r="5" spans="1:17" x14ac:dyDescent="0.4">
      <c r="A5" s="214"/>
      <c r="B5" s="186"/>
      <c r="C5" s="215">
        <v>2</v>
      </c>
      <c r="D5" s="215">
        <v>3</v>
      </c>
      <c r="E5" s="215">
        <v>4</v>
      </c>
      <c r="F5" s="215">
        <v>5</v>
      </c>
      <c r="G5" s="215">
        <v>6</v>
      </c>
      <c r="H5" s="215">
        <v>7</v>
      </c>
      <c r="I5" s="215">
        <v>8</v>
      </c>
      <c r="J5" s="215">
        <v>9</v>
      </c>
      <c r="K5" s="215">
        <v>10</v>
      </c>
      <c r="L5" s="215">
        <v>11</v>
      </c>
      <c r="M5" s="215">
        <v>12</v>
      </c>
      <c r="N5" s="215"/>
      <c r="O5" s="410"/>
    </row>
    <row r="6" spans="1:17" x14ac:dyDescent="0.4">
      <c r="A6" s="4"/>
      <c r="B6" s="388" t="s">
        <v>184</v>
      </c>
      <c r="C6" s="389">
        <v>35000</v>
      </c>
      <c r="D6" s="389"/>
      <c r="E6" s="389"/>
      <c r="F6" s="389"/>
      <c r="G6" s="389"/>
      <c r="H6" s="389"/>
      <c r="I6" s="389"/>
      <c r="J6" s="389"/>
      <c r="K6" s="389"/>
      <c r="L6" s="389"/>
      <c r="M6" s="389"/>
      <c r="N6" s="389"/>
      <c r="O6" s="410"/>
    </row>
    <row r="7" spans="1:17" x14ac:dyDescent="0.4">
      <c r="A7" s="4"/>
      <c r="B7" s="37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410"/>
    </row>
    <row r="8" spans="1:17" x14ac:dyDescent="0.4">
      <c r="A8" s="1"/>
      <c r="B8" s="138" t="s">
        <v>184</v>
      </c>
      <c r="C8" s="285">
        <f>C6</f>
        <v>35000</v>
      </c>
      <c r="D8" s="285">
        <f>C12</f>
        <v>35000</v>
      </c>
      <c r="E8" s="285">
        <f t="shared" ref="E8:M8" si="1">D12</f>
        <v>35000</v>
      </c>
      <c r="F8" s="285">
        <f t="shared" si="1"/>
        <v>35000</v>
      </c>
      <c r="G8" s="285">
        <f t="shared" si="1"/>
        <v>35000</v>
      </c>
      <c r="H8" s="285">
        <f t="shared" si="1"/>
        <v>35000</v>
      </c>
      <c r="I8" s="285">
        <f t="shared" si="1"/>
        <v>35000</v>
      </c>
      <c r="J8" s="285">
        <f t="shared" si="1"/>
        <v>35000</v>
      </c>
      <c r="K8" s="285">
        <f t="shared" si="1"/>
        <v>35000</v>
      </c>
      <c r="L8" s="285">
        <f t="shared" si="1"/>
        <v>35000</v>
      </c>
      <c r="M8" s="285">
        <f t="shared" si="1"/>
        <v>35000</v>
      </c>
      <c r="N8" s="285">
        <f>M12</f>
        <v>35000</v>
      </c>
      <c r="O8" s="411"/>
    </row>
    <row r="9" spans="1:17" x14ac:dyDescent="0.4">
      <c r="A9" s="1"/>
      <c r="B9" s="13" t="s">
        <v>189</v>
      </c>
      <c r="C9" s="272">
        <f>-SUM(PZA!C11:C12)</f>
        <v>0</v>
      </c>
      <c r="D9" s="272">
        <f>-SUM(PZA!D11:D12)</f>
        <v>0</v>
      </c>
      <c r="E9" s="272">
        <f>-SUM(PZA!E11:E12)</f>
        <v>0</v>
      </c>
      <c r="F9" s="272">
        <f>-SUM(PZA!F11:F12)</f>
        <v>0</v>
      </c>
      <c r="G9" s="272">
        <f>-SUM(PZA!G11:G12)</f>
        <v>0</v>
      </c>
      <c r="H9" s="272">
        <f>-SUM(PZA!H11:H12)</f>
        <v>0</v>
      </c>
      <c r="I9" s="272">
        <f>-SUM(PZA!I11:I12)</f>
        <v>0</v>
      </c>
      <c r="J9" s="272">
        <f>-SUM(PZA!J11:J12)</f>
        <v>0</v>
      </c>
      <c r="K9" s="272">
        <f>-SUM(PZA!K11:K12)</f>
        <v>0</v>
      </c>
      <c r="L9" s="272">
        <f>-SUM(PZA!L11:L12)</f>
        <v>0</v>
      </c>
      <c r="M9" s="272">
        <f>-SUM(PZA!M11:M12)</f>
        <v>0</v>
      </c>
      <c r="N9" s="272">
        <f>-SUM(PZA!N11:N12)</f>
        <v>0</v>
      </c>
      <c r="O9" s="474">
        <f>N9</f>
        <v>0</v>
      </c>
      <c r="P9" s="473">
        <f>O9</f>
        <v>0</v>
      </c>
      <c r="Q9" s="473">
        <f>P9</f>
        <v>0</v>
      </c>
    </row>
    <row r="10" spans="1:17" x14ac:dyDescent="0.4">
      <c r="A10" s="1"/>
      <c r="B10" s="92" t="s">
        <v>185</v>
      </c>
      <c r="C10" s="294">
        <v>0</v>
      </c>
      <c r="D10" s="294">
        <v>0</v>
      </c>
      <c r="E10" s="294">
        <v>0</v>
      </c>
      <c r="F10" s="294">
        <v>0</v>
      </c>
      <c r="G10" s="294">
        <v>0</v>
      </c>
      <c r="H10" s="294">
        <v>0</v>
      </c>
      <c r="I10" s="294">
        <v>0</v>
      </c>
      <c r="J10" s="294">
        <v>0</v>
      </c>
      <c r="K10" s="294">
        <v>0</v>
      </c>
      <c r="L10" s="294">
        <v>0</v>
      </c>
      <c r="M10" s="294">
        <v>0</v>
      </c>
      <c r="N10" s="294">
        <v>0</v>
      </c>
      <c r="O10" s="411"/>
    </row>
    <row r="11" spans="1:17" x14ac:dyDescent="0.4">
      <c r="A11" s="1"/>
      <c r="B11" s="13" t="s">
        <v>186</v>
      </c>
      <c r="C11" s="295">
        <f>MAX(IF(AND(C$10&gt;0,C$10&lt;=30),-D$9*C$10/30-C$9-C$8,IF(AND(C$10&gt;30,C$10&lt;=60),-E$9*(C$10-30)/30-C$9-D$9-C$8,IF(AND(C$10&gt;60,C$10&lt;=90),-F$9*(C$10-60)/30-C$9-D$9-E$9-C$8))),0)</f>
        <v>0</v>
      </c>
      <c r="D11" s="295">
        <f t="shared" ref="D11:N11" si="2">MAX(IF(AND(D$10&gt;0,D$10&lt;=30),-E$9*D$10/30-D$9-D$8,IF(AND(D$10&gt;30,D$10&lt;=60),-F$9*(D$10-30)/30-D$9-E$9-D$8,IF(AND(D$10&gt;60,D$10&lt;=90),-G$9*(D$10-60)/30-D$9-E$9-F$9-D$8))),0)</f>
        <v>0</v>
      </c>
      <c r="E11" s="295">
        <f t="shared" si="2"/>
        <v>0</v>
      </c>
      <c r="F11" s="295">
        <f t="shared" si="2"/>
        <v>0</v>
      </c>
      <c r="G11" s="295">
        <f t="shared" si="2"/>
        <v>0</v>
      </c>
      <c r="H11" s="295">
        <f t="shared" si="2"/>
        <v>0</v>
      </c>
      <c r="I11" s="295">
        <f t="shared" si="2"/>
        <v>0</v>
      </c>
      <c r="J11" s="295">
        <f t="shared" si="2"/>
        <v>0</v>
      </c>
      <c r="K11" s="295">
        <f t="shared" si="2"/>
        <v>0</v>
      </c>
      <c r="L11" s="295">
        <f t="shared" si="2"/>
        <v>0</v>
      </c>
      <c r="M11" s="295">
        <f t="shared" si="2"/>
        <v>0</v>
      </c>
      <c r="N11" s="295">
        <f t="shared" si="2"/>
        <v>0</v>
      </c>
      <c r="O11" s="411"/>
    </row>
    <row r="12" spans="1:17" x14ac:dyDescent="0.4">
      <c r="A12" s="1"/>
      <c r="B12" s="138" t="s">
        <v>187</v>
      </c>
      <c r="C12" s="136">
        <f>SUM(C8+C9+C11)</f>
        <v>35000</v>
      </c>
      <c r="D12" s="136">
        <f t="shared" ref="D12:N12" si="3">SUM(D8+D9+D11)</f>
        <v>35000</v>
      </c>
      <c r="E12" s="136">
        <f t="shared" si="3"/>
        <v>35000</v>
      </c>
      <c r="F12" s="136">
        <f t="shared" si="3"/>
        <v>35000</v>
      </c>
      <c r="G12" s="136">
        <f t="shared" si="3"/>
        <v>35000</v>
      </c>
      <c r="H12" s="136">
        <f t="shared" si="3"/>
        <v>35000</v>
      </c>
      <c r="I12" s="136">
        <f t="shared" si="3"/>
        <v>35000</v>
      </c>
      <c r="J12" s="136">
        <f t="shared" si="3"/>
        <v>35000</v>
      </c>
      <c r="K12" s="136">
        <f t="shared" si="3"/>
        <v>35000</v>
      </c>
      <c r="L12" s="136">
        <f t="shared" si="3"/>
        <v>35000</v>
      </c>
      <c r="M12" s="136">
        <f t="shared" si="3"/>
        <v>35000</v>
      </c>
      <c r="N12" s="136">
        <f t="shared" si="3"/>
        <v>35000</v>
      </c>
      <c r="O12" s="411"/>
    </row>
    <row r="13" spans="1:17" x14ac:dyDescent="0.4">
      <c r="A13"/>
      <c r="B13" s="148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411"/>
    </row>
    <row r="14" spans="1:17" x14ac:dyDescent="0.35">
      <c r="A14" s="5"/>
      <c r="B14" s="93" t="s">
        <v>188</v>
      </c>
      <c r="C14" s="293">
        <f>Bilance!D5</f>
        <v>136126.97544731706</v>
      </c>
      <c r="D14" s="293">
        <f>Bilance!E5</f>
        <v>126126.97544731706</v>
      </c>
      <c r="E14" s="293">
        <f>Bilance!F5</f>
        <v>96126.975447317061</v>
      </c>
      <c r="F14" s="293">
        <f>Bilance!G5</f>
        <v>96126.975447317061</v>
      </c>
      <c r="G14" s="293">
        <f>Bilance!H5</f>
        <v>96126.975447317061</v>
      </c>
      <c r="H14" s="293">
        <f>Bilance!I5</f>
        <v>96126.975447317061</v>
      </c>
      <c r="I14" s="293">
        <f>Bilance!J5</f>
        <v>96126.975447317061</v>
      </c>
      <c r="J14" s="293">
        <f>Bilance!K5</f>
        <v>96126.975447317061</v>
      </c>
      <c r="K14" s="293">
        <f>Bilance!L5</f>
        <v>96126.975447317061</v>
      </c>
      <c r="L14" s="293">
        <f>Bilance!M5</f>
        <v>96126.975447317061</v>
      </c>
      <c r="M14" s="293">
        <f>Bilance!N5</f>
        <v>96126.975447317061</v>
      </c>
      <c r="N14" s="293">
        <f>Bilance!O5</f>
        <v>96126.975447317061</v>
      </c>
      <c r="O14" s="411"/>
    </row>
    <row r="15" spans="1:17" x14ac:dyDescent="0.4">
      <c r="A15"/>
      <c r="B15" s="148"/>
      <c r="C15"/>
      <c r="D15"/>
      <c r="E15"/>
      <c r="F15"/>
      <c r="G15"/>
      <c r="H15"/>
      <c r="I15"/>
      <c r="J15"/>
      <c r="K15"/>
      <c r="L15"/>
      <c r="M15"/>
      <c r="N15"/>
      <c r="O15" s="411"/>
    </row>
    <row r="16" spans="1:17" x14ac:dyDescent="0.4">
      <c r="B16" s="216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411"/>
    </row>
    <row r="17" spans="2:15" x14ac:dyDescent="0.4">
      <c r="B17" s="148"/>
      <c r="C17"/>
      <c r="D17"/>
      <c r="E17"/>
      <c r="F17"/>
      <c r="G17"/>
      <c r="H17"/>
      <c r="I17"/>
      <c r="J17"/>
      <c r="K17"/>
      <c r="L17"/>
      <c r="M17"/>
      <c r="N17"/>
      <c r="O17" s="411"/>
    </row>
    <row r="18" spans="2:15" x14ac:dyDescent="0.4">
      <c r="B18" s="148"/>
      <c r="C18"/>
      <c r="D18"/>
      <c r="E18"/>
      <c r="F18"/>
      <c r="G18"/>
      <c r="H18"/>
      <c r="I18"/>
      <c r="J18"/>
      <c r="K18"/>
      <c r="L18"/>
      <c r="M18"/>
      <c r="N18"/>
    </row>
  </sheetData>
  <protectedRanges>
    <protectedRange sqref="C6 C13:N13 C8:N8 C9:Q9 C10:N10" name="Range1_1_2"/>
  </protectedRange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>
    <tabColor theme="5" tint="0.39997558519241921"/>
  </sheetPr>
  <dimension ref="B2:P64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9.1328125" defaultRowHeight="14.25" x14ac:dyDescent="0.4"/>
  <cols>
    <col min="1" max="1" width="5.46484375" style="211" customWidth="1"/>
    <col min="2" max="2" width="54.53125" style="172" bestFit="1" customWidth="1"/>
    <col min="3" max="3" width="10.1328125" style="172" bestFit="1" customWidth="1"/>
    <col min="4" max="4" width="10.1328125" style="211" bestFit="1" customWidth="1"/>
    <col min="5" max="15" width="10.46484375" style="211" customWidth="1"/>
    <col min="16" max="16" width="9.1328125" style="409"/>
    <col min="17" max="17" width="9.46484375" style="211" bestFit="1" customWidth="1"/>
    <col min="18" max="16384" width="9.1328125" style="211"/>
  </cols>
  <sheetData>
    <row r="2" spans="2:16" ht="15" thickBot="1" x14ac:dyDescent="0.4">
      <c r="B2" s="254" t="str">
        <f>LEFT(Pieņēmumi!$B$2,FIND("Budžets",Pieņēmumi!$B$2)-1)&amp;"Debitori un priekšapmaksas "</f>
        <v xml:space="preserve">Spēka ražotājs Debitori un priekšapmaksas 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</row>
    <row r="3" spans="2:16" ht="14.65" thickTop="1" x14ac:dyDescent="0.4">
      <c r="B3" s="212"/>
      <c r="C3" s="212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</row>
    <row r="4" spans="2:16" x14ac:dyDescent="0.4">
      <c r="B4" s="9"/>
      <c r="C4" s="10" t="str">
        <f>O4</f>
        <v>Dec</v>
      </c>
      <c r="D4" s="10" t="str">
        <f>LEFT(Pieņēmumi!E7,3)</f>
        <v>Jan</v>
      </c>
      <c r="E4" s="10" t="str">
        <f t="shared" ref="E4:O4" si="0">MID(Month,SEARCH(D4,Month,1)+3,3)</f>
        <v>Feb</v>
      </c>
      <c r="F4" s="10" t="str">
        <f t="shared" si="0"/>
        <v>Mar</v>
      </c>
      <c r="G4" s="10" t="str">
        <f t="shared" si="0"/>
        <v>Apr</v>
      </c>
      <c r="H4" s="10" t="str">
        <f t="shared" si="0"/>
        <v>May</v>
      </c>
      <c r="I4" s="10" t="str">
        <f t="shared" si="0"/>
        <v>Jun</v>
      </c>
      <c r="J4" s="10" t="str">
        <f t="shared" si="0"/>
        <v>Jul</v>
      </c>
      <c r="K4" s="10" t="str">
        <f t="shared" si="0"/>
        <v>Aug</v>
      </c>
      <c r="L4" s="10" t="str">
        <f t="shared" si="0"/>
        <v>Sep</v>
      </c>
      <c r="M4" s="10" t="str">
        <f t="shared" si="0"/>
        <v>Oct</v>
      </c>
      <c r="N4" s="10" t="str">
        <f t="shared" si="0"/>
        <v>Nov</v>
      </c>
      <c r="O4" s="10" t="str">
        <f t="shared" si="0"/>
        <v>Dec</v>
      </c>
    </row>
    <row r="5" spans="2:16" s="214" customFormat="1" x14ac:dyDescent="0.4">
      <c r="B5" s="186"/>
      <c r="C5" s="186"/>
      <c r="D5" s="215">
        <v>2</v>
      </c>
      <c r="E5" s="215">
        <v>3</v>
      </c>
      <c r="F5" s="215">
        <v>4</v>
      </c>
      <c r="G5" s="215">
        <v>5</v>
      </c>
      <c r="H5" s="215">
        <v>6</v>
      </c>
      <c r="I5" s="215">
        <v>7</v>
      </c>
      <c r="J5" s="215">
        <v>8</v>
      </c>
      <c r="K5" s="215">
        <v>9</v>
      </c>
      <c r="L5" s="215">
        <v>10</v>
      </c>
      <c r="M5" s="215">
        <v>11</v>
      </c>
      <c r="N5" s="215">
        <v>12</v>
      </c>
      <c r="O5" s="215"/>
      <c r="P5" s="410"/>
    </row>
    <row r="6" spans="2:16" s="214" customFormat="1" x14ac:dyDescent="0.4">
      <c r="B6" s="139" t="s">
        <v>148</v>
      </c>
      <c r="C6" s="296">
        <v>50000</v>
      </c>
      <c r="D6" s="296">
        <v>25000</v>
      </c>
      <c r="E6" s="296">
        <v>0</v>
      </c>
      <c r="F6" s="296">
        <v>0</v>
      </c>
      <c r="G6" s="296">
        <v>0</v>
      </c>
      <c r="H6" s="296">
        <v>0</v>
      </c>
      <c r="I6" s="296">
        <v>0</v>
      </c>
      <c r="J6" s="296">
        <v>0</v>
      </c>
      <c r="K6" s="296">
        <v>0</v>
      </c>
      <c r="L6" s="296">
        <v>0</v>
      </c>
      <c r="M6" s="296">
        <v>0</v>
      </c>
      <c r="N6" s="296">
        <v>0</v>
      </c>
      <c r="O6" s="296">
        <v>0</v>
      </c>
      <c r="P6" s="410"/>
    </row>
    <row r="7" spans="2:16" s="214" customFormat="1" x14ac:dyDescent="0.4">
      <c r="B7" s="440" t="s">
        <v>147</v>
      </c>
      <c r="C7" s="297">
        <v>10000</v>
      </c>
      <c r="D7" s="297">
        <v>0</v>
      </c>
      <c r="E7" s="297">
        <v>0</v>
      </c>
      <c r="F7" s="297">
        <v>0</v>
      </c>
      <c r="G7" s="297">
        <v>0</v>
      </c>
      <c r="H7" s="297">
        <v>0</v>
      </c>
      <c r="I7" s="297">
        <v>0</v>
      </c>
      <c r="J7" s="297">
        <v>0</v>
      </c>
      <c r="K7" s="297">
        <v>0</v>
      </c>
      <c r="L7" s="297">
        <v>0</v>
      </c>
      <c r="M7" s="297">
        <v>0</v>
      </c>
      <c r="N7" s="297">
        <v>0</v>
      </c>
      <c r="O7" s="297">
        <v>0</v>
      </c>
      <c r="P7" s="410"/>
    </row>
    <row r="8" spans="2:16" s="214" customFormat="1" x14ac:dyDescent="0.4">
      <c r="B8" s="186"/>
      <c r="C8" s="186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410"/>
    </row>
    <row r="9" spans="2:16" s="214" customFormat="1" x14ac:dyDescent="0.4">
      <c r="B9" s="441" t="str">
        <f>Pieņēmumi!$B$32</f>
        <v>Pārdosanas kanāls 1</v>
      </c>
      <c r="C9" s="441"/>
      <c r="D9" s="298"/>
      <c r="E9" s="298"/>
      <c r="F9" s="298"/>
      <c r="G9" s="298"/>
      <c r="H9" s="298"/>
      <c r="I9" s="298"/>
      <c r="J9" s="298"/>
      <c r="K9" s="298"/>
      <c r="L9" s="298"/>
      <c r="M9" s="298"/>
      <c r="N9" s="298"/>
      <c r="O9" s="298"/>
      <c r="P9" s="410"/>
    </row>
    <row r="10" spans="2:16" customFormat="1" x14ac:dyDescent="0.4">
      <c r="B10" s="94" t="s">
        <v>143</v>
      </c>
      <c r="C10" s="94"/>
      <c r="D10" s="299">
        <f>VLOOKUP($B9,Pieņēmumi!$B$32:$C$37,2,FALSE)*Pārdošana!C$6</f>
        <v>0</v>
      </c>
      <c r="E10" s="299">
        <f>VLOOKUP($B9,Pieņēmumi!$B$32:$C$37,2,FALSE)*Pārdošana!D$6</f>
        <v>0</v>
      </c>
      <c r="F10" s="299">
        <f>VLOOKUP($B9,Pieņēmumi!$B$32:$C$37,2,FALSE)*Pārdošana!E$6</f>
        <v>0</v>
      </c>
      <c r="G10" s="299">
        <f>VLOOKUP($B9,Pieņēmumi!$B$32:$C$37,2,FALSE)*Pārdošana!F$6</f>
        <v>0</v>
      </c>
      <c r="H10" s="299">
        <f>VLOOKUP($B9,Pieņēmumi!$B$32:$C$37,2,FALSE)*Pārdošana!G$6</f>
        <v>0</v>
      </c>
      <c r="I10" s="299">
        <f>VLOOKUP($B9,Pieņēmumi!$B$32:$C$37,2,FALSE)*Pārdošana!H$6</f>
        <v>0</v>
      </c>
      <c r="J10" s="299">
        <f>VLOOKUP($B9,Pieņēmumi!$B$32:$C$37,2,FALSE)*Pārdošana!I$6</f>
        <v>0</v>
      </c>
      <c r="K10" s="299">
        <f>VLOOKUP($B9,Pieņēmumi!$B$32:$C$37,2,FALSE)*Pārdošana!J$6</f>
        <v>0</v>
      </c>
      <c r="L10" s="299">
        <f>VLOOKUP($B9,Pieņēmumi!$B$32:$C$37,2,FALSE)*Pārdošana!K$6</f>
        <v>0</v>
      </c>
      <c r="M10" s="299">
        <f>VLOOKUP($B9,Pieņēmumi!$B$32:$C$37,2,FALSE)*Pārdošana!L$6</f>
        <v>0</v>
      </c>
      <c r="N10" s="299">
        <f>VLOOKUP($B9,Pieņēmumi!$B$32:$C$37,2,FALSE)*Pārdošana!M$6</f>
        <v>0</v>
      </c>
      <c r="O10" s="299">
        <f>VLOOKUP($B9,Pieņēmumi!$B$32:$C$37,2,FALSE)*Pārdošana!N$6</f>
        <v>0</v>
      </c>
      <c r="P10" s="411"/>
    </row>
    <row r="11" spans="2:16" customFormat="1" x14ac:dyDescent="0.4">
      <c r="B11" s="13" t="s">
        <v>144</v>
      </c>
      <c r="C11" s="13"/>
      <c r="D11" s="394">
        <f>INDEX(Pieņēmumi!$I$32:$I$37,MATCH($B9,Pieņēmumi!$B$32:$B$37,0))</f>
        <v>0</v>
      </c>
      <c r="E11" s="394">
        <f>INDEX(Pieņēmumi!$I$32:$I$37,MATCH($B9,Pieņēmumi!$B$32:$B$37,0))</f>
        <v>0</v>
      </c>
      <c r="F11" s="394">
        <f>INDEX(Pieņēmumi!$I$32:$I$37,MATCH($B9,Pieņēmumi!$B$32:$B$37,0))</f>
        <v>0</v>
      </c>
      <c r="G11" s="394">
        <f>INDEX(Pieņēmumi!$I$32:$I$37,MATCH($B9,Pieņēmumi!$B$32:$B$37,0))</f>
        <v>0</v>
      </c>
      <c r="H11" s="394">
        <f>INDEX(Pieņēmumi!$I$32:$I$37,MATCH($B9,Pieņēmumi!$B$32:$B$37,0))</f>
        <v>0</v>
      </c>
      <c r="I11" s="394">
        <f>INDEX(Pieņēmumi!$I$32:$I$37,MATCH($B9,Pieņēmumi!$B$32:$B$37,0))</f>
        <v>0</v>
      </c>
      <c r="J11" s="394">
        <f>INDEX(Pieņēmumi!$I$32:$I$37,MATCH($B9,Pieņēmumi!$B$32:$B$37,0))</f>
        <v>0</v>
      </c>
      <c r="K11" s="394">
        <f>INDEX(Pieņēmumi!$I$32:$I$37,MATCH($B9,Pieņēmumi!$B$32:$B$37,0))</f>
        <v>0</v>
      </c>
      <c r="L11" s="394">
        <f>INDEX(Pieņēmumi!$I$32:$I$37,MATCH($B9,Pieņēmumi!$B$32:$B$37,0))</f>
        <v>0</v>
      </c>
      <c r="M11" s="394">
        <f>INDEX(Pieņēmumi!$I$32:$I$37,MATCH($B9,Pieņēmumi!$B$32:$B$37,0))</f>
        <v>0</v>
      </c>
      <c r="N11" s="394">
        <f>INDEX(Pieņēmumi!$I$32:$I$37,MATCH($B9,Pieņēmumi!$B$32:$B$37,0))</f>
        <v>0</v>
      </c>
      <c r="O11" s="394">
        <f>INDEX(Pieņēmumi!$I$32:$I$37,MATCH($B9,Pieņēmumi!$B$32:$B$37,0))</f>
        <v>0</v>
      </c>
      <c r="P11" s="411"/>
    </row>
    <row r="12" spans="2:16" customFormat="1" x14ac:dyDescent="0.4">
      <c r="B12" s="13" t="s">
        <v>252</v>
      </c>
      <c r="C12" s="13"/>
      <c r="D12" s="300">
        <f>INDEX(Pieņēmumi!$H$32:$H$37,MATCH($B9,Pieņēmumi!$B$32:$B$37,0))</f>
        <v>0</v>
      </c>
      <c r="E12" s="300">
        <f>INDEX(Pieņēmumi!$H$32:$H$37,MATCH($B9,Pieņēmumi!$B$32:$B$37,0))</f>
        <v>0</v>
      </c>
      <c r="F12" s="300">
        <f>INDEX(Pieņēmumi!$H$32:$H$37,MATCH($B9,Pieņēmumi!$B$32:$B$37,0))</f>
        <v>0</v>
      </c>
      <c r="G12" s="300">
        <f>INDEX(Pieņēmumi!$H$32:$H$37,MATCH($B9,Pieņēmumi!$B$32:$B$37,0))</f>
        <v>0</v>
      </c>
      <c r="H12" s="300">
        <f>INDEX(Pieņēmumi!$H$32:$H$37,MATCH($B9,Pieņēmumi!$B$32:$B$37,0))</f>
        <v>0</v>
      </c>
      <c r="I12" s="300">
        <f>INDEX(Pieņēmumi!$H$32:$H$37,MATCH($B9,Pieņēmumi!$B$32:$B$37,0))</f>
        <v>0</v>
      </c>
      <c r="J12" s="300">
        <f>INDEX(Pieņēmumi!$H$32:$H$37,MATCH($B9,Pieņēmumi!$B$32:$B$37,0))</f>
        <v>0</v>
      </c>
      <c r="K12" s="300">
        <f>INDEX(Pieņēmumi!$H$32:$H$37,MATCH($B9,Pieņēmumi!$B$32:$B$37,0))</f>
        <v>0</v>
      </c>
      <c r="L12" s="300">
        <f>INDEX(Pieņēmumi!$H$32:$H$37,MATCH($B9,Pieņēmumi!$B$32:$B$37,0))</f>
        <v>0</v>
      </c>
      <c r="M12" s="300">
        <f>INDEX(Pieņēmumi!$H$32:$H$37,MATCH($B9,Pieņēmumi!$B$32:$B$37,0))</f>
        <v>0</v>
      </c>
      <c r="N12" s="300">
        <f>INDEX(Pieņēmumi!$H$32:$H$37,MATCH($B9,Pieņēmumi!$B$32:$B$37,0))</f>
        <v>0</v>
      </c>
      <c r="O12" s="300">
        <f>INDEX(Pieņēmumi!$H$32:$H$37,MATCH($B9,Pieņēmumi!$B$32:$B$37,0))</f>
        <v>0</v>
      </c>
      <c r="P12" s="411"/>
    </row>
    <row r="13" spans="2:16" customFormat="1" x14ac:dyDescent="0.4">
      <c r="B13" s="13" t="s">
        <v>50</v>
      </c>
      <c r="C13" s="13"/>
      <c r="D13" s="394">
        <f>INDEX(Pieņēmumi!$G$32:$G$37,MATCH($B9,Pieņēmumi!$B$32:$B$37,0))</f>
        <v>0</v>
      </c>
      <c r="E13" s="394">
        <f>INDEX(Pieņēmumi!$G$32:$G$37,MATCH($B9,Pieņēmumi!$B$32:$B$37,0))</f>
        <v>0</v>
      </c>
      <c r="F13" s="394">
        <f>INDEX(Pieņēmumi!$G$32:$G$37,MATCH($B9,Pieņēmumi!$B$32:$B$37,0))</f>
        <v>0</v>
      </c>
      <c r="G13" s="394">
        <f>INDEX(Pieņēmumi!$G$32:$G$37,MATCH($B9,Pieņēmumi!$B$32:$B$37,0))</f>
        <v>0</v>
      </c>
      <c r="H13" s="394">
        <f>INDEX(Pieņēmumi!$G$32:$G$37,MATCH($B9,Pieņēmumi!$B$32:$B$37,0))</f>
        <v>0</v>
      </c>
      <c r="I13" s="394">
        <f>INDEX(Pieņēmumi!$G$32:$G$37,MATCH($B9,Pieņēmumi!$B$32:$B$37,0))</f>
        <v>0</v>
      </c>
      <c r="J13" s="394">
        <f>INDEX(Pieņēmumi!$G$32:$G$37,MATCH($B9,Pieņēmumi!$B$32:$B$37,0))</f>
        <v>0</v>
      </c>
      <c r="K13" s="394">
        <f>INDEX(Pieņēmumi!$G$32:$G$37,MATCH($B9,Pieņēmumi!$B$32:$B$37,0))</f>
        <v>0</v>
      </c>
      <c r="L13" s="394">
        <f>INDEX(Pieņēmumi!$G$32:$G$37,MATCH($B9,Pieņēmumi!$B$32:$B$37,0))</f>
        <v>0</v>
      </c>
      <c r="M13" s="394">
        <f>INDEX(Pieņēmumi!$G$32:$G$37,MATCH($B9,Pieņēmumi!$B$32:$B$37,0))</f>
        <v>0</v>
      </c>
      <c r="N13" s="394">
        <f>INDEX(Pieņēmumi!$G$32:$G$37,MATCH($B9,Pieņēmumi!$B$32:$B$37,0))</f>
        <v>0</v>
      </c>
      <c r="O13" s="394">
        <f>INDEX(Pieņēmumi!$G$32:$G$37,MATCH($B9,Pieņēmumi!$B$32:$B$37,0))</f>
        <v>0</v>
      </c>
      <c r="P13" s="411"/>
    </row>
    <row r="14" spans="2:16" customFormat="1" x14ac:dyDescent="0.4">
      <c r="B14" s="13" t="s">
        <v>253</v>
      </c>
      <c r="C14" s="13"/>
      <c r="D14" s="300">
        <f>INDEX(Pieņēmumi!$F$32:$F$37,MATCH($B9,Pieņēmumi!$B$32:$B$37,0))</f>
        <v>0</v>
      </c>
      <c r="E14" s="300">
        <f>INDEX(Pieņēmumi!$F$32:$F$37,MATCH($B9,Pieņēmumi!$B$32:$B$37,0))</f>
        <v>0</v>
      </c>
      <c r="F14" s="300">
        <f>INDEX(Pieņēmumi!$F$32:$F$37,MATCH($B9,Pieņēmumi!$B$32:$B$37,0))</f>
        <v>0</v>
      </c>
      <c r="G14" s="300">
        <f>INDEX(Pieņēmumi!$F$32:$F$37,MATCH($B9,Pieņēmumi!$B$32:$B$37,0))</f>
        <v>0</v>
      </c>
      <c r="H14" s="300">
        <f>INDEX(Pieņēmumi!$F$32:$F$37,MATCH($B9,Pieņēmumi!$B$32:$B$37,0))</f>
        <v>0</v>
      </c>
      <c r="I14" s="300">
        <f>INDEX(Pieņēmumi!$F$32:$F$37,MATCH($B9,Pieņēmumi!$B$32:$B$37,0))</f>
        <v>0</v>
      </c>
      <c r="J14" s="300">
        <f>INDEX(Pieņēmumi!$F$32:$F$37,MATCH($B9,Pieņēmumi!$B$32:$B$37,0))</f>
        <v>0</v>
      </c>
      <c r="K14" s="300">
        <f>INDEX(Pieņēmumi!$F$32:$F$37,MATCH($B9,Pieņēmumi!$B$32:$B$37,0))</f>
        <v>0</v>
      </c>
      <c r="L14" s="300">
        <f>INDEX(Pieņēmumi!$F$32:$F$37,MATCH($B9,Pieņēmumi!$B$32:$B$37,0))</f>
        <v>0</v>
      </c>
      <c r="M14" s="300">
        <f>INDEX(Pieņēmumi!$F$32:$F$37,MATCH($B9,Pieņēmumi!$B$32:$B$37,0))</f>
        <v>0</v>
      </c>
      <c r="N14" s="300">
        <f>INDEX(Pieņēmumi!$F$32:$F$37,MATCH($B9,Pieņēmumi!$B$32:$B$37,0))</f>
        <v>0</v>
      </c>
      <c r="O14" s="300">
        <f>INDEX(Pieņēmumi!$F$32:$F$37,MATCH($B9,Pieņēmumi!$B$32:$B$37,0))</f>
        <v>0</v>
      </c>
      <c r="P14" s="411"/>
    </row>
    <row r="15" spans="2:16" customFormat="1" x14ac:dyDescent="0.4">
      <c r="B15" s="95" t="s">
        <v>145</v>
      </c>
      <c r="C15" s="95"/>
      <c r="D15" s="301">
        <f>D10*D13*MIN(D14/30,1)</f>
        <v>0</v>
      </c>
      <c r="E15" s="301">
        <f>E10*E13*MIN(E14/30,1)+D10*D13*MAX(MIN(D14/30-1,1),0)</f>
        <v>0</v>
      </c>
      <c r="F15" s="301">
        <f>F10*F13*MIN(F14/30,1)+E10*E13*MAX(MIN(E14/30-1,1),0)+D10*D13*MAX(MIN(D14/30-2,1),0)</f>
        <v>0</v>
      </c>
      <c r="G15" s="301">
        <f>G10*G13*MIN(G14/30,1)+F10*F13*MAX(MIN(F14/30-1,1),0)+E10*E13*MAX(MIN(E14/30-2,1),0)+D10*D13*MAX(MIN(D14/30-3,1),0)</f>
        <v>0</v>
      </c>
      <c r="H15" s="301">
        <f>H10*H13*MIN(H14/30,1)+G10*G13*MAX(MIN(G14/30-1,1),0)+F10*F13*MAX(MIN(F14/30-2,1),0)+E10*E13*MAX(MIN(E14/30-3,1),0)</f>
        <v>0</v>
      </c>
      <c r="I15" s="301">
        <f t="shared" ref="I15:O15" si="1">I10*I13*MIN(I14/30,1)+H10*H13*MAX(MIN(H14/30-1,1),0)+G10*G13*MAX(MIN(G14/30-2,1),0)+F10*F13*MAX(MIN(F14/30-3,1),0)</f>
        <v>0</v>
      </c>
      <c r="J15" s="301">
        <f t="shared" si="1"/>
        <v>0</v>
      </c>
      <c r="K15" s="301">
        <f t="shared" si="1"/>
        <v>0</v>
      </c>
      <c r="L15" s="301">
        <f t="shared" si="1"/>
        <v>0</v>
      </c>
      <c r="M15" s="301">
        <f t="shared" si="1"/>
        <v>0</v>
      </c>
      <c r="N15" s="301">
        <f t="shared" si="1"/>
        <v>0</v>
      </c>
      <c r="O15" s="301">
        <f t="shared" si="1"/>
        <v>0</v>
      </c>
      <c r="P15" s="411"/>
    </row>
    <row r="16" spans="2:16" customFormat="1" x14ac:dyDescent="0.4">
      <c r="B16" s="48" t="s">
        <v>146</v>
      </c>
      <c r="C16" s="48"/>
      <c r="D16" s="276">
        <f>G10*G11*MIN(G12/30,1)+F10*F11*MAX(MIN(F12/30-1,1),0)+E10*E11*MAX(MIN(E12/30-2,1),0)+D10*D11*MAX(MIN(D12/30-3,1),0)</f>
        <v>0</v>
      </c>
      <c r="E16" s="276">
        <f t="shared" ref="E16:L16" si="2">H10*H11*MIN(H12/30,1)+G10*G11*MAX(MIN(G12/30-1,1),0)+F10*F11*MAX(MIN(F12/30-2,1),0)+E10*E11*MAX(MIN(E12/30-3,1),0)</f>
        <v>0</v>
      </c>
      <c r="F16" s="276">
        <f t="shared" si="2"/>
        <v>0</v>
      </c>
      <c r="G16" s="276">
        <f t="shared" si="2"/>
        <v>0</v>
      </c>
      <c r="H16" s="276">
        <f t="shared" si="2"/>
        <v>0</v>
      </c>
      <c r="I16" s="276">
        <f t="shared" si="2"/>
        <v>0</v>
      </c>
      <c r="J16" s="276">
        <f t="shared" si="2"/>
        <v>0</v>
      </c>
      <c r="K16" s="276">
        <f t="shared" si="2"/>
        <v>0</v>
      </c>
      <c r="L16" s="276">
        <f t="shared" si="2"/>
        <v>0</v>
      </c>
      <c r="M16" s="276">
        <f>O10*O11*MIN(O12/30,1)+N10*N11*MAX(MIN(N12/30-1,1),0)+M10*M11*MAX(MIN(M12/30-2,1),0)</f>
        <v>0</v>
      </c>
      <c r="N16" s="276">
        <f>O10*O11*MIN(O12/30,1)+N10*N11*MAX(MIN(N12/30-1,1),0)</f>
        <v>0</v>
      </c>
      <c r="O16" s="276">
        <f>O10*O11*MIN(O12/30,1)</f>
        <v>0</v>
      </c>
      <c r="P16" s="411"/>
    </row>
    <row r="17" spans="2:15" x14ac:dyDescent="0.4">
      <c r="B17" s="148"/>
      <c r="C17" s="148"/>
      <c r="D17" s="302"/>
      <c r="E17" s="302"/>
      <c r="F17" s="302"/>
      <c r="G17" s="302"/>
      <c r="H17" s="302"/>
      <c r="I17" s="302"/>
      <c r="J17" s="302"/>
      <c r="K17" s="302"/>
      <c r="L17" s="302"/>
      <c r="M17" s="302"/>
      <c r="N17" s="302"/>
      <c r="O17" s="302"/>
    </row>
    <row r="18" spans="2:15" x14ac:dyDescent="0.4">
      <c r="B18" s="441" t="str">
        <f>Pieņēmumi!$B$33</f>
        <v>Pārdosanas kanāls 2</v>
      </c>
      <c r="C18" s="441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</row>
    <row r="19" spans="2:15" x14ac:dyDescent="0.4">
      <c r="B19" s="94" t="s">
        <v>143</v>
      </c>
      <c r="C19" s="94"/>
      <c r="D19" s="299">
        <f>VLOOKUP($B18,Pieņēmumi!$B$32:$C$37,2,FALSE)*Pārdošana!C$6</f>
        <v>0</v>
      </c>
      <c r="E19" s="299">
        <f>VLOOKUP($B18,Pieņēmumi!$B$32:$C$37,2,FALSE)*Pārdošana!D$6</f>
        <v>0</v>
      </c>
      <c r="F19" s="299">
        <f>VLOOKUP($B18,Pieņēmumi!$B$32:$C$37,2,FALSE)*Pārdošana!E$6</f>
        <v>0</v>
      </c>
      <c r="G19" s="299">
        <f>VLOOKUP($B18,Pieņēmumi!$B$32:$C$37,2,FALSE)*Pārdošana!F$6</f>
        <v>0</v>
      </c>
      <c r="H19" s="299">
        <f>VLOOKUP($B18,Pieņēmumi!$B$32:$C$37,2,FALSE)*Pārdošana!G$6</f>
        <v>0</v>
      </c>
      <c r="I19" s="299">
        <f>VLOOKUP($B18,Pieņēmumi!$B$32:$C$37,2,FALSE)*Pārdošana!H$6</f>
        <v>0</v>
      </c>
      <c r="J19" s="299">
        <f>VLOOKUP($B18,Pieņēmumi!$B$32:$C$37,2,FALSE)*Pārdošana!I$6</f>
        <v>0</v>
      </c>
      <c r="K19" s="299">
        <f>VLOOKUP($B18,Pieņēmumi!$B$32:$C$37,2,FALSE)*Pārdošana!J$6</f>
        <v>0</v>
      </c>
      <c r="L19" s="299">
        <f>VLOOKUP($B18,Pieņēmumi!$B$32:$C$37,2,FALSE)*Pārdošana!K$6</f>
        <v>0</v>
      </c>
      <c r="M19" s="299">
        <f>VLOOKUP($B18,Pieņēmumi!$B$32:$C$37,2,FALSE)*Pārdošana!L$6</f>
        <v>0</v>
      </c>
      <c r="N19" s="299">
        <f>VLOOKUP($B18,Pieņēmumi!$B$32:$C$37,2,FALSE)*Pārdošana!M$6</f>
        <v>0</v>
      </c>
      <c r="O19" s="299">
        <f>VLOOKUP($B18,Pieņēmumi!$B$32:$C$37,2,FALSE)*Pārdošana!N$6</f>
        <v>0</v>
      </c>
    </row>
    <row r="20" spans="2:15" x14ac:dyDescent="0.4">
      <c r="B20" s="13" t="s">
        <v>144</v>
      </c>
      <c r="C20" s="13"/>
      <c r="D20" s="394">
        <f>INDEX(Pieņēmumi!$I$32:$I$37,MATCH($B18,Pieņēmumi!$B$32:$B$37,0))</f>
        <v>0</v>
      </c>
      <c r="E20" s="394">
        <f>INDEX(Pieņēmumi!$I$32:$I$37,MATCH($B18,Pieņēmumi!$B$32:$B$37,0))</f>
        <v>0</v>
      </c>
      <c r="F20" s="394">
        <f>INDEX(Pieņēmumi!$I$32:$I$37,MATCH($B18,Pieņēmumi!$B$32:$B$37,0))</f>
        <v>0</v>
      </c>
      <c r="G20" s="394">
        <f>INDEX(Pieņēmumi!$I$32:$I$37,MATCH($B18,Pieņēmumi!$B$32:$B$37,0))</f>
        <v>0</v>
      </c>
      <c r="H20" s="394">
        <f>INDEX(Pieņēmumi!$I$32:$I$37,MATCH($B18,Pieņēmumi!$B$32:$B$37,0))</f>
        <v>0</v>
      </c>
      <c r="I20" s="394">
        <f>INDEX(Pieņēmumi!$I$32:$I$37,MATCH($B18,Pieņēmumi!$B$32:$B$37,0))</f>
        <v>0</v>
      </c>
      <c r="J20" s="394">
        <f>INDEX(Pieņēmumi!$I$32:$I$37,MATCH($B18,Pieņēmumi!$B$32:$B$37,0))</f>
        <v>0</v>
      </c>
      <c r="K20" s="394">
        <f>INDEX(Pieņēmumi!$I$32:$I$37,MATCH($B18,Pieņēmumi!$B$32:$B$37,0))</f>
        <v>0</v>
      </c>
      <c r="L20" s="394">
        <f>INDEX(Pieņēmumi!$I$32:$I$37,MATCH($B18,Pieņēmumi!$B$32:$B$37,0))</f>
        <v>0</v>
      </c>
      <c r="M20" s="394">
        <f>INDEX(Pieņēmumi!$I$32:$I$37,MATCH($B18,Pieņēmumi!$B$32:$B$37,0))</f>
        <v>0</v>
      </c>
      <c r="N20" s="394">
        <f>INDEX(Pieņēmumi!$I$32:$I$37,MATCH($B18,Pieņēmumi!$B$32:$B$37,0))</f>
        <v>0</v>
      </c>
      <c r="O20" s="394">
        <f>INDEX(Pieņēmumi!$I$32:$I$37,MATCH($B18,Pieņēmumi!$B$32:$B$37,0))</f>
        <v>0</v>
      </c>
    </row>
    <row r="21" spans="2:15" x14ac:dyDescent="0.4">
      <c r="B21" s="13" t="s">
        <v>252</v>
      </c>
      <c r="C21" s="13"/>
      <c r="D21" s="300">
        <f>INDEX(Pieņēmumi!$H$32:$H$37,MATCH($B18,Pieņēmumi!$B$32:$B$37,0))</f>
        <v>0</v>
      </c>
      <c r="E21" s="300">
        <f>INDEX(Pieņēmumi!$H$32:$H$37,MATCH($B18,Pieņēmumi!$B$32:$B$37,0))</f>
        <v>0</v>
      </c>
      <c r="F21" s="300">
        <f>INDEX(Pieņēmumi!$H$32:$H$37,MATCH($B18,Pieņēmumi!$B$32:$B$37,0))</f>
        <v>0</v>
      </c>
      <c r="G21" s="300">
        <f>INDEX(Pieņēmumi!$H$32:$H$37,MATCH($B18,Pieņēmumi!$B$32:$B$37,0))</f>
        <v>0</v>
      </c>
      <c r="H21" s="300">
        <f>INDEX(Pieņēmumi!$H$32:$H$37,MATCH($B18,Pieņēmumi!$B$32:$B$37,0))</f>
        <v>0</v>
      </c>
      <c r="I21" s="300">
        <f>INDEX(Pieņēmumi!$H$32:$H$37,MATCH($B18,Pieņēmumi!$B$32:$B$37,0))</f>
        <v>0</v>
      </c>
      <c r="J21" s="300">
        <f>INDEX(Pieņēmumi!$H$32:$H$37,MATCH($B18,Pieņēmumi!$B$32:$B$37,0))</f>
        <v>0</v>
      </c>
      <c r="K21" s="300">
        <f>INDEX(Pieņēmumi!$H$32:$H$37,MATCH($B18,Pieņēmumi!$B$32:$B$37,0))</f>
        <v>0</v>
      </c>
      <c r="L21" s="300">
        <f>INDEX(Pieņēmumi!$H$32:$H$37,MATCH($B18,Pieņēmumi!$B$32:$B$37,0))</f>
        <v>0</v>
      </c>
      <c r="M21" s="300">
        <f>INDEX(Pieņēmumi!$H$32:$H$37,MATCH($B18,Pieņēmumi!$B$32:$B$37,0))</f>
        <v>0</v>
      </c>
      <c r="N21" s="300">
        <f>INDEX(Pieņēmumi!$H$32:$H$37,MATCH($B18,Pieņēmumi!$B$32:$B$37,0))</f>
        <v>0</v>
      </c>
      <c r="O21" s="300">
        <f>INDEX(Pieņēmumi!$H$32:$H$37,MATCH($B18,Pieņēmumi!$B$32:$B$37,0))</f>
        <v>0</v>
      </c>
    </row>
    <row r="22" spans="2:15" x14ac:dyDescent="0.4">
      <c r="B22" s="13" t="s">
        <v>50</v>
      </c>
      <c r="C22" s="13"/>
      <c r="D22" s="394">
        <f>INDEX(Pieņēmumi!$G$32:$G$37,MATCH($B18,Pieņēmumi!$B$32:$B$37,0))</f>
        <v>0</v>
      </c>
      <c r="E22" s="394">
        <f>INDEX(Pieņēmumi!$G$32:$G$37,MATCH($B18,Pieņēmumi!$B$32:$B$37,0))</f>
        <v>0</v>
      </c>
      <c r="F22" s="394">
        <f>INDEX(Pieņēmumi!$G$32:$G$37,MATCH($B18,Pieņēmumi!$B$32:$B$37,0))</f>
        <v>0</v>
      </c>
      <c r="G22" s="394">
        <f>INDEX(Pieņēmumi!$G$32:$G$37,MATCH($B18,Pieņēmumi!$B$32:$B$37,0))</f>
        <v>0</v>
      </c>
      <c r="H22" s="394">
        <f>INDEX(Pieņēmumi!$G$32:$G$37,MATCH($B18,Pieņēmumi!$B$32:$B$37,0))</f>
        <v>0</v>
      </c>
      <c r="I22" s="394">
        <f>INDEX(Pieņēmumi!$G$32:$G$37,MATCH($B18,Pieņēmumi!$B$32:$B$37,0))</f>
        <v>0</v>
      </c>
      <c r="J22" s="394">
        <f>INDEX(Pieņēmumi!$G$32:$G$37,MATCH($B18,Pieņēmumi!$B$32:$B$37,0))</f>
        <v>0</v>
      </c>
      <c r="K22" s="394">
        <f>INDEX(Pieņēmumi!$G$32:$G$37,MATCH($B18,Pieņēmumi!$B$32:$B$37,0))</f>
        <v>0</v>
      </c>
      <c r="L22" s="394">
        <f>INDEX(Pieņēmumi!$G$32:$G$37,MATCH($B18,Pieņēmumi!$B$32:$B$37,0))</f>
        <v>0</v>
      </c>
      <c r="M22" s="394">
        <f>INDEX(Pieņēmumi!$G$32:$G$37,MATCH($B18,Pieņēmumi!$B$32:$B$37,0))</f>
        <v>0</v>
      </c>
      <c r="N22" s="394">
        <f>INDEX(Pieņēmumi!$G$32:$G$37,MATCH($B18,Pieņēmumi!$B$32:$B$37,0))</f>
        <v>0</v>
      </c>
      <c r="O22" s="394">
        <f>INDEX(Pieņēmumi!$G$32:$G$37,MATCH($B18,Pieņēmumi!$B$32:$B$37,0))</f>
        <v>0</v>
      </c>
    </row>
    <row r="23" spans="2:15" x14ac:dyDescent="0.4">
      <c r="B23" s="13" t="s">
        <v>253</v>
      </c>
      <c r="C23" s="13"/>
      <c r="D23" s="300">
        <f>INDEX(Pieņēmumi!$F$32:$F$37,MATCH($B18,Pieņēmumi!$B$32:$B$37,0))</f>
        <v>0</v>
      </c>
      <c r="E23" s="300">
        <f>INDEX(Pieņēmumi!$F$32:$F$37,MATCH($B18,Pieņēmumi!$B$32:$B$37,0))</f>
        <v>0</v>
      </c>
      <c r="F23" s="300">
        <f>INDEX(Pieņēmumi!$F$32:$F$37,MATCH($B18,Pieņēmumi!$B$32:$B$37,0))</f>
        <v>0</v>
      </c>
      <c r="G23" s="300">
        <f>INDEX(Pieņēmumi!$F$32:$F$37,MATCH($B18,Pieņēmumi!$B$32:$B$37,0))</f>
        <v>0</v>
      </c>
      <c r="H23" s="300">
        <f>INDEX(Pieņēmumi!$F$32:$F$37,MATCH($B18,Pieņēmumi!$B$32:$B$37,0))</f>
        <v>0</v>
      </c>
      <c r="I23" s="300">
        <f>INDEX(Pieņēmumi!$F$32:$F$37,MATCH($B18,Pieņēmumi!$B$32:$B$37,0))</f>
        <v>0</v>
      </c>
      <c r="J23" s="300">
        <f>INDEX(Pieņēmumi!$F$32:$F$37,MATCH($B18,Pieņēmumi!$B$32:$B$37,0))</f>
        <v>0</v>
      </c>
      <c r="K23" s="300">
        <f>INDEX(Pieņēmumi!$F$32:$F$37,MATCH($B18,Pieņēmumi!$B$32:$B$37,0))</f>
        <v>0</v>
      </c>
      <c r="L23" s="300">
        <f>INDEX(Pieņēmumi!$F$32:$F$37,MATCH($B18,Pieņēmumi!$B$32:$B$37,0))</f>
        <v>0</v>
      </c>
      <c r="M23" s="300">
        <f>INDEX(Pieņēmumi!$F$32:$F$37,MATCH($B18,Pieņēmumi!$B$32:$B$37,0))</f>
        <v>0</v>
      </c>
      <c r="N23" s="300">
        <f>INDEX(Pieņēmumi!$F$32:$F$37,MATCH($B18,Pieņēmumi!$B$32:$B$37,0))</f>
        <v>0</v>
      </c>
      <c r="O23" s="300">
        <f>INDEX(Pieņēmumi!$F$32:$F$37,MATCH($B18,Pieņēmumi!$B$32:$B$37,0))</f>
        <v>0</v>
      </c>
    </row>
    <row r="24" spans="2:15" x14ac:dyDescent="0.4">
      <c r="B24" s="95" t="s">
        <v>145</v>
      </c>
      <c r="C24" s="95"/>
      <c r="D24" s="301">
        <f>D19*D22*MIN(D23/30,1)</f>
        <v>0</v>
      </c>
      <c r="E24" s="301">
        <f>E19*E22*MIN(E23/30,1)+D19*D22*MAX(MIN(D23/30-1,1),0)</f>
        <v>0</v>
      </c>
      <c r="F24" s="301">
        <f>F19*F22*MIN(F23/30,1)+E19*E22*MAX(MIN(E23/30-1,1),0)+D19*D22*MAX(MIN(D23/30-2,1),0)</f>
        <v>0</v>
      </c>
      <c r="G24" s="301">
        <f t="shared" ref="G24:O24" si="3">G19*G22*MIN(G23/30,1)+F19*F22*MAX(MIN(F23/30-1,1),0)+E19*E22*MAX(MIN(E23/30-2,1),0)+D19*D22*MAX(MIN(D23/30-3,1),0)</f>
        <v>0</v>
      </c>
      <c r="H24" s="301">
        <f t="shared" si="3"/>
        <v>0</v>
      </c>
      <c r="I24" s="301">
        <f t="shared" si="3"/>
        <v>0</v>
      </c>
      <c r="J24" s="301">
        <f t="shared" si="3"/>
        <v>0</v>
      </c>
      <c r="K24" s="301">
        <f t="shared" si="3"/>
        <v>0</v>
      </c>
      <c r="L24" s="301">
        <f t="shared" si="3"/>
        <v>0</v>
      </c>
      <c r="M24" s="301">
        <f t="shared" si="3"/>
        <v>0</v>
      </c>
      <c r="N24" s="301">
        <f t="shared" si="3"/>
        <v>0</v>
      </c>
      <c r="O24" s="301">
        <f t="shared" si="3"/>
        <v>0</v>
      </c>
    </row>
    <row r="25" spans="2:15" x14ac:dyDescent="0.4">
      <c r="B25" s="48" t="s">
        <v>146</v>
      </c>
      <c r="C25" s="48"/>
      <c r="D25" s="276">
        <f t="shared" ref="D25:L25" si="4">G19*G20*MIN(G21/30,1)+F19*F20*MAX(MIN(F21/30-1,1),0)+E19*E20*MAX(MIN(E21/30-2,1),0)+D19*D20*MAX(MIN(D21/30-3,1),0)</f>
        <v>0</v>
      </c>
      <c r="E25" s="276">
        <f t="shared" si="4"/>
        <v>0</v>
      </c>
      <c r="F25" s="276">
        <f t="shared" si="4"/>
        <v>0</v>
      </c>
      <c r="G25" s="276">
        <f t="shared" si="4"/>
        <v>0</v>
      </c>
      <c r="H25" s="276">
        <f t="shared" si="4"/>
        <v>0</v>
      </c>
      <c r="I25" s="276">
        <f t="shared" si="4"/>
        <v>0</v>
      </c>
      <c r="J25" s="276">
        <f t="shared" si="4"/>
        <v>0</v>
      </c>
      <c r="K25" s="276">
        <f t="shared" si="4"/>
        <v>0</v>
      </c>
      <c r="L25" s="276">
        <f t="shared" si="4"/>
        <v>0</v>
      </c>
      <c r="M25" s="276">
        <f>O19*O20*MIN(O21/30,1)+N19*N20*MAX(MIN(N21/30-1,1),0)+M19*M20*MAX(MIN(M21/30-2,1),0)</f>
        <v>0</v>
      </c>
      <c r="N25" s="276">
        <f>O19*O20*MIN(O21/30,1)+N19*N20*MAX(MIN(N21/30-1,1),0)</f>
        <v>0</v>
      </c>
      <c r="O25" s="276">
        <f>O19*O20*MIN(O21/30,1)</f>
        <v>0</v>
      </c>
    </row>
    <row r="26" spans="2:15" x14ac:dyDescent="0.4">
      <c r="B26" s="148"/>
      <c r="C26" s="148"/>
      <c r="D26" s="302"/>
      <c r="E26" s="302"/>
      <c r="F26" s="302"/>
      <c r="G26" s="302"/>
      <c r="H26" s="302"/>
      <c r="I26" s="302"/>
      <c r="J26" s="302"/>
      <c r="K26" s="302"/>
      <c r="L26" s="302"/>
      <c r="M26" s="302"/>
      <c r="N26" s="302"/>
      <c r="O26" s="302"/>
    </row>
    <row r="27" spans="2:15" x14ac:dyDescent="0.4">
      <c r="B27" s="441" t="str">
        <f>Pieņēmumi!$B$34</f>
        <v>Pārdosanas kanāls 3</v>
      </c>
      <c r="C27" s="441"/>
      <c r="D27" s="302"/>
      <c r="E27" s="302"/>
      <c r="F27" s="302"/>
      <c r="G27" s="302"/>
      <c r="H27" s="302"/>
      <c r="I27" s="302"/>
      <c r="J27" s="302"/>
      <c r="K27" s="302"/>
      <c r="L27" s="302"/>
      <c r="M27" s="302"/>
      <c r="N27" s="302"/>
      <c r="O27" s="302"/>
    </row>
    <row r="28" spans="2:15" x14ac:dyDescent="0.4">
      <c r="B28" s="94" t="s">
        <v>143</v>
      </c>
      <c r="C28" s="94"/>
      <c r="D28" s="299">
        <f>VLOOKUP($B27,Pieņēmumi!$B$32:$C$37,2,FALSE)*Pārdošana!C$6</f>
        <v>0</v>
      </c>
      <c r="E28" s="299">
        <f>VLOOKUP($B27,Pieņēmumi!$B$32:$C$37,2,FALSE)*Pārdošana!D$6</f>
        <v>0</v>
      </c>
      <c r="F28" s="299">
        <f>VLOOKUP($B27,Pieņēmumi!$B$32:$C$37,2,FALSE)*Pārdošana!E$6</f>
        <v>0</v>
      </c>
      <c r="G28" s="299">
        <f>VLOOKUP($B27,Pieņēmumi!$B$32:$C$37,2,FALSE)*Pārdošana!F$6</f>
        <v>0</v>
      </c>
      <c r="H28" s="299">
        <f>VLOOKUP($B27,Pieņēmumi!$B$32:$C$37,2,FALSE)*Pārdošana!G$6</f>
        <v>0</v>
      </c>
      <c r="I28" s="299">
        <f>VLOOKUP($B27,Pieņēmumi!$B$32:$C$37,2,FALSE)*Pārdošana!H$6</f>
        <v>0</v>
      </c>
      <c r="J28" s="299">
        <f>VLOOKUP($B27,Pieņēmumi!$B$32:$C$37,2,FALSE)*Pārdošana!I$6</f>
        <v>0</v>
      </c>
      <c r="K28" s="299">
        <f>VLOOKUP($B27,Pieņēmumi!$B$32:$C$37,2,FALSE)*Pārdošana!J$6</f>
        <v>0</v>
      </c>
      <c r="L28" s="299">
        <f>VLOOKUP($B27,Pieņēmumi!$B$32:$C$37,2,FALSE)*Pārdošana!K$6</f>
        <v>0</v>
      </c>
      <c r="M28" s="299">
        <f>VLOOKUP($B27,Pieņēmumi!$B$32:$C$37,2,FALSE)*Pārdošana!L$6</f>
        <v>0</v>
      </c>
      <c r="N28" s="299">
        <f>VLOOKUP($B27,Pieņēmumi!$B$32:$C$37,2,FALSE)*Pārdošana!M$6</f>
        <v>0</v>
      </c>
      <c r="O28" s="299">
        <f>VLOOKUP($B27,Pieņēmumi!$B$32:$C$37,2,FALSE)*Pārdošana!N$6</f>
        <v>0</v>
      </c>
    </row>
    <row r="29" spans="2:15" x14ac:dyDescent="0.4">
      <c r="B29" s="13" t="s">
        <v>144</v>
      </c>
      <c r="C29" s="13"/>
      <c r="D29" s="394">
        <f>INDEX(Pieņēmumi!$I$32:$I$37,MATCH($B27,Pieņēmumi!$B$32:$B$37,0))</f>
        <v>0</v>
      </c>
      <c r="E29" s="394">
        <f>INDEX(Pieņēmumi!$I$32:$I$37,MATCH($B27,Pieņēmumi!$B$32:$B$37,0))</f>
        <v>0</v>
      </c>
      <c r="F29" s="394">
        <f>INDEX(Pieņēmumi!$I$32:$I$37,MATCH($B27,Pieņēmumi!$B$32:$B$37,0))</f>
        <v>0</v>
      </c>
      <c r="G29" s="394">
        <f>INDEX(Pieņēmumi!$I$32:$I$37,MATCH($B27,Pieņēmumi!$B$32:$B$37,0))</f>
        <v>0</v>
      </c>
      <c r="H29" s="394">
        <f>INDEX(Pieņēmumi!$I$32:$I$37,MATCH($B27,Pieņēmumi!$B$32:$B$37,0))</f>
        <v>0</v>
      </c>
      <c r="I29" s="394">
        <f>INDEX(Pieņēmumi!$I$32:$I$37,MATCH($B27,Pieņēmumi!$B$32:$B$37,0))</f>
        <v>0</v>
      </c>
      <c r="J29" s="394">
        <f>INDEX(Pieņēmumi!$I$32:$I$37,MATCH($B27,Pieņēmumi!$B$32:$B$37,0))</f>
        <v>0</v>
      </c>
      <c r="K29" s="394">
        <f>INDEX(Pieņēmumi!$I$32:$I$37,MATCH($B27,Pieņēmumi!$B$32:$B$37,0))</f>
        <v>0</v>
      </c>
      <c r="L29" s="394">
        <f>INDEX(Pieņēmumi!$I$32:$I$37,MATCH($B27,Pieņēmumi!$B$32:$B$37,0))</f>
        <v>0</v>
      </c>
      <c r="M29" s="394">
        <f>INDEX(Pieņēmumi!$I$32:$I$37,MATCH($B27,Pieņēmumi!$B$32:$B$37,0))</f>
        <v>0</v>
      </c>
      <c r="N29" s="394">
        <f>INDEX(Pieņēmumi!$I$32:$I$37,MATCH($B27,Pieņēmumi!$B$32:$B$37,0))</f>
        <v>0</v>
      </c>
      <c r="O29" s="394">
        <f>INDEX(Pieņēmumi!$I$32:$I$37,MATCH($B27,Pieņēmumi!$B$32:$B$37,0))</f>
        <v>0</v>
      </c>
    </row>
    <row r="30" spans="2:15" x14ac:dyDescent="0.4">
      <c r="B30" s="13" t="s">
        <v>252</v>
      </c>
      <c r="C30" s="13"/>
      <c r="D30" s="300">
        <f>INDEX(Pieņēmumi!$H$32:$H$37,MATCH($B27,Pieņēmumi!$B$32:$B$37,0))</f>
        <v>0</v>
      </c>
      <c r="E30" s="300">
        <f>INDEX(Pieņēmumi!$H$32:$H$37,MATCH($B27,Pieņēmumi!$B$32:$B$37,0))</f>
        <v>0</v>
      </c>
      <c r="F30" s="300">
        <f>INDEX(Pieņēmumi!$H$32:$H$37,MATCH($B27,Pieņēmumi!$B$32:$B$37,0))</f>
        <v>0</v>
      </c>
      <c r="G30" s="300">
        <f>INDEX(Pieņēmumi!$H$32:$H$37,MATCH($B27,Pieņēmumi!$B$32:$B$37,0))</f>
        <v>0</v>
      </c>
      <c r="H30" s="300">
        <f>INDEX(Pieņēmumi!$H$32:$H$37,MATCH($B27,Pieņēmumi!$B$32:$B$37,0))</f>
        <v>0</v>
      </c>
      <c r="I30" s="300">
        <f>INDEX(Pieņēmumi!$H$32:$H$37,MATCH($B27,Pieņēmumi!$B$32:$B$37,0))</f>
        <v>0</v>
      </c>
      <c r="J30" s="300">
        <f>INDEX(Pieņēmumi!$H$32:$H$37,MATCH($B27,Pieņēmumi!$B$32:$B$37,0))</f>
        <v>0</v>
      </c>
      <c r="K30" s="300">
        <f>INDEX(Pieņēmumi!$H$32:$H$37,MATCH($B27,Pieņēmumi!$B$32:$B$37,0))</f>
        <v>0</v>
      </c>
      <c r="L30" s="300">
        <f>INDEX(Pieņēmumi!$H$32:$H$37,MATCH($B27,Pieņēmumi!$B$32:$B$37,0))</f>
        <v>0</v>
      </c>
      <c r="M30" s="300">
        <f>INDEX(Pieņēmumi!$H$32:$H$37,MATCH($B27,Pieņēmumi!$B$32:$B$37,0))</f>
        <v>0</v>
      </c>
      <c r="N30" s="300">
        <f>INDEX(Pieņēmumi!$H$32:$H$37,MATCH($B27,Pieņēmumi!$B$32:$B$37,0))</f>
        <v>0</v>
      </c>
      <c r="O30" s="300">
        <f>INDEX(Pieņēmumi!$H$32:$H$37,MATCH($B27,Pieņēmumi!$B$32:$B$37,0))</f>
        <v>0</v>
      </c>
    </row>
    <row r="31" spans="2:15" x14ac:dyDescent="0.4">
      <c r="B31" s="13" t="s">
        <v>50</v>
      </c>
      <c r="C31" s="13"/>
      <c r="D31" s="394">
        <f>INDEX(Pieņēmumi!$G$32:$G$37,MATCH($B27,Pieņēmumi!$B$32:$B$37,0))</f>
        <v>0</v>
      </c>
      <c r="E31" s="394">
        <f>INDEX(Pieņēmumi!$G$32:$G$37,MATCH($B27,Pieņēmumi!$B$32:$B$37,0))</f>
        <v>0</v>
      </c>
      <c r="F31" s="394">
        <f>INDEX(Pieņēmumi!$G$32:$G$37,MATCH($B27,Pieņēmumi!$B$32:$B$37,0))</f>
        <v>0</v>
      </c>
      <c r="G31" s="394">
        <f>INDEX(Pieņēmumi!$G$32:$G$37,MATCH($B27,Pieņēmumi!$B$32:$B$37,0))</f>
        <v>0</v>
      </c>
      <c r="H31" s="394">
        <f>INDEX(Pieņēmumi!$G$32:$G$37,MATCH($B27,Pieņēmumi!$B$32:$B$37,0))</f>
        <v>0</v>
      </c>
      <c r="I31" s="394">
        <f>INDEX(Pieņēmumi!$G$32:$G$37,MATCH($B27,Pieņēmumi!$B$32:$B$37,0))</f>
        <v>0</v>
      </c>
      <c r="J31" s="394">
        <f>INDEX(Pieņēmumi!$G$32:$G$37,MATCH($B27,Pieņēmumi!$B$32:$B$37,0))</f>
        <v>0</v>
      </c>
      <c r="K31" s="394">
        <f>INDEX(Pieņēmumi!$G$32:$G$37,MATCH($B27,Pieņēmumi!$B$32:$B$37,0))</f>
        <v>0</v>
      </c>
      <c r="L31" s="394">
        <f>INDEX(Pieņēmumi!$G$32:$G$37,MATCH($B27,Pieņēmumi!$B$32:$B$37,0))</f>
        <v>0</v>
      </c>
      <c r="M31" s="394">
        <f>INDEX(Pieņēmumi!$G$32:$G$37,MATCH($B27,Pieņēmumi!$B$32:$B$37,0))</f>
        <v>0</v>
      </c>
      <c r="N31" s="394">
        <f>INDEX(Pieņēmumi!$G$32:$G$37,MATCH($B27,Pieņēmumi!$B$32:$B$37,0))</f>
        <v>0</v>
      </c>
      <c r="O31" s="394">
        <f>INDEX(Pieņēmumi!$G$32:$G$37,MATCH($B27,Pieņēmumi!$B$32:$B$37,0))</f>
        <v>0</v>
      </c>
    </row>
    <row r="32" spans="2:15" x14ac:dyDescent="0.4">
      <c r="B32" s="13" t="s">
        <v>253</v>
      </c>
      <c r="C32" s="13"/>
      <c r="D32" s="300">
        <f>INDEX(Pieņēmumi!$F$32:$F$37,MATCH($B27,Pieņēmumi!$B$32:$B$37,0))</f>
        <v>0</v>
      </c>
      <c r="E32" s="300">
        <f>INDEX(Pieņēmumi!$F$32:$F$37,MATCH($B27,Pieņēmumi!$B$32:$B$37,0))</f>
        <v>0</v>
      </c>
      <c r="F32" s="300">
        <f>INDEX(Pieņēmumi!$F$32:$F$37,MATCH($B27,Pieņēmumi!$B$32:$B$37,0))</f>
        <v>0</v>
      </c>
      <c r="G32" s="300">
        <f>INDEX(Pieņēmumi!$F$32:$F$37,MATCH($B27,Pieņēmumi!$B$32:$B$37,0))</f>
        <v>0</v>
      </c>
      <c r="H32" s="300">
        <f>INDEX(Pieņēmumi!$F$32:$F$37,MATCH($B27,Pieņēmumi!$B$32:$B$37,0))</f>
        <v>0</v>
      </c>
      <c r="I32" s="300">
        <f>INDEX(Pieņēmumi!$F$32:$F$37,MATCH($B27,Pieņēmumi!$B$32:$B$37,0))</f>
        <v>0</v>
      </c>
      <c r="J32" s="300">
        <f>INDEX(Pieņēmumi!$F$32:$F$37,MATCH($B27,Pieņēmumi!$B$32:$B$37,0))</f>
        <v>0</v>
      </c>
      <c r="K32" s="300">
        <f>INDEX(Pieņēmumi!$F$32:$F$37,MATCH($B27,Pieņēmumi!$B$32:$B$37,0))</f>
        <v>0</v>
      </c>
      <c r="L32" s="300">
        <f>INDEX(Pieņēmumi!$F$32:$F$37,MATCH($B27,Pieņēmumi!$B$32:$B$37,0))</f>
        <v>0</v>
      </c>
      <c r="M32" s="300">
        <f>INDEX(Pieņēmumi!$F$32:$F$37,MATCH($B27,Pieņēmumi!$B$32:$B$37,0))</f>
        <v>0</v>
      </c>
      <c r="N32" s="300">
        <f>INDEX(Pieņēmumi!$F$32:$F$37,MATCH($B27,Pieņēmumi!$B$32:$B$37,0))</f>
        <v>0</v>
      </c>
      <c r="O32" s="300">
        <f>INDEX(Pieņēmumi!$F$32:$F$37,MATCH($B27,Pieņēmumi!$B$32:$B$37,0))</f>
        <v>0</v>
      </c>
    </row>
    <row r="33" spans="2:15" x14ac:dyDescent="0.4">
      <c r="B33" s="95" t="s">
        <v>145</v>
      </c>
      <c r="C33" s="95"/>
      <c r="D33" s="301">
        <f>D28*D31*MIN(D32/30,1)</f>
        <v>0</v>
      </c>
      <c r="E33" s="301">
        <f>E28*E31*MIN(E32/30,1)+D28*D31*MAX(MIN(D32/30-1,1),0)</f>
        <v>0</v>
      </c>
      <c r="F33" s="301">
        <f>F28*F31*MIN(F32/30,1)+E28*E31*MAX(MIN(E32/30-1,1),0)+D28*D31*MAX(MIN(D32/30-2,1),0)</f>
        <v>0</v>
      </c>
      <c r="G33" s="301">
        <f t="shared" ref="G33:O33" si="5">G28*G31*MIN(G32/30,1)+F28*F31*MAX(MIN(F32/30-1,1),0)+E28*E31*MAX(MIN(E32/30-2,1),0)+D28*D31*MAX(MIN(D32/30-3,1),0)</f>
        <v>0</v>
      </c>
      <c r="H33" s="301">
        <f t="shared" si="5"/>
        <v>0</v>
      </c>
      <c r="I33" s="301">
        <f t="shared" si="5"/>
        <v>0</v>
      </c>
      <c r="J33" s="301">
        <f t="shared" si="5"/>
        <v>0</v>
      </c>
      <c r="K33" s="301">
        <f t="shared" si="5"/>
        <v>0</v>
      </c>
      <c r="L33" s="301">
        <f t="shared" si="5"/>
        <v>0</v>
      </c>
      <c r="M33" s="301">
        <f t="shared" si="5"/>
        <v>0</v>
      </c>
      <c r="N33" s="301">
        <f t="shared" si="5"/>
        <v>0</v>
      </c>
      <c r="O33" s="301">
        <f t="shared" si="5"/>
        <v>0</v>
      </c>
    </row>
    <row r="34" spans="2:15" x14ac:dyDescent="0.4">
      <c r="B34" s="48" t="s">
        <v>146</v>
      </c>
      <c r="C34" s="48"/>
      <c r="D34" s="276">
        <f t="shared" ref="D34:L34" si="6">G28*G29*MIN(G30/30,1)+F28*F29*MAX(MIN(F30/30-1,1),0)+E28*E29*MAX(MIN(E30/30-2,1),0)+D28*D29*MAX(MIN(D30/30-3,1),0)</f>
        <v>0</v>
      </c>
      <c r="E34" s="276">
        <f t="shared" si="6"/>
        <v>0</v>
      </c>
      <c r="F34" s="276">
        <f t="shared" si="6"/>
        <v>0</v>
      </c>
      <c r="G34" s="276">
        <f t="shared" si="6"/>
        <v>0</v>
      </c>
      <c r="H34" s="276">
        <f t="shared" si="6"/>
        <v>0</v>
      </c>
      <c r="I34" s="276">
        <f t="shared" si="6"/>
        <v>0</v>
      </c>
      <c r="J34" s="276">
        <f t="shared" si="6"/>
        <v>0</v>
      </c>
      <c r="K34" s="276">
        <f t="shared" si="6"/>
        <v>0</v>
      </c>
      <c r="L34" s="276">
        <f t="shared" si="6"/>
        <v>0</v>
      </c>
      <c r="M34" s="276">
        <f>O28*O29*MIN(O30/30,1)+N28*N29*MAX(MIN(N30/30-1,1),0)+M28*M29*MAX(MIN(M30/30-2,1),0)</f>
        <v>0</v>
      </c>
      <c r="N34" s="276">
        <f>O28*O29*MIN(O30/30,1)+N28*N29*MAX(MIN(N30/30-1,1),0)</f>
        <v>0</v>
      </c>
      <c r="O34" s="276">
        <f>O28*O29*MIN(O30/30,1)</f>
        <v>0</v>
      </c>
    </row>
    <row r="35" spans="2:15" x14ac:dyDescent="0.4">
      <c r="B35" s="216"/>
      <c r="C35" s="216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</row>
    <row r="36" spans="2:15" x14ac:dyDescent="0.4">
      <c r="B36" s="441" t="str">
        <f>Pieņēmumi!$B$35</f>
        <v>Pārdosanas kanāls 4</v>
      </c>
      <c r="C36" s="441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</row>
    <row r="37" spans="2:15" x14ac:dyDescent="0.4">
      <c r="B37" s="94" t="s">
        <v>143</v>
      </c>
      <c r="C37" s="94"/>
      <c r="D37" s="299">
        <f>VLOOKUP($B36,Pieņēmumi!$B$32:$C$37,2,FALSE)*Pārdošana!C$6</f>
        <v>0</v>
      </c>
      <c r="E37" s="299">
        <f>VLOOKUP($B36,Pieņēmumi!$B$32:$C$37,2,FALSE)*Pārdošana!D$6</f>
        <v>0</v>
      </c>
      <c r="F37" s="299">
        <f>VLOOKUP($B36,Pieņēmumi!$B$32:$C$37,2,FALSE)*Pārdošana!E$6</f>
        <v>0</v>
      </c>
      <c r="G37" s="299">
        <f>VLOOKUP($B36,Pieņēmumi!$B$32:$C$37,2,FALSE)*Pārdošana!F$6</f>
        <v>0</v>
      </c>
      <c r="H37" s="299">
        <f>VLOOKUP($B36,Pieņēmumi!$B$32:$C$37,2,FALSE)*Pārdošana!G$6</f>
        <v>0</v>
      </c>
      <c r="I37" s="299">
        <f>VLOOKUP($B36,Pieņēmumi!$B$32:$C$37,2,FALSE)*Pārdošana!H$6</f>
        <v>0</v>
      </c>
      <c r="J37" s="299">
        <f>VLOOKUP($B36,Pieņēmumi!$B$32:$C$37,2,FALSE)*Pārdošana!I$6</f>
        <v>0</v>
      </c>
      <c r="K37" s="299">
        <f>VLOOKUP($B36,Pieņēmumi!$B$32:$C$37,2,FALSE)*Pārdošana!J$6</f>
        <v>0</v>
      </c>
      <c r="L37" s="299">
        <f>VLOOKUP($B36,Pieņēmumi!$B$32:$C$37,2,FALSE)*Pārdošana!K$6</f>
        <v>0</v>
      </c>
      <c r="M37" s="299">
        <f>VLOOKUP($B36,Pieņēmumi!$B$32:$C$37,2,FALSE)*Pārdošana!L$6</f>
        <v>0</v>
      </c>
      <c r="N37" s="299">
        <f>VLOOKUP($B36,Pieņēmumi!$B$32:$C$37,2,FALSE)*Pārdošana!M$6</f>
        <v>0</v>
      </c>
      <c r="O37" s="299">
        <f>VLOOKUP($B36,Pieņēmumi!$B$32:$C$37,2,FALSE)*Pārdošana!N$6</f>
        <v>0</v>
      </c>
    </row>
    <row r="38" spans="2:15" x14ac:dyDescent="0.4">
      <c r="B38" s="13" t="s">
        <v>144</v>
      </c>
      <c r="C38" s="13"/>
      <c r="D38" s="394">
        <f>INDEX(Pieņēmumi!$I$32:$I$37,MATCH($B36,Pieņēmumi!$B$32:$B$37,0))</f>
        <v>0</v>
      </c>
      <c r="E38" s="394">
        <f>INDEX(Pieņēmumi!$I$32:$I$37,MATCH($B36,Pieņēmumi!$B$32:$B$37,0))</f>
        <v>0</v>
      </c>
      <c r="F38" s="394">
        <f>INDEX(Pieņēmumi!$I$32:$I$37,MATCH($B36,Pieņēmumi!$B$32:$B$37,0))</f>
        <v>0</v>
      </c>
      <c r="G38" s="394">
        <f>INDEX(Pieņēmumi!$I$32:$I$37,MATCH($B36,Pieņēmumi!$B$32:$B$37,0))</f>
        <v>0</v>
      </c>
      <c r="H38" s="394">
        <f>INDEX(Pieņēmumi!$I$32:$I$37,MATCH($B36,Pieņēmumi!$B$32:$B$37,0))</f>
        <v>0</v>
      </c>
      <c r="I38" s="394">
        <f>INDEX(Pieņēmumi!$I$32:$I$37,MATCH($B36,Pieņēmumi!$B$32:$B$37,0))</f>
        <v>0</v>
      </c>
      <c r="J38" s="394">
        <f>INDEX(Pieņēmumi!$I$32:$I$37,MATCH($B36,Pieņēmumi!$B$32:$B$37,0))</f>
        <v>0</v>
      </c>
      <c r="K38" s="394">
        <f>INDEX(Pieņēmumi!$I$32:$I$37,MATCH($B36,Pieņēmumi!$B$32:$B$37,0))</f>
        <v>0</v>
      </c>
      <c r="L38" s="394">
        <f>INDEX(Pieņēmumi!$I$32:$I$37,MATCH($B36,Pieņēmumi!$B$32:$B$37,0))</f>
        <v>0</v>
      </c>
      <c r="M38" s="394">
        <f>INDEX(Pieņēmumi!$I$32:$I$37,MATCH($B36,Pieņēmumi!$B$32:$B$37,0))</f>
        <v>0</v>
      </c>
      <c r="N38" s="394">
        <f>INDEX(Pieņēmumi!$I$32:$I$37,MATCH($B36,Pieņēmumi!$B$32:$B$37,0))</f>
        <v>0</v>
      </c>
      <c r="O38" s="394">
        <f>INDEX(Pieņēmumi!$I$32:$I$37,MATCH($B36,Pieņēmumi!$B$32:$B$37,0))</f>
        <v>0</v>
      </c>
    </row>
    <row r="39" spans="2:15" x14ac:dyDescent="0.4">
      <c r="B39" s="13" t="s">
        <v>252</v>
      </c>
      <c r="C39" s="13"/>
      <c r="D39" s="300">
        <f>INDEX(Pieņēmumi!$H$32:$H$37,MATCH($B36,Pieņēmumi!$B$32:$B$37,0))</f>
        <v>0</v>
      </c>
      <c r="E39" s="300">
        <f>INDEX(Pieņēmumi!$H$32:$H$37,MATCH($B36,Pieņēmumi!$B$32:$B$37,0))</f>
        <v>0</v>
      </c>
      <c r="F39" s="300">
        <f>INDEX(Pieņēmumi!$H$32:$H$37,MATCH($B36,Pieņēmumi!$B$32:$B$37,0))</f>
        <v>0</v>
      </c>
      <c r="G39" s="300">
        <f>INDEX(Pieņēmumi!$H$32:$H$37,MATCH($B36,Pieņēmumi!$B$32:$B$37,0))</f>
        <v>0</v>
      </c>
      <c r="H39" s="300">
        <f>INDEX(Pieņēmumi!$H$32:$H$37,MATCH($B36,Pieņēmumi!$B$32:$B$37,0))</f>
        <v>0</v>
      </c>
      <c r="I39" s="300">
        <f>INDEX(Pieņēmumi!$H$32:$H$37,MATCH($B36,Pieņēmumi!$B$32:$B$37,0))</f>
        <v>0</v>
      </c>
      <c r="J39" s="300">
        <f>INDEX(Pieņēmumi!$H$32:$H$37,MATCH($B36,Pieņēmumi!$B$32:$B$37,0))</f>
        <v>0</v>
      </c>
      <c r="K39" s="300">
        <f>INDEX(Pieņēmumi!$H$32:$H$37,MATCH($B36,Pieņēmumi!$B$32:$B$37,0))</f>
        <v>0</v>
      </c>
      <c r="L39" s="300">
        <f>INDEX(Pieņēmumi!$H$32:$H$37,MATCH($B36,Pieņēmumi!$B$32:$B$37,0))</f>
        <v>0</v>
      </c>
      <c r="M39" s="300">
        <f>INDEX(Pieņēmumi!$H$32:$H$37,MATCH($B36,Pieņēmumi!$B$32:$B$37,0))</f>
        <v>0</v>
      </c>
      <c r="N39" s="300">
        <f>INDEX(Pieņēmumi!$H$32:$H$37,MATCH($B36,Pieņēmumi!$B$32:$B$37,0))</f>
        <v>0</v>
      </c>
      <c r="O39" s="300">
        <f>INDEX(Pieņēmumi!$H$32:$H$37,MATCH($B36,Pieņēmumi!$B$32:$B$37,0))</f>
        <v>0</v>
      </c>
    </row>
    <row r="40" spans="2:15" x14ac:dyDescent="0.4">
      <c r="B40" s="13" t="s">
        <v>50</v>
      </c>
      <c r="C40" s="13"/>
      <c r="D40" s="394">
        <f>INDEX(Pieņēmumi!$G$32:$G$37,MATCH($B36,Pieņēmumi!$B$32:$B$37,0))</f>
        <v>0</v>
      </c>
      <c r="E40" s="394">
        <f>INDEX(Pieņēmumi!$G$32:$G$37,MATCH($B36,Pieņēmumi!$B$32:$B$37,0))</f>
        <v>0</v>
      </c>
      <c r="F40" s="394">
        <f>INDEX(Pieņēmumi!$G$32:$G$37,MATCH($B36,Pieņēmumi!$B$32:$B$37,0))</f>
        <v>0</v>
      </c>
      <c r="G40" s="394">
        <f>INDEX(Pieņēmumi!$G$32:$G$37,MATCH($B36,Pieņēmumi!$B$32:$B$37,0))</f>
        <v>0</v>
      </c>
      <c r="H40" s="394">
        <f>INDEX(Pieņēmumi!$G$32:$G$37,MATCH($B36,Pieņēmumi!$B$32:$B$37,0))</f>
        <v>0</v>
      </c>
      <c r="I40" s="394">
        <f>INDEX(Pieņēmumi!$G$32:$G$37,MATCH($B36,Pieņēmumi!$B$32:$B$37,0))</f>
        <v>0</v>
      </c>
      <c r="J40" s="394">
        <f>INDEX(Pieņēmumi!$G$32:$G$37,MATCH($B36,Pieņēmumi!$B$32:$B$37,0))</f>
        <v>0</v>
      </c>
      <c r="K40" s="394">
        <f>INDEX(Pieņēmumi!$G$32:$G$37,MATCH($B36,Pieņēmumi!$B$32:$B$37,0))</f>
        <v>0</v>
      </c>
      <c r="L40" s="394">
        <f>INDEX(Pieņēmumi!$G$32:$G$37,MATCH($B36,Pieņēmumi!$B$32:$B$37,0))</f>
        <v>0</v>
      </c>
      <c r="M40" s="394">
        <f>INDEX(Pieņēmumi!$G$32:$G$37,MATCH($B36,Pieņēmumi!$B$32:$B$37,0))</f>
        <v>0</v>
      </c>
      <c r="N40" s="394">
        <f>INDEX(Pieņēmumi!$G$32:$G$37,MATCH($B36,Pieņēmumi!$B$32:$B$37,0))</f>
        <v>0</v>
      </c>
      <c r="O40" s="394">
        <f>INDEX(Pieņēmumi!$G$32:$G$37,MATCH($B36,Pieņēmumi!$B$32:$B$37,0))</f>
        <v>0</v>
      </c>
    </row>
    <row r="41" spans="2:15" x14ac:dyDescent="0.4">
      <c r="B41" s="13" t="s">
        <v>253</v>
      </c>
      <c r="C41" s="13"/>
      <c r="D41" s="300">
        <f>INDEX(Pieņēmumi!$F$32:$F$37,MATCH($B36,Pieņēmumi!$B$32:$B$37,0))</f>
        <v>0</v>
      </c>
      <c r="E41" s="300">
        <f>INDEX(Pieņēmumi!$F$32:$F$37,MATCH($B36,Pieņēmumi!$B$32:$B$37,0))</f>
        <v>0</v>
      </c>
      <c r="F41" s="300">
        <f>INDEX(Pieņēmumi!$F$32:$F$37,MATCH($B36,Pieņēmumi!$B$32:$B$37,0))</f>
        <v>0</v>
      </c>
      <c r="G41" s="300">
        <f>INDEX(Pieņēmumi!$F$32:$F$37,MATCH($B36,Pieņēmumi!$B$32:$B$37,0))</f>
        <v>0</v>
      </c>
      <c r="H41" s="300">
        <f>INDEX(Pieņēmumi!$F$32:$F$37,MATCH($B36,Pieņēmumi!$B$32:$B$37,0))</f>
        <v>0</v>
      </c>
      <c r="I41" s="300">
        <f>INDEX(Pieņēmumi!$F$32:$F$37,MATCH($B36,Pieņēmumi!$B$32:$B$37,0))</f>
        <v>0</v>
      </c>
      <c r="J41" s="300">
        <f>INDEX(Pieņēmumi!$F$32:$F$37,MATCH($B36,Pieņēmumi!$B$32:$B$37,0))</f>
        <v>0</v>
      </c>
      <c r="K41" s="300">
        <f>INDEX(Pieņēmumi!$F$32:$F$37,MATCH($B36,Pieņēmumi!$B$32:$B$37,0))</f>
        <v>0</v>
      </c>
      <c r="L41" s="300">
        <f>INDEX(Pieņēmumi!$F$32:$F$37,MATCH($B36,Pieņēmumi!$B$32:$B$37,0))</f>
        <v>0</v>
      </c>
      <c r="M41" s="300">
        <f>INDEX(Pieņēmumi!$F$32:$F$37,MATCH($B36,Pieņēmumi!$B$32:$B$37,0))</f>
        <v>0</v>
      </c>
      <c r="N41" s="300">
        <f>INDEX(Pieņēmumi!$F$32:$F$37,MATCH($B36,Pieņēmumi!$B$32:$B$37,0))</f>
        <v>0</v>
      </c>
      <c r="O41" s="300">
        <f>INDEX(Pieņēmumi!$F$32:$F$37,MATCH($B36,Pieņēmumi!$B$32:$B$37,0))</f>
        <v>0</v>
      </c>
    </row>
    <row r="42" spans="2:15" x14ac:dyDescent="0.4">
      <c r="B42" s="95" t="s">
        <v>145</v>
      </c>
      <c r="C42" s="95"/>
      <c r="D42" s="301">
        <f>D37*D40*MIN(D41/30,1)</f>
        <v>0</v>
      </c>
      <c r="E42" s="301">
        <f>E37*E40*MIN(E41/30,1)+D37*D40*MAX(MIN(D41/30-1,1),0)</f>
        <v>0</v>
      </c>
      <c r="F42" s="301">
        <f>F37*F40*MIN(F41/30,1)+E37*E40*MAX(MIN(E41/30-1,1),0)+D37*D40*MAX(MIN(D41/30-2,1),0)</f>
        <v>0</v>
      </c>
      <c r="G42" s="301">
        <f t="shared" ref="G42:O42" si="7">G37*G40*MIN(G41/30,1)+F37*F40*MAX(MIN(F41/30-1,1),0)+E37*E40*MAX(MIN(E41/30-2,1),0)+D37*D40*MAX(MIN(D41/30-3,1),0)</f>
        <v>0</v>
      </c>
      <c r="H42" s="301">
        <f t="shared" si="7"/>
        <v>0</v>
      </c>
      <c r="I42" s="301">
        <f t="shared" si="7"/>
        <v>0</v>
      </c>
      <c r="J42" s="301">
        <f t="shared" si="7"/>
        <v>0</v>
      </c>
      <c r="K42" s="301">
        <f t="shared" si="7"/>
        <v>0</v>
      </c>
      <c r="L42" s="301">
        <f t="shared" si="7"/>
        <v>0</v>
      </c>
      <c r="M42" s="301">
        <f t="shared" si="7"/>
        <v>0</v>
      </c>
      <c r="N42" s="301">
        <f t="shared" si="7"/>
        <v>0</v>
      </c>
      <c r="O42" s="301">
        <f t="shared" si="7"/>
        <v>0</v>
      </c>
    </row>
    <row r="43" spans="2:15" x14ac:dyDescent="0.4">
      <c r="B43" s="48" t="s">
        <v>146</v>
      </c>
      <c r="C43" s="48"/>
      <c r="D43" s="276">
        <f t="shared" ref="D43:L43" si="8">G37*G38*MIN(G39/30,1)+F37*F38*MAX(MIN(F39/30-1,1),0)+E37*E38*MAX(MIN(E39/30-2,1),0)+D37*D38*MAX(MIN(D39/30-3,1),0)</f>
        <v>0</v>
      </c>
      <c r="E43" s="276">
        <f t="shared" si="8"/>
        <v>0</v>
      </c>
      <c r="F43" s="276">
        <f t="shared" si="8"/>
        <v>0</v>
      </c>
      <c r="G43" s="276">
        <f t="shared" si="8"/>
        <v>0</v>
      </c>
      <c r="H43" s="276">
        <f t="shared" si="8"/>
        <v>0</v>
      </c>
      <c r="I43" s="276">
        <f t="shared" si="8"/>
        <v>0</v>
      </c>
      <c r="J43" s="276">
        <f t="shared" si="8"/>
        <v>0</v>
      </c>
      <c r="K43" s="276">
        <f t="shared" si="8"/>
        <v>0</v>
      </c>
      <c r="L43" s="276">
        <f t="shared" si="8"/>
        <v>0</v>
      </c>
      <c r="M43" s="276">
        <f>O37*O38*MIN(O39/30,1)+N37*N38*MAX(MIN(N39/30-1,1),0)+M37*M38*MAX(MIN(M39/30-2,1),0)</f>
        <v>0</v>
      </c>
      <c r="N43" s="276">
        <f>O37*O38*MIN(O39/30,1)+N37*N38*MAX(MIN(N39/30-1,1),0)</f>
        <v>0</v>
      </c>
      <c r="O43" s="276">
        <f>O37*O38*MIN(O39/30,1)</f>
        <v>0</v>
      </c>
    </row>
    <row r="44" spans="2:15" x14ac:dyDescent="0.4">
      <c r="B44" s="216"/>
      <c r="C44" s="216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</row>
    <row r="45" spans="2:15" x14ac:dyDescent="0.4">
      <c r="B45" s="441" t="str">
        <f>Pieņēmumi!$B$36</f>
        <v>Pārdosanas kanāls 5</v>
      </c>
      <c r="C45" s="441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</row>
    <row r="46" spans="2:15" x14ac:dyDescent="0.4">
      <c r="B46" s="94" t="s">
        <v>143</v>
      </c>
      <c r="C46" s="94"/>
      <c r="D46" s="299">
        <f>VLOOKUP($B45,Pieņēmumi!$B$32:$C$37,2,FALSE)*Pārdošana!C$6</f>
        <v>0</v>
      </c>
      <c r="E46" s="299">
        <f>VLOOKUP($B45,Pieņēmumi!$B$32:$C$37,2,FALSE)*Pārdošana!D$6</f>
        <v>0</v>
      </c>
      <c r="F46" s="299">
        <f>VLOOKUP($B45,Pieņēmumi!$B$32:$C$37,2,FALSE)*Pārdošana!E$6</f>
        <v>0</v>
      </c>
      <c r="G46" s="299">
        <f>VLOOKUP($B45,Pieņēmumi!$B$32:$C$37,2,FALSE)*Pārdošana!F$6</f>
        <v>0</v>
      </c>
      <c r="H46" s="299">
        <f>VLOOKUP($B45,Pieņēmumi!$B$32:$C$37,2,FALSE)*Pārdošana!G$6</f>
        <v>0</v>
      </c>
      <c r="I46" s="299">
        <f>VLOOKUP($B45,Pieņēmumi!$B$32:$C$37,2,FALSE)*Pārdošana!H$6</f>
        <v>0</v>
      </c>
      <c r="J46" s="299">
        <f>VLOOKUP($B45,Pieņēmumi!$B$32:$C$37,2,FALSE)*Pārdošana!I$6</f>
        <v>0</v>
      </c>
      <c r="K46" s="299">
        <f>VLOOKUP($B45,Pieņēmumi!$B$32:$C$37,2,FALSE)*Pārdošana!J$6</f>
        <v>0</v>
      </c>
      <c r="L46" s="299">
        <f>VLOOKUP($B45,Pieņēmumi!$B$32:$C$37,2,FALSE)*Pārdošana!K$6</f>
        <v>0</v>
      </c>
      <c r="M46" s="299">
        <f>VLOOKUP($B45,Pieņēmumi!$B$32:$C$37,2,FALSE)*Pārdošana!L$6</f>
        <v>0</v>
      </c>
      <c r="N46" s="299">
        <f>VLOOKUP($B45,Pieņēmumi!$B$32:$C$37,2,FALSE)*Pārdošana!M$6</f>
        <v>0</v>
      </c>
      <c r="O46" s="299">
        <f>VLOOKUP($B45,Pieņēmumi!$B$32:$C$37,2,FALSE)*Pārdošana!N$6</f>
        <v>0</v>
      </c>
    </row>
    <row r="47" spans="2:15" x14ac:dyDescent="0.4">
      <c r="B47" s="13" t="s">
        <v>144</v>
      </c>
      <c r="C47" s="13"/>
      <c r="D47" s="394">
        <f>INDEX(Pieņēmumi!$I$32:$I$37,MATCH($B45,Pieņēmumi!$B$32:$B$37,0))</f>
        <v>0</v>
      </c>
      <c r="E47" s="394">
        <f>INDEX(Pieņēmumi!$I$32:$I$37,MATCH($B45,Pieņēmumi!$B$32:$B$37,0))</f>
        <v>0</v>
      </c>
      <c r="F47" s="394">
        <f>INDEX(Pieņēmumi!$I$32:$I$37,MATCH($B45,Pieņēmumi!$B$32:$B$37,0))</f>
        <v>0</v>
      </c>
      <c r="G47" s="394">
        <f>INDEX(Pieņēmumi!$I$32:$I$37,MATCH($B45,Pieņēmumi!$B$32:$B$37,0))</f>
        <v>0</v>
      </c>
      <c r="H47" s="394">
        <f>INDEX(Pieņēmumi!$I$32:$I$37,MATCH($B45,Pieņēmumi!$B$32:$B$37,0))</f>
        <v>0</v>
      </c>
      <c r="I47" s="394">
        <f>INDEX(Pieņēmumi!$I$32:$I$37,MATCH($B45,Pieņēmumi!$B$32:$B$37,0))</f>
        <v>0</v>
      </c>
      <c r="J47" s="394">
        <f>INDEX(Pieņēmumi!$I$32:$I$37,MATCH($B45,Pieņēmumi!$B$32:$B$37,0))</f>
        <v>0</v>
      </c>
      <c r="K47" s="394">
        <f>INDEX(Pieņēmumi!$I$32:$I$37,MATCH($B45,Pieņēmumi!$B$32:$B$37,0))</f>
        <v>0</v>
      </c>
      <c r="L47" s="394">
        <f>INDEX(Pieņēmumi!$I$32:$I$37,MATCH($B45,Pieņēmumi!$B$32:$B$37,0))</f>
        <v>0</v>
      </c>
      <c r="M47" s="394">
        <f>INDEX(Pieņēmumi!$I$32:$I$37,MATCH($B45,Pieņēmumi!$B$32:$B$37,0))</f>
        <v>0</v>
      </c>
      <c r="N47" s="394">
        <f>INDEX(Pieņēmumi!$I$32:$I$37,MATCH($B45,Pieņēmumi!$B$32:$B$37,0))</f>
        <v>0</v>
      </c>
      <c r="O47" s="394">
        <f>INDEX(Pieņēmumi!$I$32:$I$37,MATCH($B45,Pieņēmumi!$B$32:$B$37,0))</f>
        <v>0</v>
      </c>
    </row>
    <row r="48" spans="2:15" x14ac:dyDescent="0.4">
      <c r="B48" s="13" t="s">
        <v>252</v>
      </c>
      <c r="C48" s="13"/>
      <c r="D48" s="300">
        <f>INDEX(Pieņēmumi!$H$32:$H$37,MATCH($B45,Pieņēmumi!$B$32:$B$37,0))</f>
        <v>0</v>
      </c>
      <c r="E48" s="300">
        <f>INDEX(Pieņēmumi!$H$32:$H$37,MATCH($B45,Pieņēmumi!$B$32:$B$37,0))</f>
        <v>0</v>
      </c>
      <c r="F48" s="300">
        <f>INDEX(Pieņēmumi!$H$32:$H$37,MATCH($B45,Pieņēmumi!$B$32:$B$37,0))</f>
        <v>0</v>
      </c>
      <c r="G48" s="300">
        <f>INDEX(Pieņēmumi!$H$32:$H$37,MATCH($B45,Pieņēmumi!$B$32:$B$37,0))</f>
        <v>0</v>
      </c>
      <c r="H48" s="300">
        <f>INDEX(Pieņēmumi!$H$32:$H$37,MATCH($B45,Pieņēmumi!$B$32:$B$37,0))</f>
        <v>0</v>
      </c>
      <c r="I48" s="300">
        <f>INDEX(Pieņēmumi!$H$32:$H$37,MATCH($B45,Pieņēmumi!$B$32:$B$37,0))</f>
        <v>0</v>
      </c>
      <c r="J48" s="300">
        <f>INDEX(Pieņēmumi!$H$32:$H$37,MATCH($B45,Pieņēmumi!$B$32:$B$37,0))</f>
        <v>0</v>
      </c>
      <c r="K48" s="300">
        <f>INDEX(Pieņēmumi!$H$32:$H$37,MATCH($B45,Pieņēmumi!$B$32:$B$37,0))</f>
        <v>0</v>
      </c>
      <c r="L48" s="300">
        <f>INDEX(Pieņēmumi!$H$32:$H$37,MATCH($B45,Pieņēmumi!$B$32:$B$37,0))</f>
        <v>0</v>
      </c>
      <c r="M48" s="300">
        <f>INDEX(Pieņēmumi!$H$32:$H$37,MATCH($B45,Pieņēmumi!$B$32:$B$37,0))</f>
        <v>0</v>
      </c>
      <c r="N48" s="300">
        <f>INDEX(Pieņēmumi!$H$32:$H$37,MATCH($B45,Pieņēmumi!$B$32:$B$37,0))</f>
        <v>0</v>
      </c>
      <c r="O48" s="300">
        <f>INDEX(Pieņēmumi!$H$32:$H$37,MATCH($B45,Pieņēmumi!$B$32:$B$37,0))</f>
        <v>0</v>
      </c>
    </row>
    <row r="49" spans="2:15" x14ac:dyDescent="0.4">
      <c r="B49" s="13" t="s">
        <v>50</v>
      </c>
      <c r="C49" s="13"/>
      <c r="D49" s="394">
        <f>INDEX(Pieņēmumi!$G$32:$G$37,MATCH($B45,Pieņēmumi!$B$32:$B$37,0))</f>
        <v>0</v>
      </c>
      <c r="E49" s="394">
        <f>INDEX(Pieņēmumi!$G$32:$G$37,MATCH($B45,Pieņēmumi!$B$32:$B$37,0))</f>
        <v>0</v>
      </c>
      <c r="F49" s="394">
        <f>INDEX(Pieņēmumi!$G$32:$G$37,MATCH($B45,Pieņēmumi!$B$32:$B$37,0))</f>
        <v>0</v>
      </c>
      <c r="G49" s="394">
        <f>INDEX(Pieņēmumi!$G$32:$G$37,MATCH($B45,Pieņēmumi!$B$32:$B$37,0))</f>
        <v>0</v>
      </c>
      <c r="H49" s="394">
        <f>INDEX(Pieņēmumi!$G$32:$G$37,MATCH($B45,Pieņēmumi!$B$32:$B$37,0))</f>
        <v>0</v>
      </c>
      <c r="I49" s="394">
        <f>INDEX(Pieņēmumi!$G$32:$G$37,MATCH($B45,Pieņēmumi!$B$32:$B$37,0))</f>
        <v>0</v>
      </c>
      <c r="J49" s="394">
        <f>INDEX(Pieņēmumi!$G$32:$G$37,MATCH($B45,Pieņēmumi!$B$32:$B$37,0))</f>
        <v>0</v>
      </c>
      <c r="K49" s="394">
        <f>INDEX(Pieņēmumi!$G$32:$G$37,MATCH($B45,Pieņēmumi!$B$32:$B$37,0))</f>
        <v>0</v>
      </c>
      <c r="L49" s="394">
        <f>INDEX(Pieņēmumi!$G$32:$G$37,MATCH($B45,Pieņēmumi!$B$32:$B$37,0))</f>
        <v>0</v>
      </c>
      <c r="M49" s="394">
        <f>INDEX(Pieņēmumi!$G$32:$G$37,MATCH($B45,Pieņēmumi!$B$32:$B$37,0))</f>
        <v>0</v>
      </c>
      <c r="N49" s="394">
        <f>INDEX(Pieņēmumi!$G$32:$G$37,MATCH($B45,Pieņēmumi!$B$32:$B$37,0))</f>
        <v>0</v>
      </c>
      <c r="O49" s="394">
        <f>INDEX(Pieņēmumi!$G$32:$G$37,MATCH($B45,Pieņēmumi!$B$32:$B$37,0))</f>
        <v>0</v>
      </c>
    </row>
    <row r="50" spans="2:15" x14ac:dyDescent="0.4">
      <c r="B50" s="13" t="s">
        <v>253</v>
      </c>
      <c r="C50" s="13"/>
      <c r="D50" s="300">
        <f>INDEX(Pieņēmumi!$F$32:$F$37,MATCH($B45,Pieņēmumi!$B$32:$B$37,0))</f>
        <v>0</v>
      </c>
      <c r="E50" s="300">
        <f>INDEX(Pieņēmumi!$F$32:$F$37,MATCH($B45,Pieņēmumi!$B$32:$B$37,0))</f>
        <v>0</v>
      </c>
      <c r="F50" s="300">
        <f>INDEX(Pieņēmumi!$F$32:$F$37,MATCH($B45,Pieņēmumi!$B$32:$B$37,0))</f>
        <v>0</v>
      </c>
      <c r="G50" s="300">
        <f>INDEX(Pieņēmumi!$F$32:$F$37,MATCH($B45,Pieņēmumi!$B$32:$B$37,0))</f>
        <v>0</v>
      </c>
      <c r="H50" s="300">
        <f>INDEX(Pieņēmumi!$F$32:$F$37,MATCH($B45,Pieņēmumi!$B$32:$B$37,0))</f>
        <v>0</v>
      </c>
      <c r="I50" s="300">
        <f>INDEX(Pieņēmumi!$F$32:$F$37,MATCH($B45,Pieņēmumi!$B$32:$B$37,0))</f>
        <v>0</v>
      </c>
      <c r="J50" s="300">
        <f>INDEX(Pieņēmumi!$F$32:$F$37,MATCH($B45,Pieņēmumi!$B$32:$B$37,0))</f>
        <v>0</v>
      </c>
      <c r="K50" s="300">
        <f>INDEX(Pieņēmumi!$F$32:$F$37,MATCH($B45,Pieņēmumi!$B$32:$B$37,0))</f>
        <v>0</v>
      </c>
      <c r="L50" s="300">
        <f>INDEX(Pieņēmumi!$F$32:$F$37,MATCH($B45,Pieņēmumi!$B$32:$B$37,0))</f>
        <v>0</v>
      </c>
      <c r="M50" s="300">
        <f>INDEX(Pieņēmumi!$F$32:$F$37,MATCH($B45,Pieņēmumi!$B$32:$B$37,0))</f>
        <v>0</v>
      </c>
      <c r="N50" s="300">
        <f>INDEX(Pieņēmumi!$F$32:$F$37,MATCH($B45,Pieņēmumi!$B$32:$B$37,0))</f>
        <v>0</v>
      </c>
      <c r="O50" s="300">
        <f>INDEX(Pieņēmumi!$F$32:$F$37,MATCH($B45,Pieņēmumi!$B$32:$B$37,0))</f>
        <v>0</v>
      </c>
    </row>
    <row r="51" spans="2:15" x14ac:dyDescent="0.4">
      <c r="B51" s="95" t="s">
        <v>145</v>
      </c>
      <c r="C51" s="95"/>
      <c r="D51" s="301">
        <f>D46*D49*MIN(D50/30,1)</f>
        <v>0</v>
      </c>
      <c r="E51" s="301">
        <f>E46*E49*MIN(E50/30,1)+D46*D49*MAX(MIN(D50/30-1,1),0)</f>
        <v>0</v>
      </c>
      <c r="F51" s="301">
        <f>F46*F49*MIN(F50/30,1)+E46*E49*MAX(MIN(E50/30-1,1),0)+D46*D49*MAX(MIN(D50/30-2,1),0)</f>
        <v>0</v>
      </c>
      <c r="G51" s="301">
        <f t="shared" ref="G51:O51" si="9">G46*G49*MIN(G50/30,1)+F46*F49*MAX(MIN(F50/30-1,1),0)+E46*E49*MAX(MIN(E50/30-2,1),0)+D46*D49*MAX(MIN(D50/30-3,1),0)</f>
        <v>0</v>
      </c>
      <c r="H51" s="301">
        <f t="shared" si="9"/>
        <v>0</v>
      </c>
      <c r="I51" s="301">
        <f t="shared" si="9"/>
        <v>0</v>
      </c>
      <c r="J51" s="301">
        <f t="shared" si="9"/>
        <v>0</v>
      </c>
      <c r="K51" s="301">
        <f t="shared" si="9"/>
        <v>0</v>
      </c>
      <c r="L51" s="301">
        <f t="shared" si="9"/>
        <v>0</v>
      </c>
      <c r="M51" s="301">
        <f t="shared" si="9"/>
        <v>0</v>
      </c>
      <c r="N51" s="301">
        <f t="shared" si="9"/>
        <v>0</v>
      </c>
      <c r="O51" s="301">
        <f t="shared" si="9"/>
        <v>0</v>
      </c>
    </row>
    <row r="52" spans="2:15" x14ac:dyDescent="0.4">
      <c r="B52" s="48" t="s">
        <v>146</v>
      </c>
      <c r="C52" s="48"/>
      <c r="D52" s="276">
        <f t="shared" ref="D52:L52" si="10">G46*G47*MIN(G48/30,1)+F46*F47*MAX(MIN(F48/30-1,1),0)+E46*E47*MAX(MIN(E48/30-2,1),0)+D46*D47*MAX(MIN(D48/30-3,1),0)</f>
        <v>0</v>
      </c>
      <c r="E52" s="276">
        <f t="shared" si="10"/>
        <v>0</v>
      </c>
      <c r="F52" s="276">
        <f t="shared" si="10"/>
        <v>0</v>
      </c>
      <c r="G52" s="276">
        <f t="shared" si="10"/>
        <v>0</v>
      </c>
      <c r="H52" s="276">
        <f t="shared" si="10"/>
        <v>0</v>
      </c>
      <c r="I52" s="276">
        <f t="shared" si="10"/>
        <v>0</v>
      </c>
      <c r="J52" s="276">
        <f t="shared" si="10"/>
        <v>0</v>
      </c>
      <c r="K52" s="276">
        <f t="shared" si="10"/>
        <v>0</v>
      </c>
      <c r="L52" s="276">
        <f t="shared" si="10"/>
        <v>0</v>
      </c>
      <c r="M52" s="276">
        <f>O46*O47*MIN(O48/30,1)+N46*N47*MAX(MIN(N48/30-1,1),0)+M46*M47*MAX(MIN(M48/30-2,1),0)</f>
        <v>0</v>
      </c>
      <c r="N52" s="276">
        <f>O46*O47*MIN(O48/30,1)+N46*N47*MAX(MIN(N48/30-1,1),0)</f>
        <v>0</v>
      </c>
      <c r="O52" s="276">
        <f>O46*O47*MIN(O48/30,1)</f>
        <v>0</v>
      </c>
    </row>
    <row r="53" spans="2:15" x14ac:dyDescent="0.4">
      <c r="B53" s="216"/>
      <c r="C53" s="216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</row>
    <row r="54" spans="2:15" x14ac:dyDescent="0.4">
      <c r="B54" s="441" t="str">
        <f>Pieņēmumi!$B$37</f>
        <v>Pārdosanas kanāls 6</v>
      </c>
      <c r="C54" s="441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</row>
    <row r="55" spans="2:15" x14ac:dyDescent="0.4">
      <c r="B55" s="94" t="s">
        <v>143</v>
      </c>
      <c r="C55" s="94"/>
      <c r="D55" s="299">
        <f>VLOOKUP($B54,Pieņēmumi!$B$32:$C$37,2,FALSE)*Pārdošana!C$6</f>
        <v>0</v>
      </c>
      <c r="E55" s="299">
        <f>VLOOKUP($B54,Pieņēmumi!$B$32:$C$37,2,FALSE)*Pārdošana!D$6</f>
        <v>0</v>
      </c>
      <c r="F55" s="299">
        <f>VLOOKUP($B54,Pieņēmumi!$B$32:$C$37,2,FALSE)*Pārdošana!E$6</f>
        <v>0</v>
      </c>
      <c r="G55" s="299">
        <f>VLOOKUP($B54,Pieņēmumi!$B$32:$C$37,2,FALSE)*Pārdošana!F$6</f>
        <v>0</v>
      </c>
      <c r="H55" s="299">
        <f>VLOOKUP($B54,Pieņēmumi!$B$32:$C$37,2,FALSE)*Pārdošana!G$6</f>
        <v>0</v>
      </c>
      <c r="I55" s="299">
        <f>VLOOKUP($B54,Pieņēmumi!$B$32:$C$37,2,FALSE)*Pārdošana!H$6</f>
        <v>0</v>
      </c>
      <c r="J55" s="299">
        <f>VLOOKUP($B54,Pieņēmumi!$B$32:$C$37,2,FALSE)*Pārdošana!I$6</f>
        <v>0</v>
      </c>
      <c r="K55" s="299">
        <f>VLOOKUP($B54,Pieņēmumi!$B$32:$C$37,2,FALSE)*Pārdošana!J$6</f>
        <v>0</v>
      </c>
      <c r="L55" s="299">
        <f>VLOOKUP($B54,Pieņēmumi!$B$32:$C$37,2,FALSE)*Pārdošana!K$6</f>
        <v>0</v>
      </c>
      <c r="M55" s="299">
        <f>VLOOKUP($B54,Pieņēmumi!$B$32:$C$37,2,FALSE)*Pārdošana!L$6</f>
        <v>0</v>
      </c>
      <c r="N55" s="299">
        <f>VLOOKUP($B54,Pieņēmumi!$B$32:$C$37,2,FALSE)*Pārdošana!M$6</f>
        <v>0</v>
      </c>
      <c r="O55" s="299">
        <f>VLOOKUP($B54,Pieņēmumi!$B$32:$C$37,2,FALSE)*Pārdošana!N$6</f>
        <v>0</v>
      </c>
    </row>
    <row r="56" spans="2:15" x14ac:dyDescent="0.4">
      <c r="B56" s="13" t="s">
        <v>144</v>
      </c>
      <c r="C56" s="13"/>
      <c r="D56" s="394">
        <f>INDEX(Pieņēmumi!$I$32:$I$37,MATCH($B54,Pieņēmumi!$B$32:$B$37,0))</f>
        <v>0</v>
      </c>
      <c r="E56" s="394">
        <f>INDEX(Pieņēmumi!$I$32:$I$37,MATCH($B54,Pieņēmumi!$B$32:$B$37,0))</f>
        <v>0</v>
      </c>
      <c r="F56" s="394">
        <f>INDEX(Pieņēmumi!$I$32:$I$37,MATCH($B54,Pieņēmumi!$B$32:$B$37,0))</f>
        <v>0</v>
      </c>
      <c r="G56" s="394">
        <f>INDEX(Pieņēmumi!$I$32:$I$37,MATCH($B54,Pieņēmumi!$B$32:$B$37,0))</f>
        <v>0</v>
      </c>
      <c r="H56" s="394">
        <f>INDEX(Pieņēmumi!$I$32:$I$37,MATCH($B54,Pieņēmumi!$B$32:$B$37,0))</f>
        <v>0</v>
      </c>
      <c r="I56" s="394">
        <f>INDEX(Pieņēmumi!$I$32:$I$37,MATCH($B54,Pieņēmumi!$B$32:$B$37,0))</f>
        <v>0</v>
      </c>
      <c r="J56" s="394">
        <f>INDEX(Pieņēmumi!$I$32:$I$37,MATCH($B54,Pieņēmumi!$B$32:$B$37,0))</f>
        <v>0</v>
      </c>
      <c r="K56" s="394">
        <f>INDEX(Pieņēmumi!$I$32:$I$37,MATCH($B54,Pieņēmumi!$B$32:$B$37,0))</f>
        <v>0</v>
      </c>
      <c r="L56" s="394">
        <f>INDEX(Pieņēmumi!$I$32:$I$37,MATCH($B54,Pieņēmumi!$B$32:$B$37,0))</f>
        <v>0</v>
      </c>
      <c r="M56" s="394">
        <f>INDEX(Pieņēmumi!$I$32:$I$37,MATCH($B54,Pieņēmumi!$B$32:$B$37,0))</f>
        <v>0</v>
      </c>
      <c r="N56" s="394">
        <f>INDEX(Pieņēmumi!$I$32:$I$37,MATCH($B54,Pieņēmumi!$B$32:$B$37,0))</f>
        <v>0</v>
      </c>
      <c r="O56" s="394">
        <f>INDEX(Pieņēmumi!$I$32:$I$37,MATCH($B54,Pieņēmumi!$B$32:$B$37,0))</f>
        <v>0</v>
      </c>
    </row>
    <row r="57" spans="2:15" x14ac:dyDescent="0.4">
      <c r="B57" s="13" t="s">
        <v>252</v>
      </c>
      <c r="C57" s="13"/>
      <c r="D57" s="300">
        <f>INDEX(Pieņēmumi!$H$32:$H$37,MATCH($B54,Pieņēmumi!$B$32:$B$37,0))</f>
        <v>0</v>
      </c>
      <c r="E57" s="300">
        <f>INDEX(Pieņēmumi!$H$32:$H$37,MATCH($B54,Pieņēmumi!$B$32:$B$37,0))</f>
        <v>0</v>
      </c>
      <c r="F57" s="300">
        <f>INDEX(Pieņēmumi!$H$32:$H$37,MATCH($B54,Pieņēmumi!$B$32:$B$37,0))</f>
        <v>0</v>
      </c>
      <c r="G57" s="300">
        <f>INDEX(Pieņēmumi!$H$32:$H$37,MATCH($B54,Pieņēmumi!$B$32:$B$37,0))</f>
        <v>0</v>
      </c>
      <c r="H57" s="300">
        <f>INDEX(Pieņēmumi!$H$32:$H$37,MATCH($B54,Pieņēmumi!$B$32:$B$37,0))</f>
        <v>0</v>
      </c>
      <c r="I57" s="300">
        <f>INDEX(Pieņēmumi!$H$32:$H$37,MATCH($B54,Pieņēmumi!$B$32:$B$37,0))</f>
        <v>0</v>
      </c>
      <c r="J57" s="300">
        <f>INDEX(Pieņēmumi!$H$32:$H$37,MATCH($B54,Pieņēmumi!$B$32:$B$37,0))</f>
        <v>0</v>
      </c>
      <c r="K57" s="300">
        <f>INDEX(Pieņēmumi!$H$32:$H$37,MATCH($B54,Pieņēmumi!$B$32:$B$37,0))</f>
        <v>0</v>
      </c>
      <c r="L57" s="300">
        <f>INDEX(Pieņēmumi!$H$32:$H$37,MATCH($B54,Pieņēmumi!$B$32:$B$37,0))</f>
        <v>0</v>
      </c>
      <c r="M57" s="300">
        <f>INDEX(Pieņēmumi!$H$32:$H$37,MATCH($B54,Pieņēmumi!$B$32:$B$37,0))</f>
        <v>0</v>
      </c>
      <c r="N57" s="300">
        <f>INDEX(Pieņēmumi!$H$32:$H$37,MATCH($B54,Pieņēmumi!$B$32:$B$37,0))</f>
        <v>0</v>
      </c>
      <c r="O57" s="300">
        <f>INDEX(Pieņēmumi!$H$32:$H$37,MATCH($B54,Pieņēmumi!$B$32:$B$37,0))</f>
        <v>0</v>
      </c>
    </row>
    <row r="58" spans="2:15" x14ac:dyDescent="0.4">
      <c r="B58" s="13" t="s">
        <v>50</v>
      </c>
      <c r="C58" s="13"/>
      <c r="D58" s="394">
        <f>INDEX(Pieņēmumi!$G$32:$G$37,MATCH($B54,Pieņēmumi!$B$32:$B$37,0))</f>
        <v>0</v>
      </c>
      <c r="E58" s="394">
        <f>INDEX(Pieņēmumi!$G$32:$G$37,MATCH($B54,Pieņēmumi!$B$32:$B$37,0))</f>
        <v>0</v>
      </c>
      <c r="F58" s="394">
        <f>INDEX(Pieņēmumi!$G$32:$G$37,MATCH($B54,Pieņēmumi!$B$32:$B$37,0))</f>
        <v>0</v>
      </c>
      <c r="G58" s="394">
        <f>INDEX(Pieņēmumi!$G$32:$G$37,MATCH($B54,Pieņēmumi!$B$32:$B$37,0))</f>
        <v>0</v>
      </c>
      <c r="H58" s="394">
        <f>INDEX(Pieņēmumi!$G$32:$G$37,MATCH($B54,Pieņēmumi!$B$32:$B$37,0))</f>
        <v>0</v>
      </c>
      <c r="I58" s="394">
        <f>INDEX(Pieņēmumi!$G$32:$G$37,MATCH($B54,Pieņēmumi!$B$32:$B$37,0))</f>
        <v>0</v>
      </c>
      <c r="J58" s="394">
        <f>INDEX(Pieņēmumi!$G$32:$G$37,MATCH($B54,Pieņēmumi!$B$32:$B$37,0))</f>
        <v>0</v>
      </c>
      <c r="K58" s="394">
        <f>INDEX(Pieņēmumi!$G$32:$G$37,MATCH($B54,Pieņēmumi!$B$32:$B$37,0))</f>
        <v>0</v>
      </c>
      <c r="L58" s="394">
        <f>INDEX(Pieņēmumi!$G$32:$G$37,MATCH($B54,Pieņēmumi!$B$32:$B$37,0))</f>
        <v>0</v>
      </c>
      <c r="M58" s="394">
        <f>INDEX(Pieņēmumi!$G$32:$G$37,MATCH($B54,Pieņēmumi!$B$32:$B$37,0))</f>
        <v>0</v>
      </c>
      <c r="N58" s="394">
        <f>INDEX(Pieņēmumi!$G$32:$G$37,MATCH($B54,Pieņēmumi!$B$32:$B$37,0))</f>
        <v>0</v>
      </c>
      <c r="O58" s="394">
        <f>INDEX(Pieņēmumi!$G$32:$G$37,MATCH($B54,Pieņēmumi!$B$32:$B$37,0))</f>
        <v>0</v>
      </c>
    </row>
    <row r="59" spans="2:15" x14ac:dyDescent="0.4">
      <c r="B59" s="13" t="s">
        <v>253</v>
      </c>
      <c r="C59" s="13"/>
      <c r="D59" s="300">
        <f>INDEX(Pieņēmumi!$F$32:$F$37,MATCH($B54,Pieņēmumi!$B$32:$B$37,0))</f>
        <v>0</v>
      </c>
      <c r="E59" s="300">
        <f>INDEX(Pieņēmumi!$F$32:$F$37,MATCH($B54,Pieņēmumi!$B$32:$B$37,0))</f>
        <v>0</v>
      </c>
      <c r="F59" s="300">
        <f>INDEX(Pieņēmumi!$F$32:$F$37,MATCH($B54,Pieņēmumi!$B$32:$B$37,0))</f>
        <v>0</v>
      </c>
      <c r="G59" s="300">
        <f>INDEX(Pieņēmumi!$F$32:$F$37,MATCH($B54,Pieņēmumi!$B$32:$B$37,0))</f>
        <v>0</v>
      </c>
      <c r="H59" s="300">
        <f>INDEX(Pieņēmumi!$F$32:$F$37,MATCH($B54,Pieņēmumi!$B$32:$B$37,0))</f>
        <v>0</v>
      </c>
      <c r="I59" s="300">
        <f>INDEX(Pieņēmumi!$F$32:$F$37,MATCH($B54,Pieņēmumi!$B$32:$B$37,0))</f>
        <v>0</v>
      </c>
      <c r="J59" s="300">
        <f>INDEX(Pieņēmumi!$F$32:$F$37,MATCH($B54,Pieņēmumi!$B$32:$B$37,0))</f>
        <v>0</v>
      </c>
      <c r="K59" s="300">
        <f>INDEX(Pieņēmumi!$F$32:$F$37,MATCH($B54,Pieņēmumi!$B$32:$B$37,0))</f>
        <v>0</v>
      </c>
      <c r="L59" s="300">
        <f>INDEX(Pieņēmumi!$F$32:$F$37,MATCH($B54,Pieņēmumi!$B$32:$B$37,0))</f>
        <v>0</v>
      </c>
      <c r="M59" s="300">
        <f>INDEX(Pieņēmumi!$F$32:$F$37,MATCH($B54,Pieņēmumi!$B$32:$B$37,0))</f>
        <v>0</v>
      </c>
      <c r="N59" s="300">
        <f>INDEX(Pieņēmumi!$F$32:$F$37,MATCH($B54,Pieņēmumi!$B$32:$B$37,0))</f>
        <v>0</v>
      </c>
      <c r="O59" s="300">
        <f>INDEX(Pieņēmumi!$F$32:$F$37,MATCH($B54,Pieņēmumi!$B$32:$B$37,0))</f>
        <v>0</v>
      </c>
    </row>
    <row r="60" spans="2:15" x14ac:dyDescent="0.4">
      <c r="B60" s="95" t="s">
        <v>145</v>
      </c>
      <c r="C60" s="95"/>
      <c r="D60" s="301">
        <f>D55*D58*MIN(D59/30,1)</f>
        <v>0</v>
      </c>
      <c r="E60" s="301">
        <f>E55*E58*MIN(E59/30,1)+D55*D58*MAX(MIN(D59/30-1,1),0)</f>
        <v>0</v>
      </c>
      <c r="F60" s="301">
        <f>F55*F58*MIN(F59/30,1)+E55*E58*MAX(MIN(E59/30-1,1),0)+D55*D58*MAX(MIN(D59/30-2,1),0)</f>
        <v>0</v>
      </c>
      <c r="G60" s="301">
        <f t="shared" ref="G60:O60" si="11">G55*G58*MIN(G59/30,1)+F55*F58*MAX(MIN(F59/30-1,1),0)+E55*E58*MAX(MIN(E59/30-2,1),0)+D55*D58*MAX(MIN(D59/30-3,1),0)</f>
        <v>0</v>
      </c>
      <c r="H60" s="301">
        <f t="shared" si="11"/>
        <v>0</v>
      </c>
      <c r="I60" s="301">
        <f t="shared" si="11"/>
        <v>0</v>
      </c>
      <c r="J60" s="301">
        <f t="shared" si="11"/>
        <v>0</v>
      </c>
      <c r="K60" s="301">
        <f t="shared" si="11"/>
        <v>0</v>
      </c>
      <c r="L60" s="301">
        <f t="shared" si="11"/>
        <v>0</v>
      </c>
      <c r="M60" s="301">
        <f t="shared" si="11"/>
        <v>0</v>
      </c>
      <c r="N60" s="301">
        <f t="shared" si="11"/>
        <v>0</v>
      </c>
      <c r="O60" s="301">
        <f t="shared" si="11"/>
        <v>0</v>
      </c>
    </row>
    <row r="61" spans="2:15" x14ac:dyDescent="0.4">
      <c r="B61" s="48" t="s">
        <v>146</v>
      </c>
      <c r="C61" s="48"/>
      <c r="D61" s="276">
        <f t="shared" ref="D61:L61" si="12">G55*G56*MIN(G57/30,1)+F55*F56*MAX(MIN(F57/30-1,1),0)+E55*E56*MAX(MIN(E57/30-2,1),0)+D55*D56*MAX(MIN(D57/30-3,1),0)</f>
        <v>0</v>
      </c>
      <c r="E61" s="276">
        <f t="shared" si="12"/>
        <v>0</v>
      </c>
      <c r="F61" s="276">
        <f t="shared" si="12"/>
        <v>0</v>
      </c>
      <c r="G61" s="276">
        <f t="shared" si="12"/>
        <v>0</v>
      </c>
      <c r="H61" s="276">
        <f t="shared" si="12"/>
        <v>0</v>
      </c>
      <c r="I61" s="276">
        <f t="shared" si="12"/>
        <v>0</v>
      </c>
      <c r="J61" s="276">
        <f t="shared" si="12"/>
        <v>0</v>
      </c>
      <c r="K61" s="276">
        <f t="shared" si="12"/>
        <v>0</v>
      </c>
      <c r="L61" s="276">
        <f t="shared" si="12"/>
        <v>0</v>
      </c>
      <c r="M61" s="276">
        <f>O55*O56*MIN(O57/30,1)+N55*N56*MAX(MIN(N57/30-1,1),0)+M55*M56*MAX(MIN(M57/30-2,1),0)</f>
        <v>0</v>
      </c>
      <c r="N61" s="276">
        <f>O55*O56*MIN(O57/30,1)+N55*N56*MAX(MIN(N57/30-1,1),0)</f>
        <v>0</v>
      </c>
      <c r="O61" s="276">
        <f>O55*O56*MIN(O57/30,1)</f>
        <v>0</v>
      </c>
    </row>
    <row r="62" spans="2:15" x14ac:dyDescent="0.4">
      <c r="B62" s="216"/>
      <c r="C62" s="216"/>
      <c r="D62" s="303"/>
      <c r="E62" s="303"/>
      <c r="F62" s="303"/>
      <c r="G62" s="303"/>
      <c r="H62" s="303"/>
      <c r="I62" s="303"/>
      <c r="J62" s="303"/>
      <c r="K62" s="303"/>
      <c r="L62" s="303"/>
      <c r="M62" s="303"/>
      <c r="N62" s="303"/>
      <c r="O62" s="303"/>
    </row>
    <row r="63" spans="2:15" x14ac:dyDescent="0.4">
      <c r="B63" s="216"/>
      <c r="C63" s="216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</row>
    <row r="64" spans="2:15" x14ac:dyDescent="0.4">
      <c r="B64" s="148"/>
      <c r="C64" s="14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</row>
  </sheetData>
  <sheetProtection formatColumns="0" formatRows="0" selectLockedCells="1"/>
  <protectedRanges>
    <protectedRange sqref="C7:D7 C6 D10:O14 D19:O23 D28:O32 D37:O41 D46:O50 D55:O59" name="Range1_1"/>
  </protectedRange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>
    <tabColor theme="5" tint="0.39997558519241921"/>
  </sheetPr>
  <dimension ref="A2:P19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7" sqref="D17:O17"/>
    </sheetView>
  </sheetViews>
  <sheetFormatPr defaultColWidth="9.1328125" defaultRowHeight="14.25" x14ac:dyDescent="0.4"/>
  <cols>
    <col min="1" max="1" width="5.46484375" style="211" customWidth="1"/>
    <col min="2" max="2" width="51" style="172" bestFit="1" customWidth="1"/>
    <col min="3" max="3" width="12.1328125" style="172" customWidth="1"/>
    <col min="4" max="4" width="12.1328125" style="211" customWidth="1"/>
    <col min="5" max="15" width="10.46484375" style="211" customWidth="1"/>
    <col min="16" max="16" width="9.1328125" style="409"/>
    <col min="17" max="17" width="9.46484375" style="211" bestFit="1" customWidth="1"/>
    <col min="18" max="16384" width="9.1328125" style="211"/>
  </cols>
  <sheetData>
    <row r="2" spans="1:16" ht="15" thickBot="1" x14ac:dyDescent="0.4">
      <c r="A2" s="3"/>
      <c r="B2" s="254" t="str">
        <f>LEFT(Pieņēmumi!$B$2,FIND("Budžets",Pieņēmumi!$B$2)-1)&amp;"Parādi piegādātājiem "</f>
        <v xml:space="preserve">Spēka ražotājs Parādi piegādātājiem 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</row>
    <row r="3" spans="1:16" ht="14.65" thickTop="1" x14ac:dyDescent="0.4">
      <c r="B3" s="212"/>
      <c r="C3" s="212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</row>
    <row r="4" spans="1:16" x14ac:dyDescent="0.4">
      <c r="A4" s="3"/>
      <c r="B4" s="9"/>
      <c r="C4" s="9"/>
      <c r="D4" s="10" t="str">
        <f>LEFT(Pieņēmumi!E7,3)</f>
        <v>Jan</v>
      </c>
      <c r="E4" s="10" t="str">
        <f t="shared" ref="E4:O4" si="0">MID(Month,SEARCH(D4,Month,1)+3,3)</f>
        <v>Feb</v>
      </c>
      <c r="F4" s="10" t="str">
        <f t="shared" si="0"/>
        <v>Mar</v>
      </c>
      <c r="G4" s="10" t="str">
        <f t="shared" si="0"/>
        <v>Apr</v>
      </c>
      <c r="H4" s="10" t="str">
        <f t="shared" si="0"/>
        <v>May</v>
      </c>
      <c r="I4" s="10" t="str">
        <f t="shared" si="0"/>
        <v>Jun</v>
      </c>
      <c r="J4" s="10" t="str">
        <f t="shared" si="0"/>
        <v>Jul</v>
      </c>
      <c r="K4" s="10" t="str">
        <f t="shared" si="0"/>
        <v>Aug</v>
      </c>
      <c r="L4" s="10" t="str">
        <f t="shared" si="0"/>
        <v>Sep</v>
      </c>
      <c r="M4" s="10" t="str">
        <f t="shared" si="0"/>
        <v>Oct</v>
      </c>
      <c r="N4" s="10" t="str">
        <f t="shared" si="0"/>
        <v>Nov</v>
      </c>
      <c r="O4" s="10" t="str">
        <f t="shared" si="0"/>
        <v>Dec</v>
      </c>
    </row>
    <row r="5" spans="1:16" s="214" customFormat="1" x14ac:dyDescent="0.4">
      <c r="B5" s="186"/>
      <c r="C5" s="186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410"/>
    </row>
    <row r="6" spans="1:16" s="214" customFormat="1" x14ac:dyDescent="0.4">
      <c r="A6" s="4"/>
      <c r="B6" s="388" t="s">
        <v>151</v>
      </c>
      <c r="C6" s="389">
        <v>100000</v>
      </c>
      <c r="D6" s="389">
        <v>65000</v>
      </c>
      <c r="E6" s="389">
        <v>30000</v>
      </c>
      <c r="F6" s="389">
        <v>0</v>
      </c>
      <c r="G6" s="389">
        <v>0</v>
      </c>
      <c r="H6" s="389">
        <v>0</v>
      </c>
      <c r="I6" s="389">
        <v>0</v>
      </c>
      <c r="J6" s="389">
        <v>0</v>
      </c>
      <c r="K6" s="389">
        <v>0</v>
      </c>
      <c r="L6" s="389">
        <v>0</v>
      </c>
      <c r="M6" s="389">
        <v>0</v>
      </c>
      <c r="N6" s="389">
        <v>0</v>
      </c>
      <c r="O6" s="389">
        <v>0</v>
      </c>
      <c r="P6" s="410"/>
    </row>
    <row r="7" spans="1:16" s="214" customFormat="1" x14ac:dyDescent="0.4">
      <c r="B7" s="186"/>
      <c r="C7" s="186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410"/>
    </row>
    <row r="8" spans="1:16" x14ac:dyDescent="0.4">
      <c r="A8" s="3"/>
      <c r="B8" s="96" t="str">
        <f>PZA!B11&amp;""</f>
        <v>Izejvielas un materiāli</v>
      </c>
      <c r="C8" s="96"/>
      <c r="D8" s="304">
        <f>PZA!C11</f>
        <v>0</v>
      </c>
      <c r="E8" s="304">
        <f>PZA!D11</f>
        <v>0</v>
      </c>
      <c r="F8" s="304">
        <f>PZA!E11</f>
        <v>0</v>
      </c>
      <c r="G8" s="304">
        <f>PZA!F11</f>
        <v>0</v>
      </c>
      <c r="H8" s="304">
        <f>PZA!G11</f>
        <v>0</v>
      </c>
      <c r="I8" s="304">
        <f>PZA!H11</f>
        <v>0</v>
      </c>
      <c r="J8" s="304">
        <f>PZA!I11</f>
        <v>0</v>
      </c>
      <c r="K8" s="304">
        <f>PZA!J11</f>
        <v>0</v>
      </c>
      <c r="L8" s="304">
        <f>PZA!K11</f>
        <v>0</v>
      </c>
      <c r="M8" s="304">
        <f>PZA!L11</f>
        <v>0</v>
      </c>
      <c r="N8" s="304">
        <f>PZA!M11</f>
        <v>0</v>
      </c>
      <c r="O8" s="304">
        <f>PZA!N11</f>
        <v>0</v>
      </c>
    </row>
    <row r="9" spans="1:16" x14ac:dyDescent="0.4">
      <c r="A9" s="3"/>
      <c r="B9" s="22" t="s">
        <v>253</v>
      </c>
      <c r="C9" s="22"/>
      <c r="D9" s="279">
        <v>0</v>
      </c>
      <c r="E9" s="279">
        <v>0</v>
      </c>
      <c r="F9" s="279">
        <v>0</v>
      </c>
      <c r="G9" s="279">
        <v>0</v>
      </c>
      <c r="H9" s="279">
        <v>0</v>
      </c>
      <c r="I9" s="279">
        <v>0</v>
      </c>
      <c r="J9" s="279">
        <v>0</v>
      </c>
      <c r="K9" s="279">
        <v>0</v>
      </c>
      <c r="L9" s="279">
        <v>0</v>
      </c>
      <c r="M9" s="279">
        <v>0</v>
      </c>
      <c r="N9" s="279">
        <v>0</v>
      </c>
      <c r="O9" s="279">
        <v>0</v>
      </c>
    </row>
    <row r="10" spans="1:16" x14ac:dyDescent="0.4">
      <c r="A10" s="3"/>
      <c r="B10" s="97" t="s">
        <v>70</v>
      </c>
      <c r="C10" s="97"/>
      <c r="D10" s="305">
        <f>D8*MIN(D9/30,1)</f>
        <v>0</v>
      </c>
      <c r="E10" s="305">
        <f>E8*MIN(E9/30,1)+D8*MAX(MIN(D9/30-1,1),0)</f>
        <v>0</v>
      </c>
      <c r="F10" s="305">
        <f>F8*MIN(F9/30,1)+E8*MAX(MIN(E9/30-1,1),0)+D8*MAX(MIN(D9/30-2,1),0)</f>
        <v>0</v>
      </c>
      <c r="G10" s="305">
        <f>G8*MIN(G9/30,1)+F8*MAX(MIN(F9/30-1,1),0)+E8*MAX(MIN(E9/30-2,1),0)+D8*MAX(MIN(D9/30-3,1),0)</f>
        <v>0</v>
      </c>
      <c r="H10" s="305">
        <f>H8*MIN(H9/30,1)+G8*MAX(MIN(G9/30-1,1),0)+F8*MAX(MIN(F9/30-2,1),0)+E8*MAX(MIN(E9/30-3,1),0)</f>
        <v>0</v>
      </c>
      <c r="I10" s="305">
        <f>I8*MIN(I9/30,1)+H8*MAX(MIN(H9/30-1,1),0)+G8*MAX(MIN(G9/30-2,1),0)+F8*MAX(MIN(F9/30-3,1),0)</f>
        <v>0</v>
      </c>
      <c r="J10" s="305">
        <f>J8*MIN(J9/30,1)+I8*MAX(MIN(I9/30-1,1),0)+H8*MAX(MIN(H9/30-2,1),0)+G8*MAX(MIN(G9/30-3,1),0)</f>
        <v>0</v>
      </c>
      <c r="K10" s="305">
        <f t="shared" ref="K10:O10" si="1">K8*MIN(K9/30,1)+J8*MAX(MIN(J9/30-1,1),0)+I8*MAX(MIN(I9/30-2,1),0)+H8*MAX(MIN(H9/30-3,1),0)</f>
        <v>0</v>
      </c>
      <c r="L10" s="305">
        <f t="shared" si="1"/>
        <v>0</v>
      </c>
      <c r="M10" s="305">
        <f t="shared" si="1"/>
        <v>0</v>
      </c>
      <c r="N10" s="305">
        <f t="shared" si="1"/>
        <v>0</v>
      </c>
      <c r="O10" s="305">
        <f t="shared" si="1"/>
        <v>0</v>
      </c>
    </row>
    <row r="11" spans="1:16" x14ac:dyDescent="0.4"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412"/>
    </row>
    <row r="12" spans="1:16" x14ac:dyDescent="0.4">
      <c r="A12" s="3"/>
      <c r="B12" s="96" t="str">
        <f>PZA!B12&amp;""</f>
        <v>Iepakojums</v>
      </c>
      <c r="C12" s="96"/>
      <c r="D12" s="304">
        <f>PZA!C12</f>
        <v>0</v>
      </c>
      <c r="E12" s="304">
        <f>PZA!D12</f>
        <v>0</v>
      </c>
      <c r="F12" s="304">
        <f>PZA!E12</f>
        <v>0</v>
      </c>
      <c r="G12" s="304">
        <f>PZA!F12</f>
        <v>0</v>
      </c>
      <c r="H12" s="304">
        <f>PZA!G12</f>
        <v>0</v>
      </c>
      <c r="I12" s="304">
        <f>PZA!H12</f>
        <v>0</v>
      </c>
      <c r="J12" s="304">
        <f>PZA!I12</f>
        <v>0</v>
      </c>
      <c r="K12" s="304">
        <f>PZA!J12</f>
        <v>0</v>
      </c>
      <c r="L12" s="304">
        <f>PZA!K12</f>
        <v>0</v>
      </c>
      <c r="M12" s="304">
        <f>PZA!L12</f>
        <v>0</v>
      </c>
      <c r="N12" s="304">
        <f>PZA!M12</f>
        <v>0</v>
      </c>
      <c r="O12" s="304">
        <f>PZA!N12</f>
        <v>0</v>
      </c>
      <c r="P12" s="412"/>
    </row>
    <row r="13" spans="1:16" x14ac:dyDescent="0.4">
      <c r="A13" s="3"/>
      <c r="B13" s="22" t="s">
        <v>253</v>
      </c>
      <c r="C13" s="22"/>
      <c r="D13" s="279">
        <v>0</v>
      </c>
      <c r="E13" s="279">
        <v>0</v>
      </c>
      <c r="F13" s="279">
        <v>0</v>
      </c>
      <c r="G13" s="279">
        <v>0</v>
      </c>
      <c r="H13" s="279">
        <v>0</v>
      </c>
      <c r="I13" s="279">
        <v>0</v>
      </c>
      <c r="J13" s="279">
        <v>0</v>
      </c>
      <c r="K13" s="279">
        <v>0</v>
      </c>
      <c r="L13" s="279">
        <v>0</v>
      </c>
      <c r="M13" s="279">
        <v>0</v>
      </c>
      <c r="N13" s="279">
        <v>0</v>
      </c>
      <c r="O13" s="279">
        <v>0</v>
      </c>
      <c r="P13" s="412"/>
    </row>
    <row r="14" spans="1:16" x14ac:dyDescent="0.4">
      <c r="A14" s="3"/>
      <c r="B14" s="97" t="s">
        <v>70</v>
      </c>
      <c r="C14" s="97"/>
      <c r="D14" s="305">
        <f>D12*MIN(D13/30,1)</f>
        <v>0</v>
      </c>
      <c r="E14" s="305">
        <f>E12*MIN(E13/30,1)+D12*MAX(MIN(D13/30-1,1),0)</f>
        <v>0</v>
      </c>
      <c r="F14" s="305">
        <f>F12*MIN(F13/30,1)+E12*MAX(MIN(E13/30-1,1),0)+D12*MAX(MIN(D13/30-2,1),0)</f>
        <v>0</v>
      </c>
      <c r="G14" s="305">
        <f t="shared" ref="G14:O14" si="2">G12*MIN(G13/30,1)+F12*MAX(MIN(F13/30-1,1),0)+E12*MAX(MIN(E13/30-2,1),0)+D12*MAX(MIN(D13/30-3,1),0)</f>
        <v>0</v>
      </c>
      <c r="H14" s="305">
        <f t="shared" si="2"/>
        <v>0</v>
      </c>
      <c r="I14" s="305">
        <f t="shared" si="2"/>
        <v>0</v>
      </c>
      <c r="J14" s="305">
        <f t="shared" si="2"/>
        <v>0</v>
      </c>
      <c r="K14" s="305">
        <f t="shared" si="2"/>
        <v>0</v>
      </c>
      <c r="L14" s="305">
        <f t="shared" si="2"/>
        <v>0</v>
      </c>
      <c r="M14" s="305">
        <f t="shared" si="2"/>
        <v>0</v>
      </c>
      <c r="N14" s="305">
        <f t="shared" si="2"/>
        <v>0</v>
      </c>
      <c r="O14" s="305">
        <f t="shared" si="2"/>
        <v>0</v>
      </c>
      <c r="P14" s="412"/>
    </row>
    <row r="15" spans="1:16" x14ac:dyDescent="0.4">
      <c r="D15" s="221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412"/>
    </row>
    <row r="16" spans="1:16" x14ac:dyDescent="0.4">
      <c r="A16" s="3"/>
      <c r="B16" s="96" t="s">
        <v>150</v>
      </c>
      <c r="C16" s="96"/>
      <c r="D16" s="304">
        <f>SUM(PZA!C15:C18,PZA!C25:C28)</f>
        <v>0</v>
      </c>
      <c r="E16" s="304">
        <f>SUM(PZA!D15:D18,PZA!D25:D28)</f>
        <v>0</v>
      </c>
      <c r="F16" s="304">
        <f>SUM(PZA!E15:E18,PZA!E25:E28)</f>
        <v>0</v>
      </c>
      <c r="G16" s="304">
        <f>SUM(PZA!F15:F18,PZA!F25:F28)</f>
        <v>0</v>
      </c>
      <c r="H16" s="304">
        <f>SUM(PZA!G15:G18,PZA!G25:G28)</f>
        <v>0</v>
      </c>
      <c r="I16" s="304">
        <f>SUM(PZA!H15:H18,PZA!H25:H28)</f>
        <v>0</v>
      </c>
      <c r="J16" s="304">
        <f>SUM(PZA!I15:I18,PZA!I25:I28)</f>
        <v>0</v>
      </c>
      <c r="K16" s="304">
        <f>SUM(PZA!J15:J18,PZA!J25:J28)</f>
        <v>0</v>
      </c>
      <c r="L16" s="304">
        <f>SUM(PZA!K15:K18,PZA!K25:K28)</f>
        <v>0</v>
      </c>
      <c r="M16" s="304">
        <f>SUM(PZA!L15:L18,PZA!L25:L28)</f>
        <v>0</v>
      </c>
      <c r="N16" s="304">
        <f>SUM(PZA!M15:M18,PZA!M25:M28)</f>
        <v>0</v>
      </c>
      <c r="O16" s="304">
        <f>SUM(PZA!N15:N18,PZA!N25:N28)</f>
        <v>0</v>
      </c>
      <c r="P16" s="412"/>
    </row>
    <row r="17" spans="1:16" x14ac:dyDescent="0.4">
      <c r="A17" s="3"/>
      <c r="B17" s="22" t="s">
        <v>253</v>
      </c>
      <c r="C17" s="22"/>
      <c r="D17" s="279">
        <v>0</v>
      </c>
      <c r="E17" s="279">
        <v>0</v>
      </c>
      <c r="F17" s="279">
        <v>0</v>
      </c>
      <c r="G17" s="279">
        <v>0</v>
      </c>
      <c r="H17" s="279">
        <v>0</v>
      </c>
      <c r="I17" s="279">
        <v>0</v>
      </c>
      <c r="J17" s="279">
        <v>0</v>
      </c>
      <c r="K17" s="279">
        <v>0</v>
      </c>
      <c r="L17" s="279">
        <v>0</v>
      </c>
      <c r="M17" s="279">
        <v>0</v>
      </c>
      <c r="N17" s="279">
        <v>0</v>
      </c>
      <c r="O17" s="279">
        <v>0</v>
      </c>
      <c r="P17" s="412"/>
    </row>
    <row r="18" spans="1:16" x14ac:dyDescent="0.4">
      <c r="A18" s="3"/>
      <c r="B18" s="97" t="s">
        <v>70</v>
      </c>
      <c r="C18" s="97"/>
      <c r="D18" s="305">
        <f>D16*MIN(D17/30,1)</f>
        <v>0</v>
      </c>
      <c r="E18" s="305">
        <f>E16*MIN(E17/30,1)+D16*MAX(MIN(D17/30-1,1),0)</f>
        <v>0</v>
      </c>
      <c r="F18" s="305">
        <f>F16*MIN(F17/30,1)+E16*MAX(MIN(E17/30-1,1),0)+D16*MAX(MIN(D17/30-2,1),0)</f>
        <v>0</v>
      </c>
      <c r="G18" s="305">
        <f t="shared" ref="G18:O18" si="3">G16*MIN(G17/30,1)+F16*MAX(MIN(F17/30-1,1),0)+E16*MAX(MIN(E17/30-2,1),0)+D16*MAX(MIN(D17/30-3,1),0)</f>
        <v>0</v>
      </c>
      <c r="H18" s="305">
        <f t="shared" si="3"/>
        <v>0</v>
      </c>
      <c r="I18" s="305">
        <f t="shared" si="3"/>
        <v>0</v>
      </c>
      <c r="J18" s="305">
        <f t="shared" si="3"/>
        <v>0</v>
      </c>
      <c r="K18" s="305">
        <f t="shared" si="3"/>
        <v>0</v>
      </c>
      <c r="L18" s="305">
        <f t="shared" si="3"/>
        <v>0</v>
      </c>
      <c r="M18" s="305">
        <f t="shared" si="3"/>
        <v>0</v>
      </c>
      <c r="N18" s="305">
        <f t="shared" si="3"/>
        <v>0</v>
      </c>
      <c r="O18" s="305">
        <f t="shared" si="3"/>
        <v>0</v>
      </c>
      <c r="P18" s="412"/>
    </row>
    <row r="19" spans="1:16" x14ac:dyDescent="0.4"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412"/>
    </row>
  </sheetData>
  <sheetProtection formatColumns="0" formatRows="0" selectLockedCells="1"/>
  <protectedRanges>
    <protectedRange sqref="D9:O9 D13:O13 D17:O17" name="Range1_1"/>
  </protectedRange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theme="5" tint="0.39997558519241921"/>
  </sheetPr>
  <dimension ref="B2:Q53"/>
  <sheetViews>
    <sheetView showGridLines="0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38" sqref="B38"/>
    </sheetView>
  </sheetViews>
  <sheetFormatPr defaultColWidth="9.1328125" defaultRowHeight="13.5" x14ac:dyDescent="0.4"/>
  <cols>
    <col min="1" max="1" width="4.46484375" customWidth="1"/>
    <col min="2" max="2" width="32.53125" style="150" bestFit="1" customWidth="1"/>
    <col min="3" max="3" width="20.1328125" bestFit="1" customWidth="1"/>
    <col min="4" max="15" width="9.46484375" customWidth="1"/>
    <col min="16" max="16" width="18.53125" style="225" bestFit="1" customWidth="1"/>
    <col min="17" max="17" width="9.1328125" style="411"/>
  </cols>
  <sheetData>
    <row r="2" spans="2:17" ht="15" thickBot="1" x14ac:dyDescent="0.4">
      <c r="B2" s="191" t="str">
        <f>LEFT(Pieņēmumi!$B$2,FIND("Budžets",Pieņēmumi!$B$2)-1)&amp;"Finansēšanas budžets "</f>
        <v xml:space="preserve">Spēka ražotājs Finansēšanas budžets 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2:17" s="223" customFormat="1" ht="13.9" thickTop="1" x14ac:dyDescent="0.4">
      <c r="B3" s="226"/>
      <c r="C3" s="227"/>
      <c r="D3" s="227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9"/>
      <c r="Q3" s="413"/>
    </row>
    <row r="4" spans="2:17" ht="14.25" x14ac:dyDescent="0.4">
      <c r="B4" s="44"/>
      <c r="C4" s="40" t="s">
        <v>229</v>
      </c>
      <c r="D4" s="40" t="str">
        <f>LEFT(Pieņēmumi!E7,3)</f>
        <v>Jan</v>
      </c>
      <c r="E4" s="40" t="str">
        <f t="shared" ref="E4:O4" si="0">MID(Month,SEARCH(D4,Month,1)+3,3)</f>
        <v>Feb</v>
      </c>
      <c r="F4" s="40" t="str">
        <f t="shared" si="0"/>
        <v>Mar</v>
      </c>
      <c r="G4" s="40" t="str">
        <f t="shared" si="0"/>
        <v>Apr</v>
      </c>
      <c r="H4" s="40" t="str">
        <f t="shared" si="0"/>
        <v>May</v>
      </c>
      <c r="I4" s="40" t="str">
        <f t="shared" si="0"/>
        <v>Jun</v>
      </c>
      <c r="J4" s="40" t="str">
        <f t="shared" si="0"/>
        <v>Jul</v>
      </c>
      <c r="K4" s="40" t="str">
        <f t="shared" si="0"/>
        <v>Aug</v>
      </c>
      <c r="L4" s="40" t="str">
        <f t="shared" si="0"/>
        <v>Sep</v>
      </c>
      <c r="M4" s="40" t="str">
        <f t="shared" si="0"/>
        <v>Oct</v>
      </c>
      <c r="N4" s="40" t="str">
        <f t="shared" si="0"/>
        <v>Nov</v>
      </c>
      <c r="O4" s="40" t="str">
        <f t="shared" si="0"/>
        <v>Dec</v>
      </c>
      <c r="P4" s="40" t="s">
        <v>230</v>
      </c>
    </row>
    <row r="5" spans="2:17" s="224" customFormat="1" x14ac:dyDescent="0.4">
      <c r="B5" s="230"/>
      <c r="C5" s="231"/>
      <c r="D5" s="232">
        <v>1</v>
      </c>
      <c r="E5" s="232">
        <v>2</v>
      </c>
      <c r="F5" s="232">
        <v>3</v>
      </c>
      <c r="G5" s="232">
        <v>4</v>
      </c>
      <c r="H5" s="232">
        <v>5</v>
      </c>
      <c r="I5" s="232">
        <v>6</v>
      </c>
      <c r="J5" s="232">
        <v>7</v>
      </c>
      <c r="K5" s="232">
        <v>8</v>
      </c>
      <c r="L5" s="232">
        <v>9</v>
      </c>
      <c r="M5" s="232">
        <v>10</v>
      </c>
      <c r="N5" s="232">
        <v>11</v>
      </c>
      <c r="O5" s="232">
        <v>12</v>
      </c>
      <c r="P5" s="233"/>
      <c r="Q5" s="414"/>
    </row>
    <row r="6" spans="2:17" ht="14.25" x14ac:dyDescent="0.4">
      <c r="B6" s="135" t="s">
        <v>201</v>
      </c>
      <c r="C6" s="306">
        <f>SUM(C7:C8)</f>
        <v>40000</v>
      </c>
      <c r="D6" s="286">
        <f>SUM(D7:D8)</f>
        <v>0</v>
      </c>
      <c r="E6" s="286">
        <f t="shared" ref="E6:P6" si="1">SUM(E7:E8)</f>
        <v>0</v>
      </c>
      <c r="F6" s="286">
        <f t="shared" si="1"/>
        <v>0</v>
      </c>
      <c r="G6" s="286">
        <f t="shared" si="1"/>
        <v>0</v>
      </c>
      <c r="H6" s="286">
        <f t="shared" si="1"/>
        <v>0</v>
      </c>
      <c r="I6" s="286">
        <f t="shared" si="1"/>
        <v>0</v>
      </c>
      <c r="J6" s="286">
        <f t="shared" si="1"/>
        <v>0</v>
      </c>
      <c r="K6" s="286">
        <f t="shared" si="1"/>
        <v>0</v>
      </c>
      <c r="L6" s="286">
        <f t="shared" si="1"/>
        <v>0</v>
      </c>
      <c r="M6" s="286">
        <f t="shared" si="1"/>
        <v>0</v>
      </c>
      <c r="N6" s="286">
        <f t="shared" si="1"/>
        <v>0</v>
      </c>
      <c r="O6" s="286">
        <f t="shared" si="1"/>
        <v>0</v>
      </c>
      <c r="P6" s="286">
        <f t="shared" si="1"/>
        <v>40000</v>
      </c>
    </row>
    <row r="7" spans="2:17" ht="14.25" x14ac:dyDescent="0.4">
      <c r="B7" s="19" t="s">
        <v>238</v>
      </c>
      <c r="C7" s="307">
        <v>40000</v>
      </c>
      <c r="D7" s="279">
        <v>0</v>
      </c>
      <c r="E7" s="279">
        <v>0</v>
      </c>
      <c r="F7" s="279">
        <v>0</v>
      </c>
      <c r="G7" s="279">
        <v>0</v>
      </c>
      <c r="H7" s="279">
        <v>0</v>
      </c>
      <c r="I7" s="279">
        <v>0</v>
      </c>
      <c r="J7" s="279">
        <v>0</v>
      </c>
      <c r="K7" s="279">
        <v>0</v>
      </c>
      <c r="L7" s="279">
        <v>0</v>
      </c>
      <c r="M7" s="279">
        <v>0</v>
      </c>
      <c r="N7" s="279">
        <v>0</v>
      </c>
      <c r="O7" s="279">
        <v>0</v>
      </c>
      <c r="P7" s="354">
        <f>SUM(C7:O7)</f>
        <v>40000</v>
      </c>
    </row>
    <row r="8" spans="2:17" ht="14.25" x14ac:dyDescent="0.4">
      <c r="B8" s="19" t="s">
        <v>239</v>
      </c>
      <c r="C8" s="307">
        <v>0</v>
      </c>
      <c r="D8" s="279">
        <v>0</v>
      </c>
      <c r="E8" s="279">
        <v>0</v>
      </c>
      <c r="F8" s="279">
        <v>0</v>
      </c>
      <c r="G8" s="279">
        <v>0</v>
      </c>
      <c r="H8" s="279">
        <v>0</v>
      </c>
      <c r="I8" s="279">
        <v>0</v>
      </c>
      <c r="J8" s="279">
        <v>0</v>
      </c>
      <c r="K8" s="279">
        <v>0</v>
      </c>
      <c r="L8" s="279">
        <v>0</v>
      </c>
      <c r="M8" s="279">
        <v>0</v>
      </c>
      <c r="N8" s="279">
        <v>0</v>
      </c>
      <c r="O8" s="279">
        <v>0</v>
      </c>
      <c r="P8" s="354">
        <f>SUM(C8:O8)</f>
        <v>0</v>
      </c>
    </row>
    <row r="9" spans="2:17" ht="14.25" x14ac:dyDescent="0.4">
      <c r="B9" s="98"/>
      <c r="C9" s="99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355"/>
    </row>
    <row r="10" spans="2:17" ht="14.25" x14ac:dyDescent="0.4">
      <c r="B10" s="234"/>
      <c r="C10" s="235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356"/>
    </row>
    <row r="11" spans="2:17" ht="14.25" x14ac:dyDescent="0.4">
      <c r="B11" s="135" t="s">
        <v>231</v>
      </c>
      <c r="C11" s="306">
        <f>SUM(C12:C18)</f>
        <v>0</v>
      </c>
      <c r="D11" s="373">
        <f t="shared" ref="D11:N11" si="2">SUM(D12:D18)</f>
        <v>0</v>
      </c>
      <c r="E11" s="373">
        <f t="shared" si="2"/>
        <v>0</v>
      </c>
      <c r="F11" s="373">
        <f t="shared" si="2"/>
        <v>0</v>
      </c>
      <c r="G11" s="373">
        <f t="shared" si="2"/>
        <v>0</v>
      </c>
      <c r="H11" s="373">
        <f t="shared" si="2"/>
        <v>0</v>
      </c>
      <c r="I11" s="373">
        <f t="shared" si="2"/>
        <v>0</v>
      </c>
      <c r="J11" s="373">
        <f t="shared" si="2"/>
        <v>0</v>
      </c>
      <c r="K11" s="373">
        <f t="shared" si="2"/>
        <v>0</v>
      </c>
      <c r="L11" s="373">
        <f t="shared" si="2"/>
        <v>0</v>
      </c>
      <c r="M11" s="373">
        <f t="shared" si="2"/>
        <v>0</v>
      </c>
      <c r="N11" s="373">
        <f t="shared" si="2"/>
        <v>0</v>
      </c>
      <c r="O11" s="373">
        <f>SUM(O12:O18)</f>
        <v>0</v>
      </c>
      <c r="P11" s="286">
        <f>SUM(P12:P18)</f>
        <v>0</v>
      </c>
    </row>
    <row r="12" spans="2:17" ht="14.25" x14ac:dyDescent="0.4">
      <c r="B12" s="19" t="s">
        <v>241</v>
      </c>
      <c r="C12" s="307">
        <v>0</v>
      </c>
      <c r="D12" s="446">
        <v>0</v>
      </c>
      <c r="E12" s="446">
        <v>0</v>
      </c>
      <c r="F12" s="446">
        <v>0</v>
      </c>
      <c r="G12" s="446">
        <v>0</v>
      </c>
      <c r="H12" s="446">
        <v>0</v>
      </c>
      <c r="I12" s="446">
        <v>0</v>
      </c>
      <c r="J12" s="446">
        <v>0</v>
      </c>
      <c r="K12" s="446">
        <v>0</v>
      </c>
      <c r="L12" s="446">
        <v>0</v>
      </c>
      <c r="M12" s="446">
        <v>0</v>
      </c>
      <c r="N12" s="446">
        <v>0</v>
      </c>
      <c r="O12" s="446">
        <v>0</v>
      </c>
      <c r="P12" s="354">
        <f t="shared" ref="P12:P17" si="3">SUM(C12:O12)</f>
        <v>0</v>
      </c>
    </row>
    <row r="13" spans="2:17" ht="14.25" x14ac:dyDescent="0.4">
      <c r="B13" s="19" t="s">
        <v>232</v>
      </c>
      <c r="C13" s="307">
        <v>0</v>
      </c>
      <c r="D13" s="446">
        <v>0</v>
      </c>
      <c r="E13" s="446">
        <v>0</v>
      </c>
      <c r="F13" s="446">
        <v>0</v>
      </c>
      <c r="G13" s="446">
        <v>0</v>
      </c>
      <c r="H13" s="446">
        <v>0</v>
      </c>
      <c r="I13" s="446">
        <v>0</v>
      </c>
      <c r="J13" s="446">
        <v>0</v>
      </c>
      <c r="K13" s="446">
        <v>0</v>
      </c>
      <c r="L13" s="446">
        <v>0</v>
      </c>
      <c r="M13" s="446">
        <v>0</v>
      </c>
      <c r="N13" s="446">
        <v>0</v>
      </c>
      <c r="O13" s="446">
        <v>0</v>
      </c>
      <c r="P13" s="354">
        <f t="shared" si="3"/>
        <v>0</v>
      </c>
    </row>
    <row r="14" spans="2:17" ht="14.25" x14ac:dyDescent="0.4">
      <c r="B14" s="19" t="s">
        <v>233</v>
      </c>
      <c r="C14" s="307">
        <v>0</v>
      </c>
      <c r="D14" s="446">
        <v>0</v>
      </c>
      <c r="E14" s="446">
        <v>0</v>
      </c>
      <c r="F14" s="446">
        <v>0</v>
      </c>
      <c r="G14" s="446">
        <v>0</v>
      </c>
      <c r="H14" s="446">
        <v>0</v>
      </c>
      <c r="I14" s="446">
        <v>0</v>
      </c>
      <c r="J14" s="446">
        <v>0</v>
      </c>
      <c r="K14" s="446">
        <v>0</v>
      </c>
      <c r="L14" s="446">
        <v>0</v>
      </c>
      <c r="M14" s="446">
        <v>0</v>
      </c>
      <c r="N14" s="446">
        <v>0</v>
      </c>
      <c r="O14" s="446">
        <v>0</v>
      </c>
      <c r="P14" s="354">
        <f t="shared" si="3"/>
        <v>0</v>
      </c>
    </row>
    <row r="15" spans="2:17" ht="14.25" x14ac:dyDescent="0.4">
      <c r="B15" s="19" t="s">
        <v>234</v>
      </c>
      <c r="C15" s="307">
        <v>0</v>
      </c>
      <c r="D15" s="446">
        <v>0</v>
      </c>
      <c r="E15" s="446">
        <v>0</v>
      </c>
      <c r="F15" s="446">
        <v>0</v>
      </c>
      <c r="G15" s="446">
        <v>0</v>
      </c>
      <c r="H15" s="446">
        <v>0</v>
      </c>
      <c r="I15" s="446">
        <v>0</v>
      </c>
      <c r="J15" s="446">
        <v>0</v>
      </c>
      <c r="K15" s="446">
        <v>0</v>
      </c>
      <c r="L15" s="446">
        <v>0</v>
      </c>
      <c r="M15" s="446">
        <v>0</v>
      </c>
      <c r="N15" s="446">
        <v>0</v>
      </c>
      <c r="O15" s="446">
        <v>0</v>
      </c>
      <c r="P15" s="354">
        <f t="shared" si="3"/>
        <v>0</v>
      </c>
    </row>
    <row r="16" spans="2:17" ht="14.25" x14ac:dyDescent="0.4">
      <c r="B16" s="19" t="s">
        <v>235</v>
      </c>
      <c r="C16" s="307">
        <v>0</v>
      </c>
      <c r="D16" s="446">
        <v>0</v>
      </c>
      <c r="E16" s="446">
        <v>0</v>
      </c>
      <c r="F16" s="446">
        <v>0</v>
      </c>
      <c r="G16" s="446">
        <v>0</v>
      </c>
      <c r="H16" s="446">
        <v>0</v>
      </c>
      <c r="I16" s="446">
        <v>0</v>
      </c>
      <c r="J16" s="446">
        <v>0</v>
      </c>
      <c r="K16" s="446">
        <v>0</v>
      </c>
      <c r="L16" s="446">
        <v>0</v>
      </c>
      <c r="M16" s="446">
        <v>0</v>
      </c>
      <c r="N16" s="446">
        <v>0</v>
      </c>
      <c r="O16" s="446">
        <v>0</v>
      </c>
      <c r="P16" s="354">
        <f t="shared" si="3"/>
        <v>0</v>
      </c>
    </row>
    <row r="17" spans="2:16" ht="14.25" x14ac:dyDescent="0.4">
      <c r="B17" s="19" t="s">
        <v>236</v>
      </c>
      <c r="C17" s="307">
        <v>0</v>
      </c>
      <c r="D17" s="446">
        <v>0</v>
      </c>
      <c r="E17" s="446">
        <v>0</v>
      </c>
      <c r="F17" s="446">
        <v>0</v>
      </c>
      <c r="G17" s="446">
        <v>0</v>
      </c>
      <c r="H17" s="446">
        <v>0</v>
      </c>
      <c r="I17" s="446">
        <v>0</v>
      </c>
      <c r="J17" s="446">
        <v>0</v>
      </c>
      <c r="K17" s="446">
        <v>0</v>
      </c>
      <c r="L17" s="446">
        <v>0</v>
      </c>
      <c r="M17" s="446">
        <v>0</v>
      </c>
      <c r="N17" s="446">
        <v>0</v>
      </c>
      <c r="O17" s="446">
        <v>0</v>
      </c>
      <c r="P17" s="354">
        <f t="shared" si="3"/>
        <v>0</v>
      </c>
    </row>
    <row r="18" spans="2:16" ht="14.25" x14ac:dyDescent="0.4">
      <c r="B18" s="19" t="s">
        <v>237</v>
      </c>
      <c r="C18" s="307">
        <v>0</v>
      </c>
      <c r="D18" s="446">
        <v>0</v>
      </c>
      <c r="E18" s="446">
        <v>0</v>
      </c>
      <c r="F18" s="446">
        <v>0</v>
      </c>
      <c r="G18" s="446">
        <v>0</v>
      </c>
      <c r="H18" s="446">
        <v>0</v>
      </c>
      <c r="I18" s="446">
        <v>0</v>
      </c>
      <c r="J18" s="446">
        <v>0</v>
      </c>
      <c r="K18" s="446">
        <v>0</v>
      </c>
      <c r="L18" s="446">
        <v>0</v>
      </c>
      <c r="M18" s="446">
        <v>0</v>
      </c>
      <c r="N18" s="446">
        <v>0</v>
      </c>
      <c r="O18" s="446">
        <v>0</v>
      </c>
      <c r="P18" s="354">
        <f>SUM(C18:O18)</f>
        <v>0</v>
      </c>
    </row>
    <row r="19" spans="2:16" ht="14.25" x14ac:dyDescent="0.4">
      <c r="B19" s="101"/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357"/>
    </row>
    <row r="20" spans="2:16" ht="14.25" x14ac:dyDescent="0.4">
      <c r="B20" s="148"/>
      <c r="C20" s="205"/>
      <c r="D20" s="237"/>
      <c r="E20" s="238"/>
      <c r="F20" s="238"/>
      <c r="G20" s="238"/>
      <c r="H20" s="238"/>
      <c r="I20" s="238"/>
      <c r="J20" s="238"/>
      <c r="K20" s="237"/>
      <c r="L20" s="237"/>
      <c r="M20" s="237"/>
      <c r="N20" s="237"/>
      <c r="O20" s="237"/>
      <c r="P20" s="358"/>
    </row>
    <row r="21" spans="2:16" ht="14.25" x14ac:dyDescent="0.4">
      <c r="B21" s="132" t="s">
        <v>244</v>
      </c>
      <c r="C21" s="306">
        <f>SUM(C22:C24)</f>
        <v>0</v>
      </c>
      <c r="D21" s="373">
        <f>SUM(D22:D24)</f>
        <v>0</v>
      </c>
      <c r="E21" s="373">
        <f t="shared" ref="E21:O21" si="4">SUM(E22:E24)</f>
        <v>0</v>
      </c>
      <c r="F21" s="373">
        <f t="shared" si="4"/>
        <v>0</v>
      </c>
      <c r="G21" s="373">
        <f t="shared" si="4"/>
        <v>0</v>
      </c>
      <c r="H21" s="373">
        <f t="shared" si="4"/>
        <v>0</v>
      </c>
      <c r="I21" s="373">
        <f t="shared" si="4"/>
        <v>0</v>
      </c>
      <c r="J21" s="373">
        <f t="shared" si="4"/>
        <v>0</v>
      </c>
      <c r="K21" s="373">
        <f>SUM(K22:K24)</f>
        <v>0</v>
      </c>
      <c r="L21" s="373">
        <f t="shared" si="4"/>
        <v>0</v>
      </c>
      <c r="M21" s="373">
        <f t="shared" si="4"/>
        <v>0</v>
      </c>
      <c r="N21" s="373">
        <f t="shared" si="4"/>
        <v>0</v>
      </c>
      <c r="O21" s="373">
        <f t="shared" si="4"/>
        <v>0</v>
      </c>
      <c r="P21" s="373">
        <f>SUM(P22:P24)</f>
        <v>0</v>
      </c>
    </row>
    <row r="22" spans="2:16" ht="14.25" x14ac:dyDescent="0.4">
      <c r="B22" s="19" t="s">
        <v>242</v>
      </c>
      <c r="C22" s="307">
        <v>0</v>
      </c>
      <c r="D22" s="447">
        <v>0</v>
      </c>
      <c r="E22" s="447">
        <v>0</v>
      </c>
      <c r="F22" s="447">
        <v>0</v>
      </c>
      <c r="G22" s="447">
        <v>0</v>
      </c>
      <c r="H22" s="447">
        <v>0</v>
      </c>
      <c r="I22" s="447">
        <v>0</v>
      </c>
      <c r="J22" s="447">
        <v>0</v>
      </c>
      <c r="K22" s="447">
        <v>0</v>
      </c>
      <c r="L22" s="447">
        <v>0</v>
      </c>
      <c r="M22" s="447">
        <v>0</v>
      </c>
      <c r="N22" s="447">
        <v>0</v>
      </c>
      <c r="O22" s="447">
        <v>0</v>
      </c>
      <c r="P22" s="383">
        <f>SUM(C22:O22)</f>
        <v>0</v>
      </c>
    </row>
    <row r="23" spans="2:16" ht="14.25" x14ac:dyDescent="0.4">
      <c r="B23" s="19" t="s">
        <v>243</v>
      </c>
      <c r="C23" s="307">
        <v>0</v>
      </c>
      <c r="D23" s="447">
        <v>0</v>
      </c>
      <c r="E23" s="447">
        <v>0</v>
      </c>
      <c r="F23" s="447">
        <v>0</v>
      </c>
      <c r="G23" s="447">
        <v>0</v>
      </c>
      <c r="H23" s="447">
        <v>0</v>
      </c>
      <c r="I23" s="447">
        <v>0</v>
      </c>
      <c r="J23" s="447">
        <v>0</v>
      </c>
      <c r="K23" s="447">
        <v>0</v>
      </c>
      <c r="L23" s="447">
        <v>0</v>
      </c>
      <c r="M23" s="447">
        <v>0</v>
      </c>
      <c r="N23" s="447">
        <v>0</v>
      </c>
      <c r="O23" s="447">
        <v>0</v>
      </c>
      <c r="P23" s="383">
        <f>SUM(C23:O23)</f>
        <v>0</v>
      </c>
    </row>
    <row r="24" spans="2:16" ht="14.25" x14ac:dyDescent="0.4">
      <c r="B24" s="19" t="s">
        <v>240</v>
      </c>
      <c r="C24" s="307">
        <v>0</v>
      </c>
      <c r="D24" s="447"/>
      <c r="E24" s="447"/>
      <c r="F24" s="447"/>
      <c r="G24" s="447"/>
      <c r="H24" s="447"/>
      <c r="I24" s="447"/>
      <c r="J24" s="447"/>
      <c r="K24" s="447"/>
      <c r="L24" s="447"/>
      <c r="M24" s="447"/>
      <c r="N24" s="447"/>
      <c r="O24" s="447"/>
      <c r="P24" s="383">
        <f>SUM(C24:O24)</f>
        <v>0</v>
      </c>
    </row>
    <row r="25" spans="2:16" ht="14.25" x14ac:dyDescent="0.4">
      <c r="B25" s="104"/>
      <c r="C25" s="105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359"/>
    </row>
    <row r="26" spans="2:16" x14ac:dyDescent="0.4"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353"/>
    </row>
    <row r="27" spans="2:16" x14ac:dyDescent="0.4"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353"/>
    </row>
    <row r="28" spans="2:16" ht="14.25" x14ac:dyDescent="0.4">
      <c r="B28" s="135" t="s">
        <v>105</v>
      </c>
      <c r="C28" s="140" t="s">
        <v>53</v>
      </c>
      <c r="D28" s="286">
        <f t="shared" ref="D28:O28" si="5">SUM(D29:D40)</f>
        <v>0</v>
      </c>
      <c r="E28" s="286">
        <f t="shared" si="5"/>
        <v>0</v>
      </c>
      <c r="F28" s="286">
        <f t="shared" si="5"/>
        <v>0</v>
      </c>
      <c r="G28" s="286">
        <f t="shared" si="5"/>
        <v>0</v>
      </c>
      <c r="H28" s="286">
        <f t="shared" si="5"/>
        <v>0</v>
      </c>
      <c r="I28" s="286">
        <f t="shared" si="5"/>
        <v>0</v>
      </c>
      <c r="J28" s="286">
        <f t="shared" si="5"/>
        <v>0</v>
      </c>
      <c r="K28" s="286">
        <f t="shared" si="5"/>
        <v>0</v>
      </c>
      <c r="L28" s="286">
        <f t="shared" si="5"/>
        <v>0</v>
      </c>
      <c r="M28" s="286">
        <f t="shared" si="5"/>
        <v>0</v>
      </c>
      <c r="N28" s="286">
        <f t="shared" si="5"/>
        <v>0</v>
      </c>
      <c r="O28" s="286">
        <f t="shared" si="5"/>
        <v>0</v>
      </c>
      <c r="P28" s="286">
        <f>SUM(P31:P40)</f>
        <v>0</v>
      </c>
    </row>
    <row r="29" spans="2:16" ht="14.25" x14ac:dyDescent="0.4">
      <c r="B29" s="107" t="str">
        <f>B7</f>
        <v>Īpašnieku aizdevums 1</v>
      </c>
      <c r="C29" s="108">
        <v>0</v>
      </c>
      <c r="D29" s="272">
        <f>$C29*SUM($C7:C7)/12</f>
        <v>0</v>
      </c>
      <c r="E29" s="272">
        <f>$C29*SUM($C7:D7)/12</f>
        <v>0</v>
      </c>
      <c r="F29" s="272">
        <f>$C29*SUM($C7:E7)/12</f>
        <v>0</v>
      </c>
      <c r="G29" s="272">
        <f>$C29*SUM($C7:F7)/12</f>
        <v>0</v>
      </c>
      <c r="H29" s="272">
        <f>$C29*SUM($C7:G7)/12</f>
        <v>0</v>
      </c>
      <c r="I29" s="272">
        <f>$C29*SUM($C7:H7)/12</f>
        <v>0</v>
      </c>
      <c r="J29" s="272">
        <f>$C29*SUM($C7:I7)/12</f>
        <v>0</v>
      </c>
      <c r="K29" s="272">
        <f>$C29*SUM($C7:J7)/12</f>
        <v>0</v>
      </c>
      <c r="L29" s="272">
        <f>$C29*SUM($C7:K7)/12</f>
        <v>0</v>
      </c>
      <c r="M29" s="272">
        <f>$C29*SUM($C7:L7)/12</f>
        <v>0</v>
      </c>
      <c r="N29" s="272">
        <f>$C29*SUM($C7:M7)/12</f>
        <v>0</v>
      </c>
      <c r="O29" s="272">
        <f>$C29*SUM($C7:N7)/12</f>
        <v>0</v>
      </c>
      <c r="P29" s="354">
        <f t="shared" ref="P29:P40" si="6">SUM(D29:O29)</f>
        <v>0</v>
      </c>
    </row>
    <row r="30" spans="2:16" ht="14.25" x14ac:dyDescent="0.4">
      <c r="B30" s="107" t="str">
        <f>B8</f>
        <v>Īpašnieku aizdevums 2</v>
      </c>
      <c r="C30" s="108">
        <v>0</v>
      </c>
      <c r="D30" s="272">
        <f>$C30*SUM($C8:C8)/12</f>
        <v>0</v>
      </c>
      <c r="E30" s="272">
        <f>$C30*SUM($C8:D8)/12</f>
        <v>0</v>
      </c>
      <c r="F30" s="272">
        <f>$C30*SUM($C8:E8)/12</f>
        <v>0</v>
      </c>
      <c r="G30" s="272">
        <f>$C30*SUM($C8:F8)/12</f>
        <v>0</v>
      </c>
      <c r="H30" s="272">
        <f>$C30*SUM($C8:G8)/12</f>
        <v>0</v>
      </c>
      <c r="I30" s="272">
        <f>$C30*SUM($C8:H8)/12</f>
        <v>0</v>
      </c>
      <c r="J30" s="272">
        <f>$C30*SUM($C8:I8)/12</f>
        <v>0</v>
      </c>
      <c r="K30" s="272">
        <f>$C30*SUM($C8:J8)/12</f>
        <v>0</v>
      </c>
      <c r="L30" s="272">
        <f>$C30*SUM($C8:K8)/12</f>
        <v>0</v>
      </c>
      <c r="M30" s="272">
        <f>$C30*SUM($C8:L8)/12</f>
        <v>0</v>
      </c>
      <c r="N30" s="272">
        <f>$C30*SUM($C8:M8)/12</f>
        <v>0</v>
      </c>
      <c r="O30" s="272">
        <f>$C30*SUM($C8:N8)/12</f>
        <v>0</v>
      </c>
      <c r="P30" s="354">
        <f t="shared" si="6"/>
        <v>0</v>
      </c>
    </row>
    <row r="31" spans="2:16" ht="14.25" x14ac:dyDescent="0.4">
      <c r="B31" s="107" t="str">
        <f t="shared" ref="B31:B37" si="7">B12</f>
        <v>Kredīts ražotnes modernizācijai</v>
      </c>
      <c r="C31" s="108">
        <v>0</v>
      </c>
      <c r="D31" s="272">
        <f>$C31*SUM($C12:C12)/12</f>
        <v>0</v>
      </c>
      <c r="E31" s="272">
        <f>$C31*SUM($C12:D12)/12</f>
        <v>0</v>
      </c>
      <c r="F31" s="272">
        <f>$C31*SUM($C12:E12)/12</f>
        <v>0</v>
      </c>
      <c r="G31" s="272">
        <f>$C31*SUM($C12:F12)/12</f>
        <v>0</v>
      </c>
      <c r="H31" s="272">
        <f>$C31*SUM($C12:G12)/12</f>
        <v>0</v>
      </c>
      <c r="I31" s="272">
        <f>$C31*SUM($C12:H12)/12</f>
        <v>0</v>
      </c>
      <c r="J31" s="272">
        <f>$C31*SUM($C12:I12)/12</f>
        <v>0</v>
      </c>
      <c r="K31" s="272">
        <f>$C31*SUM($C12:J12)/12</f>
        <v>0</v>
      </c>
      <c r="L31" s="272">
        <f>$C31*SUM($C12:K12)/12</f>
        <v>0</v>
      </c>
      <c r="M31" s="272">
        <f>$C31*SUM($C12:L12)/12</f>
        <v>0</v>
      </c>
      <c r="N31" s="272">
        <f>$C31*SUM($C12:M12)/12</f>
        <v>0</v>
      </c>
      <c r="O31" s="272">
        <f>$C31*SUM($C12:N12)/12</f>
        <v>0</v>
      </c>
      <c r="P31" s="354">
        <f t="shared" si="6"/>
        <v>0</v>
      </c>
    </row>
    <row r="32" spans="2:16" ht="14.25" x14ac:dyDescent="0.4">
      <c r="B32" s="107" t="str">
        <f t="shared" si="7"/>
        <v>Bankas kredīts 2</v>
      </c>
      <c r="C32" s="108">
        <v>0</v>
      </c>
      <c r="D32" s="272">
        <f>$C32*SUM($C13:C13)/12</f>
        <v>0</v>
      </c>
      <c r="E32" s="272">
        <f>$C32*SUM($C13:D13)/12</f>
        <v>0</v>
      </c>
      <c r="F32" s="272">
        <f>$C32*SUM($C13:E13)/12</f>
        <v>0</v>
      </c>
      <c r="G32" s="272">
        <f>$C32*SUM($C13:F13)/12</f>
        <v>0</v>
      </c>
      <c r="H32" s="272">
        <f>$C32*SUM($C13:G13)/12</f>
        <v>0</v>
      </c>
      <c r="I32" s="272">
        <f>$C32*SUM($C13:H13)/12</f>
        <v>0</v>
      </c>
      <c r="J32" s="272">
        <f>$C32*SUM($C13:I13)/12</f>
        <v>0</v>
      </c>
      <c r="K32" s="272">
        <f>$C32*SUM($C13:J13)/12</f>
        <v>0</v>
      </c>
      <c r="L32" s="272">
        <f>$C32*SUM($C13:K13)/12</f>
        <v>0</v>
      </c>
      <c r="M32" s="272">
        <f>$C32*SUM($C13:L13)/12</f>
        <v>0</v>
      </c>
      <c r="N32" s="272">
        <f>$C32*SUM($C13:M13)/12</f>
        <v>0</v>
      </c>
      <c r="O32" s="272">
        <f>$C32*SUM($C13:N13)/12</f>
        <v>0</v>
      </c>
      <c r="P32" s="354">
        <f t="shared" si="6"/>
        <v>0</v>
      </c>
    </row>
    <row r="33" spans="2:16" ht="14.25" x14ac:dyDescent="0.4">
      <c r="B33" s="107" t="str">
        <f t="shared" si="7"/>
        <v>Bankas kredīts 3</v>
      </c>
      <c r="C33" s="108">
        <v>0</v>
      </c>
      <c r="D33" s="272">
        <f>$C33*SUM($C14:C14)/12</f>
        <v>0</v>
      </c>
      <c r="E33" s="272">
        <f>$C33*SUM($C14:D14)/12</f>
        <v>0</v>
      </c>
      <c r="F33" s="272">
        <f>$C33*SUM($C14:E14)/12</f>
        <v>0</v>
      </c>
      <c r="G33" s="272">
        <f>$C33*SUM($C14:F14)/12</f>
        <v>0</v>
      </c>
      <c r="H33" s="272">
        <f>$C33*SUM($C14:G14)/12</f>
        <v>0</v>
      </c>
      <c r="I33" s="272">
        <f>$C33*SUM($C14:H14)/12</f>
        <v>0</v>
      </c>
      <c r="J33" s="272">
        <f>$C33*SUM($C14:I14)/12</f>
        <v>0</v>
      </c>
      <c r="K33" s="272">
        <f>$C33*SUM($C14:J14)/12</f>
        <v>0</v>
      </c>
      <c r="L33" s="272">
        <f>$C33*SUM($C14:K14)/12</f>
        <v>0</v>
      </c>
      <c r="M33" s="272">
        <f>$C33*SUM($C14:L14)/12</f>
        <v>0</v>
      </c>
      <c r="N33" s="272">
        <f>$C33*SUM($C14:M14)/12</f>
        <v>0</v>
      </c>
      <c r="O33" s="272">
        <f>$C33*SUM($C14:N14)/12</f>
        <v>0</v>
      </c>
      <c r="P33" s="354">
        <f t="shared" si="6"/>
        <v>0</v>
      </c>
    </row>
    <row r="34" spans="2:16" ht="14.25" x14ac:dyDescent="0.4">
      <c r="B34" s="107" t="str">
        <f t="shared" si="7"/>
        <v>Bankas kredīts 4</v>
      </c>
      <c r="C34" s="108">
        <v>0</v>
      </c>
      <c r="D34" s="272">
        <f>$C34*SUM($C15:C15)/12</f>
        <v>0</v>
      </c>
      <c r="E34" s="272">
        <f>$C34*SUM($C15:D15)/12</f>
        <v>0</v>
      </c>
      <c r="F34" s="272">
        <f>$C34*SUM($C15:E15)/12</f>
        <v>0</v>
      </c>
      <c r="G34" s="272">
        <f>$C34*SUM($C15:F15)/12</f>
        <v>0</v>
      </c>
      <c r="H34" s="272">
        <f>$C34*SUM($C15:G15)/12</f>
        <v>0</v>
      </c>
      <c r="I34" s="272">
        <f>$C34*SUM($C15:H15)/12</f>
        <v>0</v>
      </c>
      <c r="J34" s="272">
        <f>$C34*SUM($C15:I15)/12</f>
        <v>0</v>
      </c>
      <c r="K34" s="272">
        <f>$C34*SUM($C15:J15)/12</f>
        <v>0</v>
      </c>
      <c r="L34" s="272">
        <f>$C34*SUM($C15:K15)/12</f>
        <v>0</v>
      </c>
      <c r="M34" s="272">
        <f>$C34*SUM($C15:L15)/12</f>
        <v>0</v>
      </c>
      <c r="N34" s="272">
        <f>$C34*SUM($C15:M15)/12</f>
        <v>0</v>
      </c>
      <c r="O34" s="272">
        <f>$C34*SUM($C15:N15)/12</f>
        <v>0</v>
      </c>
      <c r="P34" s="354">
        <f t="shared" si="6"/>
        <v>0</v>
      </c>
    </row>
    <row r="35" spans="2:16" ht="14.25" x14ac:dyDescent="0.4">
      <c r="B35" s="107" t="str">
        <f t="shared" si="7"/>
        <v>Bankas kredīts 5</v>
      </c>
      <c r="C35" s="108">
        <v>0</v>
      </c>
      <c r="D35" s="272">
        <f>$C35*SUM($C16:C16)/12</f>
        <v>0</v>
      </c>
      <c r="E35" s="272">
        <f>$C35*SUM($C16:D16)/12</f>
        <v>0</v>
      </c>
      <c r="F35" s="272">
        <f>$C35*SUM($C16:E16)/12</f>
        <v>0</v>
      </c>
      <c r="G35" s="272">
        <f>$C35*SUM($C16:F16)/12</f>
        <v>0</v>
      </c>
      <c r="H35" s="272">
        <f>$C35*SUM($C16:G16)/12</f>
        <v>0</v>
      </c>
      <c r="I35" s="272">
        <f>$C35*SUM($C16:H16)/12</f>
        <v>0</v>
      </c>
      <c r="J35" s="272">
        <f>$C35*SUM($C16:I16)/12</f>
        <v>0</v>
      </c>
      <c r="K35" s="272">
        <f>$C35*SUM($C16:J16)/12</f>
        <v>0</v>
      </c>
      <c r="L35" s="272">
        <f>$C35*SUM($C16:K16)/12</f>
        <v>0</v>
      </c>
      <c r="M35" s="272">
        <f>$C35*SUM($C16:L16)/12</f>
        <v>0</v>
      </c>
      <c r="N35" s="272">
        <f>$C35*SUM($C16:M16)/12</f>
        <v>0</v>
      </c>
      <c r="O35" s="272">
        <f>$C35*SUM($C16:N16)/12</f>
        <v>0</v>
      </c>
      <c r="P35" s="354">
        <f t="shared" si="6"/>
        <v>0</v>
      </c>
    </row>
    <row r="36" spans="2:16" ht="14.25" x14ac:dyDescent="0.4">
      <c r="B36" s="107" t="str">
        <f t="shared" si="7"/>
        <v>Bankas kredīts 6</v>
      </c>
      <c r="C36" s="108">
        <v>0</v>
      </c>
      <c r="D36" s="272">
        <f>$C36*SUM($C17:C17)/12</f>
        <v>0</v>
      </c>
      <c r="E36" s="272">
        <f>$C36*SUM($C17:D17)/12</f>
        <v>0</v>
      </c>
      <c r="F36" s="272">
        <f>$C36*SUM($C17:E17)/12</f>
        <v>0</v>
      </c>
      <c r="G36" s="272">
        <f>$C36*SUM($C17:F17)/12</f>
        <v>0</v>
      </c>
      <c r="H36" s="272">
        <f>$C36*SUM($C17:G17)/12</f>
        <v>0</v>
      </c>
      <c r="I36" s="272">
        <f>$C36*SUM($C17:H17)/12</f>
        <v>0</v>
      </c>
      <c r="J36" s="272">
        <f>$C36*SUM($C17:I17)/12</f>
        <v>0</v>
      </c>
      <c r="K36" s="272">
        <f>$C36*SUM($C17:J17)/12</f>
        <v>0</v>
      </c>
      <c r="L36" s="272">
        <f>$C36*SUM($C17:K17)/12</f>
        <v>0</v>
      </c>
      <c r="M36" s="272">
        <f>$C36*SUM($C17:L17)/12</f>
        <v>0</v>
      </c>
      <c r="N36" s="272">
        <f>$C36*SUM($C17:M17)/12</f>
        <v>0</v>
      </c>
      <c r="O36" s="272">
        <f>$C36*SUM($C17:N17)/12</f>
        <v>0</v>
      </c>
      <c r="P36" s="354">
        <f t="shared" si="6"/>
        <v>0</v>
      </c>
    </row>
    <row r="37" spans="2:16" ht="14.25" x14ac:dyDescent="0.4">
      <c r="B37" s="107" t="str">
        <f t="shared" si="7"/>
        <v>Bankas kredīts 7</v>
      </c>
      <c r="C37" s="108">
        <v>0</v>
      </c>
      <c r="D37" s="272">
        <f>$C37*SUM($C18:C18)/12</f>
        <v>0</v>
      </c>
      <c r="E37" s="272">
        <f>$C37*SUM($C18:D18)/12</f>
        <v>0</v>
      </c>
      <c r="F37" s="272">
        <f>$C37*SUM($C18:E18)/12</f>
        <v>0</v>
      </c>
      <c r="G37" s="272">
        <f>$C37*SUM($C18:F18)/12</f>
        <v>0</v>
      </c>
      <c r="H37" s="272">
        <f>$C37*SUM($C18:G18)/12</f>
        <v>0</v>
      </c>
      <c r="I37" s="272">
        <f>$C37*SUM($C18:H18)/12</f>
        <v>0</v>
      </c>
      <c r="J37" s="272">
        <f>$C37*SUM($C18:I18)/12</f>
        <v>0</v>
      </c>
      <c r="K37" s="272">
        <f>$C37*SUM($C18:J18)/12</f>
        <v>0</v>
      </c>
      <c r="L37" s="272">
        <f>$C37*SUM($C18:K18)/12</f>
        <v>0</v>
      </c>
      <c r="M37" s="272">
        <f>$C37*SUM($C18:L18)/12</f>
        <v>0</v>
      </c>
      <c r="N37" s="272">
        <f>$C37*SUM($C18:M18)/12</f>
        <v>0</v>
      </c>
      <c r="O37" s="272">
        <f>$C37*SUM($C18:N18)/12</f>
        <v>0</v>
      </c>
      <c r="P37" s="354">
        <f t="shared" si="6"/>
        <v>0</v>
      </c>
    </row>
    <row r="38" spans="2:16" ht="15" customHeight="1" x14ac:dyDescent="0.4">
      <c r="B38" s="107" t="str">
        <f>B22</f>
        <v>Iekārtu līzings</v>
      </c>
      <c r="C38" s="108">
        <v>0.03</v>
      </c>
      <c r="D38" s="272">
        <f>$C38*SUM($C22:C22)/12</f>
        <v>0</v>
      </c>
      <c r="E38" s="272">
        <f>$C38*SUM($C22:D22)/12</f>
        <v>0</v>
      </c>
      <c r="F38" s="272">
        <f>$C38*SUM($C22:E22)/12</f>
        <v>0</v>
      </c>
      <c r="G38" s="272">
        <f>$C38*SUM($C22:F22)/12</f>
        <v>0</v>
      </c>
      <c r="H38" s="272">
        <f>$C38*SUM($C22:G22)/12</f>
        <v>0</v>
      </c>
      <c r="I38" s="272">
        <f>$C38*SUM($C22:H22)/12</f>
        <v>0</v>
      </c>
      <c r="J38" s="272">
        <f>$C38*SUM($C22:I22)/12</f>
        <v>0</v>
      </c>
      <c r="K38" s="272">
        <f>$C38*SUM($C22:J22)/12</f>
        <v>0</v>
      </c>
      <c r="L38" s="272">
        <f>$C38*SUM($C22:K22)/12</f>
        <v>0</v>
      </c>
      <c r="M38" s="272">
        <f>$C38*SUM($C22:L22)/12</f>
        <v>0</v>
      </c>
      <c r="N38" s="272">
        <f>$C38*SUM($C22:M22)/12</f>
        <v>0</v>
      </c>
      <c r="O38" s="272">
        <f>$C38*SUM($C22:N22)/12</f>
        <v>0</v>
      </c>
      <c r="P38" s="354">
        <f t="shared" si="6"/>
        <v>0</v>
      </c>
    </row>
    <row r="39" spans="2:16" ht="15" customHeight="1" x14ac:dyDescent="0.4">
      <c r="B39" s="107" t="str">
        <f>B23</f>
        <v>Autolīzings</v>
      </c>
      <c r="C39" s="108">
        <v>3.5000000000000003E-2</v>
      </c>
      <c r="D39" s="272">
        <f>$C39*SUM($C23:C23)/12</f>
        <v>0</v>
      </c>
      <c r="E39" s="272">
        <f>$C39*SUM($C23:D23)/12</f>
        <v>0</v>
      </c>
      <c r="F39" s="272">
        <f>$C39*SUM($C23:E23)/12</f>
        <v>0</v>
      </c>
      <c r="G39" s="272">
        <f>$C39*SUM($C23:F23)/12</f>
        <v>0</v>
      </c>
      <c r="H39" s="272">
        <f>$C39*SUM($C23:G23)/12</f>
        <v>0</v>
      </c>
      <c r="I39" s="272">
        <f>$C39*SUM($C23:H23)/12</f>
        <v>0</v>
      </c>
      <c r="J39" s="272">
        <f>$C39*SUM($C23:I23)/12</f>
        <v>0</v>
      </c>
      <c r="K39" s="272">
        <f>$C39*SUM($C23:J23)/12</f>
        <v>0</v>
      </c>
      <c r="L39" s="272">
        <f>$C39*SUM($C23:K23)/12</f>
        <v>0</v>
      </c>
      <c r="M39" s="272">
        <f>$C39*SUM($C23:L23)/12</f>
        <v>0</v>
      </c>
      <c r="N39" s="272">
        <f>$C39*SUM($C23:M23)/12</f>
        <v>0</v>
      </c>
      <c r="O39" s="272">
        <f>$C39*SUM($C23:N23)/12</f>
        <v>0</v>
      </c>
      <c r="P39" s="354">
        <f t="shared" si="6"/>
        <v>0</v>
      </c>
    </row>
    <row r="40" spans="2:16" ht="15" customHeight="1" x14ac:dyDescent="0.4">
      <c r="B40" s="107" t="str">
        <f>B24</f>
        <v>Līzings 3</v>
      </c>
      <c r="C40" s="108">
        <v>0</v>
      </c>
      <c r="D40" s="272">
        <f>$C40*SUM($C24:C24)/12</f>
        <v>0</v>
      </c>
      <c r="E40" s="272">
        <f>$C40*SUM($C24:D24)/12</f>
        <v>0</v>
      </c>
      <c r="F40" s="272">
        <f>$C40*SUM($C24:E24)/12</f>
        <v>0</v>
      </c>
      <c r="G40" s="272">
        <f>$C40*SUM($C24:F24)/12</f>
        <v>0</v>
      </c>
      <c r="H40" s="272">
        <f>$C40*SUM($C24:G24)/12</f>
        <v>0</v>
      </c>
      <c r="I40" s="272">
        <f>$C40*SUM($C24:H24)/12</f>
        <v>0</v>
      </c>
      <c r="J40" s="272">
        <f>$C40*SUM($C24:I24)/12</f>
        <v>0</v>
      </c>
      <c r="K40" s="272">
        <f>$C40*SUM($C24:J24)/12</f>
        <v>0</v>
      </c>
      <c r="L40" s="272">
        <f>$C40*SUM($C24:K24)/12</f>
        <v>0</v>
      </c>
      <c r="M40" s="272">
        <f>$C40*SUM($C24:L24)/12</f>
        <v>0</v>
      </c>
      <c r="N40" s="272">
        <f>$C40*SUM($C24:M24)/12</f>
        <v>0</v>
      </c>
      <c r="O40" s="272">
        <f>$C40*SUM($C24:N24)/12</f>
        <v>0</v>
      </c>
      <c r="P40" s="354">
        <f t="shared" si="6"/>
        <v>0</v>
      </c>
    </row>
    <row r="41" spans="2:16" ht="15" customHeight="1" x14ac:dyDescent="0.4">
      <c r="B41" s="109"/>
      <c r="C41" s="110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359"/>
    </row>
    <row r="42" spans="2:16" ht="15" customHeight="1" x14ac:dyDescent="0.4">
      <c r="B42" s="148"/>
      <c r="C42" s="240"/>
      <c r="D42" s="239"/>
      <c r="E42" s="242"/>
      <c r="F42" s="242"/>
      <c r="G42" s="242"/>
      <c r="H42" s="242"/>
      <c r="I42" s="242"/>
      <c r="J42" s="242"/>
      <c r="K42" s="239"/>
      <c r="L42" s="239"/>
      <c r="M42" s="239"/>
      <c r="N42" s="239"/>
      <c r="O42" s="239"/>
      <c r="P42" s="360"/>
    </row>
    <row r="43" spans="2:16" ht="14.65" thickBot="1" x14ac:dyDescent="0.45">
      <c r="B43" s="148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361"/>
    </row>
    <row r="44" spans="2:16" ht="14.65" thickBot="1" x14ac:dyDescent="0.45">
      <c r="B44" s="148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417" t="s">
        <v>0</v>
      </c>
      <c r="P44" s="362">
        <f>IF(PZA!O31&lt;=0,0,P11/PZA!O31)</f>
        <v>0</v>
      </c>
    </row>
    <row r="45" spans="2:16" ht="14.65" thickBot="1" x14ac:dyDescent="0.45">
      <c r="B45" s="148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417" t="s">
        <v>1</v>
      </c>
      <c r="P45" s="362">
        <f>IFERROR(PZA!O31/(Finansēšana!P28-(SUMIF(Finansēšana!D22:O24,"&lt;0")+SUMIF(Finansēšana!D12:O18,"&lt;0"))),0)</f>
        <v>0</v>
      </c>
    </row>
    <row r="46" spans="2:16" ht="14.25" x14ac:dyDescent="0.4">
      <c r="B46" s="148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361"/>
    </row>
    <row r="47" spans="2:16" ht="14.25" x14ac:dyDescent="0.4">
      <c r="B47" s="148"/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361"/>
    </row>
    <row r="48" spans="2:16" ht="14.25" x14ac:dyDescent="0.4">
      <c r="B48" s="148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363"/>
    </row>
    <row r="49" spans="2:16" ht="14.25" x14ac:dyDescent="0.4">
      <c r="B49" s="148"/>
      <c r="C49" s="241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363"/>
    </row>
    <row r="50" spans="2:16" ht="14.25" x14ac:dyDescent="0.4">
      <c r="B50" s="148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363"/>
    </row>
    <row r="51" spans="2:16" ht="14.25" x14ac:dyDescent="0.4">
      <c r="B51" s="148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3"/>
    </row>
    <row r="52" spans="2:16" ht="14.25" x14ac:dyDescent="0.4">
      <c r="B52" s="148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3"/>
    </row>
    <row r="53" spans="2:16" ht="14.25" x14ac:dyDescent="0.4">
      <c r="B53" s="148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3"/>
    </row>
  </sheetData>
  <sheetProtection formatColumns="0" formatRows="0" selectLockedCells="1"/>
  <protectedRanges>
    <protectedRange sqref="B12:O18" name="Range1"/>
    <protectedRange sqref="C29:C41 B22:O25" name="Range1_6"/>
  </protectedRanges>
  <phoneticPr fontId="2" type="noConversion"/>
  <pageMargins left="0.75" right="0.75" top="1" bottom="1" header="0.5" footer="0.5"/>
  <pageSetup paperSize="9" scale="56" orientation="landscape" r:id="rId1"/>
  <headerFooter alignWithMargins="0"/>
  <rowBreaks count="1" manualBreakCount="1">
    <brk id="47" max="16383" man="1"/>
  </rowBreaks>
  <ignoredErrors>
    <ignoredError sqref="E29:O40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">
    <tabColor theme="5" tint="0.39997558519241921"/>
  </sheetPr>
  <dimension ref="B2:Q199"/>
  <sheetViews>
    <sheetView showGridLines="0" zoomScaleNormal="100" workbookViewId="0">
      <pane xSplit="2" ySplit="4" topLeftCell="C59" activePane="bottomRight" state="frozen"/>
      <selection pane="topRight" activeCell="C1" sqref="C1"/>
      <selection pane="bottomLeft" activeCell="A5" sqref="A5"/>
      <selection pane="bottomRight" activeCell="D22" sqref="D22"/>
    </sheetView>
  </sheetViews>
  <sheetFormatPr defaultColWidth="9.1328125" defaultRowHeight="14.25" x14ac:dyDescent="0.4"/>
  <cols>
    <col min="1" max="1" width="4.86328125" style="196" customWidth="1"/>
    <col min="2" max="2" width="42.1328125" style="148" customWidth="1"/>
    <col min="3" max="3" width="14.46484375" style="196" bestFit="1" customWidth="1"/>
    <col min="4" max="4" width="8.53125" style="196" customWidth="1"/>
    <col min="5" max="5" width="9.46484375" style="196" bestFit="1" customWidth="1"/>
    <col min="6" max="11" width="8.53125" style="196" customWidth="1"/>
    <col min="12" max="15" width="9.46484375" style="196" bestFit="1" customWidth="1"/>
    <col min="16" max="16" width="11" style="247" bestFit="1" customWidth="1"/>
    <col min="17" max="17" width="9.1328125" style="405"/>
    <col min="18" max="16384" width="9.1328125" style="196"/>
  </cols>
  <sheetData>
    <row r="2" spans="2:17" ht="15.4" thickBot="1" x14ac:dyDescent="0.45">
      <c r="B2" s="191" t="str">
        <f>LEFT(Pieņēmumi!$B$2,FIND("Budžets",Pieņēmumi!$B$2)-1)&amp;"CAPEX prognoze "</f>
        <v xml:space="preserve">Spēka ražotājs CAPEX prognoze 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</row>
    <row r="3" spans="2:17" ht="14.65" thickTop="1" x14ac:dyDescent="0.4">
      <c r="C3" s="244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6"/>
    </row>
    <row r="4" spans="2:17" x14ac:dyDescent="0.4">
      <c r="B4" s="44"/>
      <c r="C4" s="40"/>
      <c r="D4" s="40" t="str">
        <f>LEFT(Pieņēmumi!E7,3)</f>
        <v>Jan</v>
      </c>
      <c r="E4" s="40" t="str">
        <f t="shared" ref="E4:O4" si="0">MID(Month,SEARCH(D4,Month,1)+3,3)</f>
        <v>Feb</v>
      </c>
      <c r="F4" s="40" t="str">
        <f t="shared" si="0"/>
        <v>Mar</v>
      </c>
      <c r="G4" s="40" t="str">
        <f t="shared" si="0"/>
        <v>Apr</v>
      </c>
      <c r="H4" s="40" t="str">
        <f t="shared" si="0"/>
        <v>May</v>
      </c>
      <c r="I4" s="40" t="str">
        <f t="shared" si="0"/>
        <v>Jun</v>
      </c>
      <c r="J4" s="40" t="str">
        <f t="shared" si="0"/>
        <v>Jul</v>
      </c>
      <c r="K4" s="40" t="str">
        <f t="shared" si="0"/>
        <v>Aug</v>
      </c>
      <c r="L4" s="40" t="str">
        <f t="shared" si="0"/>
        <v>Sep</v>
      </c>
      <c r="M4" s="40" t="str">
        <f t="shared" si="0"/>
        <v>Oct</v>
      </c>
      <c r="N4" s="40" t="str">
        <f t="shared" si="0"/>
        <v>Nov</v>
      </c>
      <c r="O4" s="40" t="str">
        <f t="shared" si="0"/>
        <v>Dec</v>
      </c>
      <c r="P4" s="40" t="s">
        <v>165</v>
      </c>
    </row>
    <row r="5" spans="2:17" s="249" customFormat="1" x14ac:dyDescent="0.4">
      <c r="B5" s="248"/>
      <c r="C5" s="232"/>
      <c r="D5" s="232">
        <v>1</v>
      </c>
      <c r="E5" s="232">
        <v>2</v>
      </c>
      <c r="F5" s="232">
        <v>3</v>
      </c>
      <c r="G5" s="232">
        <v>4</v>
      </c>
      <c r="H5" s="232">
        <v>5</v>
      </c>
      <c r="I5" s="232">
        <v>6</v>
      </c>
      <c r="J5" s="232">
        <v>7</v>
      </c>
      <c r="K5" s="232">
        <v>8</v>
      </c>
      <c r="L5" s="232">
        <v>9</v>
      </c>
      <c r="M5" s="232">
        <v>10</v>
      </c>
      <c r="N5" s="232">
        <v>11</v>
      </c>
      <c r="O5" s="232">
        <v>12</v>
      </c>
      <c r="P5" s="233"/>
      <c r="Q5" s="415"/>
    </row>
    <row r="6" spans="2:17" s="249" customFormat="1" x14ac:dyDescent="0.4">
      <c r="B6" s="135" t="s">
        <v>152</v>
      </c>
      <c r="C6" s="141" t="s">
        <v>164</v>
      </c>
      <c r="D6" s="286">
        <f>SUM(D7:D18)</f>
        <v>0</v>
      </c>
      <c r="E6" s="286">
        <f t="shared" ref="E6:O6" si="1">SUM(E7:E18)</f>
        <v>0</v>
      </c>
      <c r="F6" s="286">
        <f t="shared" si="1"/>
        <v>0</v>
      </c>
      <c r="G6" s="286">
        <f t="shared" si="1"/>
        <v>0</v>
      </c>
      <c r="H6" s="286">
        <f t="shared" si="1"/>
        <v>0</v>
      </c>
      <c r="I6" s="286">
        <f t="shared" si="1"/>
        <v>0</v>
      </c>
      <c r="J6" s="286">
        <f t="shared" si="1"/>
        <v>0</v>
      </c>
      <c r="K6" s="286">
        <f t="shared" si="1"/>
        <v>0</v>
      </c>
      <c r="L6" s="286">
        <f t="shared" si="1"/>
        <v>0</v>
      </c>
      <c r="M6" s="286">
        <f t="shared" si="1"/>
        <v>0</v>
      </c>
      <c r="N6" s="286">
        <f t="shared" si="1"/>
        <v>0</v>
      </c>
      <c r="O6" s="286">
        <f t="shared" si="1"/>
        <v>0</v>
      </c>
      <c r="P6" s="286">
        <f>SUM(D6:O6)</f>
        <v>0</v>
      </c>
      <c r="Q6" s="415"/>
    </row>
    <row r="7" spans="2:17" s="249" customFormat="1" x14ac:dyDescent="0.4">
      <c r="B7" s="112" t="str">
        <f>C7&amp;" gadu nolietojums"</f>
        <v>2 gadu nolietojums</v>
      </c>
      <c r="C7" s="307">
        <v>2</v>
      </c>
      <c r="D7" s="272">
        <f t="shared" ref="D7:O14" si="2">SUMIF($C$81:$C$199,$C7,D$81:D$199)</f>
        <v>0</v>
      </c>
      <c r="E7" s="272">
        <f t="shared" si="2"/>
        <v>0</v>
      </c>
      <c r="F7" s="272">
        <f t="shared" si="2"/>
        <v>0</v>
      </c>
      <c r="G7" s="272">
        <f t="shared" si="2"/>
        <v>0</v>
      </c>
      <c r="H7" s="272">
        <f t="shared" si="2"/>
        <v>0</v>
      </c>
      <c r="I7" s="272">
        <f t="shared" si="2"/>
        <v>0</v>
      </c>
      <c r="J7" s="272">
        <f t="shared" si="2"/>
        <v>0</v>
      </c>
      <c r="K7" s="272">
        <f t="shared" si="2"/>
        <v>0</v>
      </c>
      <c r="L7" s="272">
        <f t="shared" si="2"/>
        <v>0</v>
      </c>
      <c r="M7" s="272">
        <f t="shared" si="2"/>
        <v>0</v>
      </c>
      <c r="N7" s="272">
        <f t="shared" si="2"/>
        <v>0</v>
      </c>
      <c r="O7" s="272">
        <f t="shared" si="2"/>
        <v>0</v>
      </c>
      <c r="P7" s="347">
        <f>SUM(D7:O7)</f>
        <v>0</v>
      </c>
      <c r="Q7" s="415"/>
    </row>
    <row r="8" spans="2:17" s="249" customFormat="1" x14ac:dyDescent="0.4">
      <c r="B8" s="112" t="str">
        <f t="shared" ref="B8:B14" si="3">C8&amp;" gadu nolietojums"</f>
        <v>3 gadu nolietojums</v>
      </c>
      <c r="C8" s="307">
        <v>3</v>
      </c>
      <c r="D8" s="272">
        <f t="shared" si="2"/>
        <v>0</v>
      </c>
      <c r="E8" s="272">
        <f t="shared" si="2"/>
        <v>0</v>
      </c>
      <c r="F8" s="272">
        <f t="shared" si="2"/>
        <v>0</v>
      </c>
      <c r="G8" s="272">
        <f t="shared" si="2"/>
        <v>0</v>
      </c>
      <c r="H8" s="272">
        <f t="shared" si="2"/>
        <v>0</v>
      </c>
      <c r="I8" s="272">
        <f t="shared" si="2"/>
        <v>0</v>
      </c>
      <c r="J8" s="272">
        <f t="shared" si="2"/>
        <v>0</v>
      </c>
      <c r="K8" s="272">
        <f t="shared" si="2"/>
        <v>0</v>
      </c>
      <c r="L8" s="272">
        <f t="shared" si="2"/>
        <v>0</v>
      </c>
      <c r="M8" s="272">
        <f t="shared" si="2"/>
        <v>0</v>
      </c>
      <c r="N8" s="272">
        <f t="shared" si="2"/>
        <v>0</v>
      </c>
      <c r="O8" s="272">
        <f t="shared" si="2"/>
        <v>0</v>
      </c>
      <c r="P8" s="347">
        <f t="shared" ref="P8:P15" si="4">SUM(D8:O8)</f>
        <v>0</v>
      </c>
      <c r="Q8" s="415"/>
    </row>
    <row r="9" spans="2:17" s="249" customFormat="1" x14ac:dyDescent="0.4">
      <c r="B9" s="112" t="str">
        <f t="shared" si="3"/>
        <v>4 gadu nolietojums</v>
      </c>
      <c r="C9" s="307">
        <v>4</v>
      </c>
      <c r="D9" s="272">
        <f t="shared" si="2"/>
        <v>0</v>
      </c>
      <c r="E9" s="272">
        <f t="shared" si="2"/>
        <v>0</v>
      </c>
      <c r="F9" s="272">
        <f t="shared" si="2"/>
        <v>0</v>
      </c>
      <c r="G9" s="272">
        <f t="shared" si="2"/>
        <v>0</v>
      </c>
      <c r="H9" s="272">
        <f t="shared" si="2"/>
        <v>0</v>
      </c>
      <c r="I9" s="272">
        <f t="shared" si="2"/>
        <v>0</v>
      </c>
      <c r="J9" s="272">
        <f t="shared" si="2"/>
        <v>0</v>
      </c>
      <c r="K9" s="272">
        <f t="shared" si="2"/>
        <v>0</v>
      </c>
      <c r="L9" s="272">
        <f t="shared" si="2"/>
        <v>0</v>
      </c>
      <c r="M9" s="272">
        <f t="shared" si="2"/>
        <v>0</v>
      </c>
      <c r="N9" s="272">
        <f t="shared" si="2"/>
        <v>0</v>
      </c>
      <c r="O9" s="272">
        <f t="shared" si="2"/>
        <v>0</v>
      </c>
      <c r="P9" s="347">
        <f>SUM(D9:O9)</f>
        <v>0</v>
      </c>
      <c r="Q9" s="415"/>
    </row>
    <row r="10" spans="2:17" s="249" customFormat="1" x14ac:dyDescent="0.4">
      <c r="B10" s="112" t="str">
        <f t="shared" si="3"/>
        <v>5 gadu nolietojums</v>
      </c>
      <c r="C10" s="307">
        <v>5</v>
      </c>
      <c r="D10" s="272">
        <f>SUMIF($C$81:$C$199,$C10,D$81:D$199)</f>
        <v>0</v>
      </c>
      <c r="E10" s="272">
        <f t="shared" si="2"/>
        <v>0</v>
      </c>
      <c r="F10" s="272">
        <f t="shared" si="2"/>
        <v>0</v>
      </c>
      <c r="G10" s="272">
        <f t="shared" si="2"/>
        <v>0</v>
      </c>
      <c r="H10" s="272">
        <f t="shared" si="2"/>
        <v>0</v>
      </c>
      <c r="I10" s="272">
        <f t="shared" si="2"/>
        <v>0</v>
      </c>
      <c r="J10" s="272">
        <f t="shared" si="2"/>
        <v>0</v>
      </c>
      <c r="K10" s="272">
        <f t="shared" si="2"/>
        <v>0</v>
      </c>
      <c r="L10" s="272">
        <f t="shared" si="2"/>
        <v>0</v>
      </c>
      <c r="M10" s="272">
        <f t="shared" si="2"/>
        <v>0</v>
      </c>
      <c r="N10" s="272">
        <f t="shared" si="2"/>
        <v>0</v>
      </c>
      <c r="O10" s="272">
        <f t="shared" si="2"/>
        <v>0</v>
      </c>
      <c r="P10" s="347">
        <f t="shared" si="4"/>
        <v>0</v>
      </c>
      <c r="Q10" s="415"/>
    </row>
    <row r="11" spans="2:17" s="249" customFormat="1" x14ac:dyDescent="0.4">
      <c r="B11" s="112" t="str">
        <f t="shared" si="3"/>
        <v>6 gadu nolietojums</v>
      </c>
      <c r="C11" s="307">
        <v>6</v>
      </c>
      <c r="D11" s="272">
        <f t="shared" si="2"/>
        <v>0</v>
      </c>
      <c r="E11" s="272">
        <f t="shared" si="2"/>
        <v>0</v>
      </c>
      <c r="F11" s="272">
        <f t="shared" si="2"/>
        <v>0</v>
      </c>
      <c r="G11" s="272">
        <f t="shared" si="2"/>
        <v>0</v>
      </c>
      <c r="H11" s="272">
        <f t="shared" si="2"/>
        <v>0</v>
      </c>
      <c r="I11" s="272">
        <f t="shared" si="2"/>
        <v>0</v>
      </c>
      <c r="J11" s="272">
        <f t="shared" si="2"/>
        <v>0</v>
      </c>
      <c r="K11" s="272">
        <f t="shared" si="2"/>
        <v>0</v>
      </c>
      <c r="L11" s="272">
        <f t="shared" si="2"/>
        <v>0</v>
      </c>
      <c r="M11" s="272">
        <f t="shared" si="2"/>
        <v>0</v>
      </c>
      <c r="N11" s="272">
        <f t="shared" si="2"/>
        <v>0</v>
      </c>
      <c r="O11" s="272">
        <f t="shared" si="2"/>
        <v>0</v>
      </c>
      <c r="P11" s="347">
        <f t="shared" si="4"/>
        <v>0</v>
      </c>
      <c r="Q11" s="415"/>
    </row>
    <row r="12" spans="2:17" s="249" customFormat="1" x14ac:dyDescent="0.4">
      <c r="B12" s="112" t="str">
        <f t="shared" si="3"/>
        <v>8 gadu nolietojums</v>
      </c>
      <c r="C12" s="307">
        <v>8</v>
      </c>
      <c r="D12" s="272">
        <f t="shared" si="2"/>
        <v>0</v>
      </c>
      <c r="E12" s="272">
        <f t="shared" si="2"/>
        <v>0</v>
      </c>
      <c r="F12" s="272">
        <f t="shared" si="2"/>
        <v>0</v>
      </c>
      <c r="G12" s="272">
        <f t="shared" si="2"/>
        <v>0</v>
      </c>
      <c r="H12" s="272">
        <f t="shared" si="2"/>
        <v>0</v>
      </c>
      <c r="I12" s="272">
        <f t="shared" si="2"/>
        <v>0</v>
      </c>
      <c r="J12" s="272">
        <f t="shared" si="2"/>
        <v>0</v>
      </c>
      <c r="K12" s="272">
        <f t="shared" si="2"/>
        <v>0</v>
      </c>
      <c r="L12" s="272">
        <f t="shared" si="2"/>
        <v>0</v>
      </c>
      <c r="M12" s="272">
        <f t="shared" si="2"/>
        <v>0</v>
      </c>
      <c r="N12" s="272">
        <f t="shared" si="2"/>
        <v>0</v>
      </c>
      <c r="O12" s="272">
        <f t="shared" si="2"/>
        <v>0</v>
      </c>
      <c r="P12" s="347">
        <f t="shared" si="4"/>
        <v>0</v>
      </c>
      <c r="Q12" s="415"/>
    </row>
    <row r="13" spans="2:17" s="249" customFormat="1" x14ac:dyDescent="0.4">
      <c r="B13" s="112" t="str">
        <f t="shared" si="3"/>
        <v>10 gadu nolietojums</v>
      </c>
      <c r="C13" s="307">
        <v>10</v>
      </c>
      <c r="D13" s="272">
        <f t="shared" si="2"/>
        <v>0</v>
      </c>
      <c r="E13" s="272">
        <f t="shared" si="2"/>
        <v>0</v>
      </c>
      <c r="F13" s="272">
        <f t="shared" si="2"/>
        <v>0</v>
      </c>
      <c r="G13" s="272">
        <f t="shared" si="2"/>
        <v>0</v>
      </c>
      <c r="H13" s="272">
        <f t="shared" si="2"/>
        <v>0</v>
      </c>
      <c r="I13" s="272">
        <f t="shared" si="2"/>
        <v>0</v>
      </c>
      <c r="J13" s="272">
        <f t="shared" si="2"/>
        <v>0</v>
      </c>
      <c r="K13" s="272">
        <f t="shared" si="2"/>
        <v>0</v>
      </c>
      <c r="L13" s="272">
        <f t="shared" si="2"/>
        <v>0</v>
      </c>
      <c r="M13" s="272">
        <f t="shared" si="2"/>
        <v>0</v>
      </c>
      <c r="N13" s="272">
        <f t="shared" si="2"/>
        <v>0</v>
      </c>
      <c r="O13" s="272">
        <f t="shared" si="2"/>
        <v>0</v>
      </c>
      <c r="P13" s="347">
        <f t="shared" si="4"/>
        <v>0</v>
      </c>
      <c r="Q13" s="415"/>
    </row>
    <row r="14" spans="2:17" s="249" customFormat="1" x14ac:dyDescent="0.4">
      <c r="B14" s="112" t="str">
        <f t="shared" si="3"/>
        <v>33 gadu nolietojums</v>
      </c>
      <c r="C14" s="307">
        <v>33</v>
      </c>
      <c r="D14" s="272">
        <f t="shared" si="2"/>
        <v>0</v>
      </c>
      <c r="E14" s="272">
        <f t="shared" si="2"/>
        <v>0</v>
      </c>
      <c r="F14" s="272">
        <f t="shared" si="2"/>
        <v>0</v>
      </c>
      <c r="G14" s="272">
        <f t="shared" si="2"/>
        <v>0</v>
      </c>
      <c r="H14" s="272">
        <f t="shared" si="2"/>
        <v>0</v>
      </c>
      <c r="I14" s="272">
        <f t="shared" si="2"/>
        <v>0</v>
      </c>
      <c r="J14" s="272">
        <f t="shared" si="2"/>
        <v>0</v>
      </c>
      <c r="K14" s="272">
        <f t="shared" si="2"/>
        <v>0</v>
      </c>
      <c r="L14" s="272">
        <f t="shared" si="2"/>
        <v>0</v>
      </c>
      <c r="M14" s="272">
        <f t="shared" si="2"/>
        <v>0</v>
      </c>
      <c r="N14" s="272">
        <f t="shared" si="2"/>
        <v>0</v>
      </c>
      <c r="O14" s="272">
        <f t="shared" si="2"/>
        <v>0</v>
      </c>
      <c r="P14" s="347">
        <f t="shared" si="4"/>
        <v>0</v>
      </c>
      <c r="Q14" s="415"/>
    </row>
    <row r="15" spans="2:17" s="249" customFormat="1" x14ac:dyDescent="0.4">
      <c r="B15" s="442" t="s">
        <v>153</v>
      </c>
      <c r="C15" s="443" t="s">
        <v>3</v>
      </c>
      <c r="D15" s="444">
        <f>SUMIF($C$44:$C$199,$C15,D$44:D$199)</f>
        <v>0</v>
      </c>
      <c r="E15" s="444">
        <f t="shared" ref="E15:O15" si="5">SUMIF($C$44:$C$199,$C15,E$44:E$199)</f>
        <v>0</v>
      </c>
      <c r="F15" s="444">
        <f t="shared" si="5"/>
        <v>0</v>
      </c>
      <c r="G15" s="444">
        <f t="shared" si="5"/>
        <v>0</v>
      </c>
      <c r="H15" s="444">
        <f t="shared" si="5"/>
        <v>0</v>
      </c>
      <c r="I15" s="444">
        <f t="shared" si="5"/>
        <v>0</v>
      </c>
      <c r="J15" s="444">
        <f t="shared" si="5"/>
        <v>0</v>
      </c>
      <c r="K15" s="444">
        <f t="shared" si="5"/>
        <v>0</v>
      </c>
      <c r="L15" s="444">
        <f t="shared" si="5"/>
        <v>0</v>
      </c>
      <c r="M15" s="444">
        <f t="shared" si="5"/>
        <v>0</v>
      </c>
      <c r="N15" s="444">
        <f t="shared" si="5"/>
        <v>0</v>
      </c>
      <c r="O15" s="444">
        <f t="shared" si="5"/>
        <v>0</v>
      </c>
      <c r="P15" s="445">
        <f t="shared" si="4"/>
        <v>0</v>
      </c>
      <c r="Q15" s="415"/>
    </row>
    <row r="16" spans="2:17" s="249" customFormat="1" x14ac:dyDescent="0.4">
      <c r="B16" s="112" t="str">
        <f>C16&amp;" gadu amortizācija"</f>
        <v>5 gadu amortizācija</v>
      </c>
      <c r="C16" s="398">
        <v>5</v>
      </c>
      <c r="D16" s="272">
        <f t="shared" ref="D16:O18" si="6">SUMIF($C$44:$C$78,$C16,D$44:D$78)</f>
        <v>0</v>
      </c>
      <c r="E16" s="272">
        <f t="shared" si="6"/>
        <v>0</v>
      </c>
      <c r="F16" s="272">
        <f t="shared" si="6"/>
        <v>0</v>
      </c>
      <c r="G16" s="272">
        <f t="shared" si="6"/>
        <v>0</v>
      </c>
      <c r="H16" s="272">
        <f t="shared" si="6"/>
        <v>0</v>
      </c>
      <c r="I16" s="272">
        <f t="shared" si="6"/>
        <v>0</v>
      </c>
      <c r="J16" s="272">
        <f t="shared" si="6"/>
        <v>0</v>
      </c>
      <c r="K16" s="272">
        <f t="shared" si="6"/>
        <v>0</v>
      </c>
      <c r="L16" s="272">
        <f t="shared" si="6"/>
        <v>0</v>
      </c>
      <c r="M16" s="272">
        <f t="shared" si="6"/>
        <v>0</v>
      </c>
      <c r="N16" s="272">
        <f t="shared" si="6"/>
        <v>0</v>
      </c>
      <c r="O16" s="272">
        <f t="shared" si="6"/>
        <v>0</v>
      </c>
      <c r="P16" s="347">
        <f>SUM(D16:O16)</f>
        <v>0</v>
      </c>
      <c r="Q16" s="415"/>
    </row>
    <row r="17" spans="2:17" s="249" customFormat="1" x14ac:dyDescent="0.4">
      <c r="B17" s="112" t="str">
        <f t="shared" ref="B17:B18" si="7">C17&amp;" gadu amortizācija"</f>
        <v>10 gadu amortizācija</v>
      </c>
      <c r="C17" s="398">
        <v>10</v>
      </c>
      <c r="D17" s="272">
        <f t="shared" si="6"/>
        <v>0</v>
      </c>
      <c r="E17" s="272">
        <f t="shared" si="6"/>
        <v>0</v>
      </c>
      <c r="F17" s="272">
        <f t="shared" si="6"/>
        <v>0</v>
      </c>
      <c r="G17" s="272">
        <f t="shared" si="6"/>
        <v>0</v>
      </c>
      <c r="H17" s="272">
        <f t="shared" si="6"/>
        <v>0</v>
      </c>
      <c r="I17" s="272">
        <f t="shared" si="6"/>
        <v>0</v>
      </c>
      <c r="J17" s="272">
        <f t="shared" si="6"/>
        <v>0</v>
      </c>
      <c r="K17" s="272">
        <f t="shared" si="6"/>
        <v>0</v>
      </c>
      <c r="L17" s="272">
        <f t="shared" si="6"/>
        <v>0</v>
      </c>
      <c r="M17" s="272">
        <f t="shared" si="6"/>
        <v>0</v>
      </c>
      <c r="N17" s="272">
        <f t="shared" si="6"/>
        <v>0</v>
      </c>
      <c r="O17" s="272">
        <f t="shared" si="6"/>
        <v>0</v>
      </c>
      <c r="P17" s="347">
        <f t="shared" ref="P17:P18" si="8">SUM(D17:O17)</f>
        <v>0</v>
      </c>
      <c r="Q17" s="415"/>
    </row>
    <row r="18" spans="2:17" s="249" customFormat="1" x14ac:dyDescent="0.4">
      <c r="B18" s="113" t="str">
        <f t="shared" si="7"/>
        <v>20 gadu amortizācija</v>
      </c>
      <c r="C18" s="396">
        <v>20</v>
      </c>
      <c r="D18" s="282">
        <f t="shared" si="6"/>
        <v>0</v>
      </c>
      <c r="E18" s="282">
        <f t="shared" si="6"/>
        <v>0</v>
      </c>
      <c r="F18" s="282">
        <f t="shared" si="6"/>
        <v>0</v>
      </c>
      <c r="G18" s="282">
        <f t="shared" si="6"/>
        <v>0</v>
      </c>
      <c r="H18" s="282">
        <f t="shared" si="6"/>
        <v>0</v>
      </c>
      <c r="I18" s="282">
        <f t="shared" si="6"/>
        <v>0</v>
      </c>
      <c r="J18" s="282">
        <f t="shared" si="6"/>
        <v>0</v>
      </c>
      <c r="K18" s="282">
        <f t="shared" si="6"/>
        <v>0</v>
      </c>
      <c r="L18" s="282">
        <f t="shared" si="6"/>
        <v>0</v>
      </c>
      <c r="M18" s="282">
        <f t="shared" si="6"/>
        <v>0</v>
      </c>
      <c r="N18" s="282">
        <f t="shared" si="6"/>
        <v>0</v>
      </c>
      <c r="O18" s="282">
        <f t="shared" si="6"/>
        <v>0</v>
      </c>
      <c r="P18" s="348">
        <f t="shared" si="8"/>
        <v>0</v>
      </c>
      <c r="Q18" s="415"/>
    </row>
    <row r="19" spans="2:17" s="249" customFormat="1" x14ac:dyDescent="0.4">
      <c r="B19" s="248"/>
      <c r="C19" s="232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349"/>
      <c r="Q19" s="415"/>
    </row>
    <row r="20" spans="2:17" s="249" customFormat="1" x14ac:dyDescent="0.4">
      <c r="B20" s="248"/>
      <c r="C20" s="232"/>
      <c r="D20" s="250"/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349"/>
      <c r="Q20" s="415"/>
    </row>
    <row r="21" spans="2:17" x14ac:dyDescent="0.4">
      <c r="B21" s="142" t="s">
        <v>155</v>
      </c>
      <c r="C21" s="141"/>
      <c r="D21" s="286">
        <f>SUM(D22:D23)</f>
        <v>3030.3030303030305</v>
      </c>
      <c r="E21" s="286">
        <f t="shared" ref="E21:O21" si="9">SUM(E22:E23)</f>
        <v>3030.3030303030305</v>
      </c>
      <c r="F21" s="286">
        <f t="shared" si="9"/>
        <v>3030.3030303030305</v>
      </c>
      <c r="G21" s="286">
        <f t="shared" si="9"/>
        <v>3030.3030303030305</v>
      </c>
      <c r="H21" s="286">
        <f t="shared" si="9"/>
        <v>3030.3030303030305</v>
      </c>
      <c r="I21" s="286">
        <f t="shared" si="9"/>
        <v>3030.3030303030305</v>
      </c>
      <c r="J21" s="286">
        <f t="shared" si="9"/>
        <v>3030.3030303030305</v>
      </c>
      <c r="K21" s="286">
        <f t="shared" si="9"/>
        <v>3030.3030303030305</v>
      </c>
      <c r="L21" s="286">
        <f t="shared" si="9"/>
        <v>3030.3030303030305</v>
      </c>
      <c r="M21" s="286">
        <f>SUM(M22:M23)</f>
        <v>3030.3030303030305</v>
      </c>
      <c r="N21" s="286">
        <f t="shared" si="9"/>
        <v>3030.3030303030305</v>
      </c>
      <c r="O21" s="286">
        <f t="shared" si="9"/>
        <v>3030.3030303030305</v>
      </c>
      <c r="P21" s="286">
        <f t="shared" ref="P21:P26" si="10">SUM(D21:O21)</f>
        <v>36363.636363636375</v>
      </c>
    </row>
    <row r="22" spans="2:17" x14ac:dyDescent="0.4">
      <c r="B22" s="112" t="s">
        <v>157</v>
      </c>
      <c r="C22" s="114"/>
      <c r="D22" s="266">
        <f>200000/12/5.5</f>
        <v>3030.3030303030305</v>
      </c>
      <c r="E22" s="266">
        <f t="shared" ref="E22:O22" si="11">200000/12/5.5</f>
        <v>3030.3030303030305</v>
      </c>
      <c r="F22" s="266">
        <f t="shared" si="11"/>
        <v>3030.3030303030305</v>
      </c>
      <c r="G22" s="266">
        <f t="shared" si="11"/>
        <v>3030.3030303030305</v>
      </c>
      <c r="H22" s="266">
        <f t="shared" si="11"/>
        <v>3030.3030303030305</v>
      </c>
      <c r="I22" s="266">
        <f t="shared" si="11"/>
        <v>3030.3030303030305</v>
      </c>
      <c r="J22" s="266">
        <f t="shared" si="11"/>
        <v>3030.3030303030305</v>
      </c>
      <c r="K22" s="266">
        <f t="shared" si="11"/>
        <v>3030.3030303030305</v>
      </c>
      <c r="L22" s="266">
        <f t="shared" si="11"/>
        <v>3030.3030303030305</v>
      </c>
      <c r="M22" s="266">
        <f t="shared" si="11"/>
        <v>3030.3030303030305</v>
      </c>
      <c r="N22" s="266">
        <f t="shared" si="11"/>
        <v>3030.3030303030305</v>
      </c>
      <c r="O22" s="266">
        <f t="shared" si="11"/>
        <v>3030.3030303030305</v>
      </c>
      <c r="P22" s="347">
        <f t="shared" si="10"/>
        <v>36363.636363636375</v>
      </c>
    </row>
    <row r="23" spans="2:17" x14ac:dyDescent="0.4">
      <c r="B23" s="113" t="s">
        <v>158</v>
      </c>
      <c r="C23" s="115"/>
      <c r="D23" s="282">
        <f>D29-D26</f>
        <v>0</v>
      </c>
      <c r="E23" s="282">
        <f t="shared" ref="E23:O23" si="12">E29-E26</f>
        <v>0</v>
      </c>
      <c r="F23" s="282">
        <f>F29-F26</f>
        <v>0</v>
      </c>
      <c r="G23" s="282">
        <f t="shared" si="12"/>
        <v>0</v>
      </c>
      <c r="H23" s="282">
        <f t="shared" si="12"/>
        <v>0</v>
      </c>
      <c r="I23" s="282">
        <f t="shared" si="12"/>
        <v>0</v>
      </c>
      <c r="J23" s="282">
        <f t="shared" si="12"/>
        <v>0</v>
      </c>
      <c r="K23" s="282">
        <f t="shared" si="12"/>
        <v>0</v>
      </c>
      <c r="L23" s="282">
        <f t="shared" si="12"/>
        <v>0</v>
      </c>
      <c r="M23" s="282">
        <f t="shared" si="12"/>
        <v>0</v>
      </c>
      <c r="N23" s="282">
        <f t="shared" si="12"/>
        <v>0</v>
      </c>
      <c r="O23" s="282">
        <f t="shared" si="12"/>
        <v>0</v>
      </c>
      <c r="P23" s="348">
        <f t="shared" si="10"/>
        <v>0</v>
      </c>
    </row>
    <row r="24" spans="2:17" x14ac:dyDescent="0.4">
      <c r="B24" s="142" t="s">
        <v>156</v>
      </c>
      <c r="C24" s="141"/>
      <c r="D24" s="286">
        <f>SUM(D25:D26)</f>
        <v>0</v>
      </c>
      <c r="E24" s="286">
        <f t="shared" ref="E24:O24" si="13">SUM(E25:E26)</f>
        <v>0</v>
      </c>
      <c r="F24" s="286">
        <f t="shared" si="13"/>
        <v>0</v>
      </c>
      <c r="G24" s="286">
        <f t="shared" si="13"/>
        <v>0</v>
      </c>
      <c r="H24" s="286">
        <f t="shared" si="13"/>
        <v>0</v>
      </c>
      <c r="I24" s="286">
        <f t="shared" si="13"/>
        <v>0</v>
      </c>
      <c r="J24" s="286">
        <f t="shared" si="13"/>
        <v>0</v>
      </c>
      <c r="K24" s="286">
        <f t="shared" si="13"/>
        <v>0</v>
      </c>
      <c r="L24" s="286">
        <f t="shared" si="13"/>
        <v>0</v>
      </c>
      <c r="M24" s="286">
        <f t="shared" si="13"/>
        <v>0</v>
      </c>
      <c r="N24" s="286">
        <f t="shared" si="13"/>
        <v>0</v>
      </c>
      <c r="O24" s="286">
        <f t="shared" si="13"/>
        <v>0</v>
      </c>
      <c r="P24" s="286">
        <f t="shared" si="10"/>
        <v>0</v>
      </c>
    </row>
    <row r="25" spans="2:17" x14ac:dyDescent="0.4">
      <c r="B25" s="116" t="s">
        <v>159</v>
      </c>
      <c r="C25" s="117"/>
      <c r="D25" s="308">
        <v>0</v>
      </c>
      <c r="E25" s="308">
        <v>0</v>
      </c>
      <c r="F25" s="308">
        <v>0</v>
      </c>
      <c r="G25" s="308">
        <v>0</v>
      </c>
      <c r="H25" s="308">
        <v>0</v>
      </c>
      <c r="I25" s="308">
        <v>0</v>
      </c>
      <c r="J25" s="308">
        <v>0</v>
      </c>
      <c r="K25" s="308">
        <v>0</v>
      </c>
      <c r="L25" s="308">
        <v>0</v>
      </c>
      <c r="M25" s="308">
        <v>0</v>
      </c>
      <c r="N25" s="308">
        <v>0</v>
      </c>
      <c r="O25" s="308">
        <v>0</v>
      </c>
      <c r="P25" s="350">
        <f t="shared" si="10"/>
        <v>0</v>
      </c>
    </row>
    <row r="26" spans="2:17" x14ac:dyDescent="0.4">
      <c r="B26" s="113" t="s">
        <v>160</v>
      </c>
      <c r="C26" s="118"/>
      <c r="D26" s="282">
        <f>SUM(D38:D40)</f>
        <v>0</v>
      </c>
      <c r="E26" s="282">
        <f>SUM(E38:E40)</f>
        <v>0</v>
      </c>
      <c r="F26" s="282">
        <f t="shared" ref="F26:O26" si="14">SUM(F38:F40)</f>
        <v>0</v>
      </c>
      <c r="G26" s="282">
        <f t="shared" si="14"/>
        <v>0</v>
      </c>
      <c r="H26" s="282">
        <f t="shared" si="14"/>
        <v>0</v>
      </c>
      <c r="I26" s="282">
        <f t="shared" si="14"/>
        <v>0</v>
      </c>
      <c r="J26" s="282">
        <f t="shared" si="14"/>
        <v>0</v>
      </c>
      <c r="K26" s="282">
        <f t="shared" si="14"/>
        <v>0</v>
      </c>
      <c r="L26" s="282">
        <f t="shared" si="14"/>
        <v>0</v>
      </c>
      <c r="M26" s="282">
        <f t="shared" si="14"/>
        <v>0</v>
      </c>
      <c r="N26" s="282">
        <f t="shared" si="14"/>
        <v>0</v>
      </c>
      <c r="O26" s="282">
        <f t="shared" si="14"/>
        <v>0</v>
      </c>
      <c r="P26" s="277">
        <f t="shared" si="10"/>
        <v>0</v>
      </c>
    </row>
    <row r="27" spans="2:17" s="249" customFormat="1" x14ac:dyDescent="0.4">
      <c r="B27" s="248"/>
      <c r="C27" s="232"/>
      <c r="D27" s="250"/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349"/>
      <c r="Q27" s="415"/>
    </row>
    <row r="28" spans="2:17" s="249" customFormat="1" x14ac:dyDescent="0.4">
      <c r="B28" s="248"/>
      <c r="C28" s="232"/>
      <c r="D28" s="250" t="e" cm="1">
        <f t="array" aca="1" ref="D28" ca="1">Y(m)</f>
        <v>#NAME?</v>
      </c>
      <c r="E28" s="250"/>
      <c r="F28" s="250"/>
      <c r="G28" s="250"/>
      <c r="H28" s="250"/>
      <c r="I28" s="250"/>
      <c r="J28" s="250"/>
      <c r="K28" s="250"/>
      <c r="L28" s="250"/>
      <c r="M28" s="250"/>
      <c r="N28" s="250"/>
      <c r="O28" s="250"/>
      <c r="P28" s="349"/>
      <c r="Q28" s="415"/>
    </row>
    <row r="29" spans="2:17" s="249" customFormat="1" x14ac:dyDescent="0.4">
      <c r="B29" s="142" t="s">
        <v>154</v>
      </c>
      <c r="C29" s="141"/>
      <c r="D29" s="286">
        <f>SUM(D30:D40)</f>
        <v>0</v>
      </c>
      <c r="E29" s="286">
        <f t="shared" ref="E29:O29" si="15">SUM(E30:E40)</f>
        <v>0</v>
      </c>
      <c r="F29" s="286">
        <f t="shared" si="15"/>
        <v>0</v>
      </c>
      <c r="G29" s="286">
        <f t="shared" si="15"/>
        <v>0</v>
      </c>
      <c r="H29" s="286">
        <f t="shared" si="15"/>
        <v>0</v>
      </c>
      <c r="I29" s="286">
        <f t="shared" si="15"/>
        <v>0</v>
      </c>
      <c r="J29" s="286">
        <f t="shared" si="15"/>
        <v>0</v>
      </c>
      <c r="K29" s="286">
        <f t="shared" si="15"/>
        <v>0</v>
      </c>
      <c r="L29" s="286">
        <f t="shared" si="15"/>
        <v>0</v>
      </c>
      <c r="M29" s="286">
        <f t="shared" si="15"/>
        <v>0</v>
      </c>
      <c r="N29" s="286">
        <f t="shared" si="15"/>
        <v>0</v>
      </c>
      <c r="O29" s="286">
        <f t="shared" si="15"/>
        <v>0</v>
      </c>
      <c r="P29" s="286">
        <f>SUM(D29:O29)</f>
        <v>0</v>
      </c>
      <c r="Q29" s="415"/>
    </row>
    <row r="30" spans="2:17" s="249" customFormat="1" x14ac:dyDescent="0.4">
      <c r="B30" s="112" t="str">
        <f t="shared" ref="B30:B37" si="16">B7</f>
        <v>2 gadu nolietojums</v>
      </c>
      <c r="C30" s="114"/>
      <c r="D30" s="309">
        <f>SUM($D7:D7)/$C7/12</f>
        <v>0</v>
      </c>
      <c r="E30" s="309">
        <f>SUM($D7:E7)/$C7/12</f>
        <v>0</v>
      </c>
      <c r="F30" s="309">
        <f>SUM($D7:F7)/$C7/12</f>
        <v>0</v>
      </c>
      <c r="G30" s="309">
        <f>SUM($D7:G7)/$C7/12</f>
        <v>0</v>
      </c>
      <c r="H30" s="309">
        <f>SUM($D7:H7)/$C7/12</f>
        <v>0</v>
      </c>
      <c r="I30" s="309">
        <f>SUM($D7:I7)/$C7/12</f>
        <v>0</v>
      </c>
      <c r="J30" s="309">
        <f>SUM($D7:J7)/$C7/12</f>
        <v>0</v>
      </c>
      <c r="K30" s="309">
        <f>SUM($D7:K7)/$C7/12</f>
        <v>0</v>
      </c>
      <c r="L30" s="309">
        <f>SUM($D7:L7)/$C7/12</f>
        <v>0</v>
      </c>
      <c r="M30" s="309">
        <f>SUM($D7:M7)/$C7/12</f>
        <v>0</v>
      </c>
      <c r="N30" s="309">
        <f>SUM($D7:N7)/$C7/12</f>
        <v>0</v>
      </c>
      <c r="O30" s="309">
        <f>SUM($D7:O7)/$C7/12</f>
        <v>0</v>
      </c>
      <c r="P30" s="347">
        <f>SUM(D30:O30)</f>
        <v>0</v>
      </c>
      <c r="Q30" s="415"/>
    </row>
    <row r="31" spans="2:17" s="249" customFormat="1" x14ac:dyDescent="0.4">
      <c r="B31" s="112" t="str">
        <f t="shared" si="16"/>
        <v>3 gadu nolietojums</v>
      </c>
      <c r="C31" s="114"/>
      <c r="D31" s="309">
        <f>SUM($D8:D8)/$C8/12</f>
        <v>0</v>
      </c>
      <c r="E31" s="309">
        <f>SUM($D8:E8)/$C8/12</f>
        <v>0</v>
      </c>
      <c r="F31" s="309">
        <f>SUM($D8:F8)/$C8/12</f>
        <v>0</v>
      </c>
      <c r="G31" s="309">
        <f>SUM($D8:G8)/$C8/12</f>
        <v>0</v>
      </c>
      <c r="H31" s="309">
        <f>SUM($D8:H8)/$C8/12</f>
        <v>0</v>
      </c>
      <c r="I31" s="309">
        <f>SUM($D8:I8)/$C8/12</f>
        <v>0</v>
      </c>
      <c r="J31" s="309">
        <f>SUM($D8:J8)/$C8/12</f>
        <v>0</v>
      </c>
      <c r="K31" s="309">
        <f>SUM($D8:K8)/$C8/12</f>
        <v>0</v>
      </c>
      <c r="L31" s="309">
        <f>SUM($D8:L8)/$C8/12</f>
        <v>0</v>
      </c>
      <c r="M31" s="309">
        <f>SUM($D8:M8)/$C8/12</f>
        <v>0</v>
      </c>
      <c r="N31" s="309">
        <f>SUM($D8:N8)/$C8/12</f>
        <v>0</v>
      </c>
      <c r="O31" s="309">
        <f>SUM($D8:O8)/$C8/12</f>
        <v>0</v>
      </c>
      <c r="P31" s="347">
        <f t="shared" ref="P31:P37" si="17">SUM(D31:O31)</f>
        <v>0</v>
      </c>
      <c r="Q31" s="415"/>
    </row>
    <row r="32" spans="2:17" s="249" customFormat="1" x14ac:dyDescent="0.4">
      <c r="B32" s="112" t="str">
        <f t="shared" si="16"/>
        <v>4 gadu nolietojums</v>
      </c>
      <c r="C32" s="114"/>
      <c r="D32" s="309">
        <f>SUM($D9:D9)/$C9/12</f>
        <v>0</v>
      </c>
      <c r="E32" s="309">
        <f>SUM($D9:E9)/$C9/12</f>
        <v>0</v>
      </c>
      <c r="F32" s="309">
        <f>SUM($D9:F9)/$C9/12</f>
        <v>0</v>
      </c>
      <c r="G32" s="309">
        <f>SUM($D9:G9)/$C9/12</f>
        <v>0</v>
      </c>
      <c r="H32" s="309">
        <f>SUM($D9:H9)/$C9/12</f>
        <v>0</v>
      </c>
      <c r="I32" s="309">
        <f>SUM($D9:I9)/$C9/12</f>
        <v>0</v>
      </c>
      <c r="J32" s="309">
        <f>SUM($D9:J9)/$C9/12</f>
        <v>0</v>
      </c>
      <c r="K32" s="309">
        <f>SUM($D9:K9)/$C9/12</f>
        <v>0</v>
      </c>
      <c r="L32" s="309">
        <f>SUM($D9:L9)/$C9/12</f>
        <v>0</v>
      </c>
      <c r="M32" s="309">
        <f>SUM($D9:M9)/$C9/12</f>
        <v>0</v>
      </c>
      <c r="N32" s="309">
        <f>SUM($D9:N9)/$C9/12</f>
        <v>0</v>
      </c>
      <c r="O32" s="309">
        <f>SUM($D9:O9)/$C9/12</f>
        <v>0</v>
      </c>
      <c r="P32" s="347">
        <f t="shared" si="17"/>
        <v>0</v>
      </c>
      <c r="Q32" s="415"/>
    </row>
    <row r="33" spans="2:17" s="249" customFormat="1" x14ac:dyDescent="0.4">
      <c r="B33" s="112" t="str">
        <f t="shared" si="16"/>
        <v>5 gadu nolietojums</v>
      </c>
      <c r="C33" s="114"/>
      <c r="D33" s="309">
        <f>SUM($D10:D10)/$C10/12</f>
        <v>0</v>
      </c>
      <c r="E33" s="309">
        <f>SUM($D10:E10)/$C10/12</f>
        <v>0</v>
      </c>
      <c r="F33" s="309">
        <f>SUM($D10:F10)/$C10/12</f>
        <v>0</v>
      </c>
      <c r="G33" s="309">
        <f>SUM($D10:G10)/$C10/12</f>
        <v>0</v>
      </c>
      <c r="H33" s="309">
        <f>SUM($D10:H10)/$C10/12</f>
        <v>0</v>
      </c>
      <c r="I33" s="309">
        <f>SUM($D10:I10)/$C10/12</f>
        <v>0</v>
      </c>
      <c r="J33" s="309">
        <f>SUM($D10:J10)/$C10/12</f>
        <v>0</v>
      </c>
      <c r="K33" s="309">
        <f>SUM($D10:K10)/$C10/12</f>
        <v>0</v>
      </c>
      <c r="L33" s="309">
        <f>SUM($D10:L10)/$C10/12</f>
        <v>0</v>
      </c>
      <c r="M33" s="309">
        <f>SUM($D10:M10)/$C10/12</f>
        <v>0</v>
      </c>
      <c r="N33" s="309">
        <f>SUM($D10:N10)/$C10/12</f>
        <v>0</v>
      </c>
      <c r="O33" s="309">
        <f>SUM($D10:O10)/$C10/12</f>
        <v>0</v>
      </c>
      <c r="P33" s="347">
        <f t="shared" si="17"/>
        <v>0</v>
      </c>
      <c r="Q33" s="415"/>
    </row>
    <row r="34" spans="2:17" s="249" customFormat="1" x14ac:dyDescent="0.4">
      <c r="B34" s="112" t="str">
        <f t="shared" si="16"/>
        <v>6 gadu nolietojums</v>
      </c>
      <c r="C34" s="114"/>
      <c r="D34" s="309">
        <f>SUM($D11:D11)/$C11/12</f>
        <v>0</v>
      </c>
      <c r="E34" s="309">
        <f>SUM($D11:E11)/$C11/12</f>
        <v>0</v>
      </c>
      <c r="F34" s="309">
        <f>SUM($D11:F11)/$C11/12</f>
        <v>0</v>
      </c>
      <c r="G34" s="309">
        <f>SUM($D11:G11)/$C11/12</f>
        <v>0</v>
      </c>
      <c r="H34" s="309">
        <f>SUM($D11:H11)/$C11/12</f>
        <v>0</v>
      </c>
      <c r="I34" s="309">
        <f>SUM($D11:I11)/$C11/12</f>
        <v>0</v>
      </c>
      <c r="J34" s="309">
        <f>SUM($D11:J11)/$C11/12</f>
        <v>0</v>
      </c>
      <c r="K34" s="309">
        <f>SUM($D11:K11)/$C11/12</f>
        <v>0</v>
      </c>
      <c r="L34" s="309">
        <f>SUM($D11:L11)/$C11/12</f>
        <v>0</v>
      </c>
      <c r="M34" s="309">
        <f>SUM($D11:M11)/$C11/12</f>
        <v>0</v>
      </c>
      <c r="N34" s="309">
        <f>SUM($D11:N11)/$C11/12</f>
        <v>0</v>
      </c>
      <c r="O34" s="309">
        <f>SUM($D11:O11)/$C11/12</f>
        <v>0</v>
      </c>
      <c r="P34" s="347">
        <f t="shared" si="17"/>
        <v>0</v>
      </c>
      <c r="Q34" s="415"/>
    </row>
    <row r="35" spans="2:17" s="249" customFormat="1" x14ac:dyDescent="0.4">
      <c r="B35" s="112" t="str">
        <f t="shared" si="16"/>
        <v>8 gadu nolietojums</v>
      </c>
      <c r="C35" s="114"/>
      <c r="D35" s="309">
        <f>SUM($D12:D12)/$C12/12</f>
        <v>0</v>
      </c>
      <c r="E35" s="309">
        <f>SUM($D12:E12)/$C12/12</f>
        <v>0</v>
      </c>
      <c r="F35" s="309">
        <f>SUM($D12:F12)/$C12/12</f>
        <v>0</v>
      </c>
      <c r="G35" s="309">
        <f>SUM($D12:G12)/$C12/12</f>
        <v>0</v>
      </c>
      <c r="H35" s="309">
        <f>SUM($D12:H12)/$C12/12</f>
        <v>0</v>
      </c>
      <c r="I35" s="309">
        <f>SUM($D12:I12)/$C12/12</f>
        <v>0</v>
      </c>
      <c r="J35" s="309">
        <f>SUM($D12:J12)/$C12/12</f>
        <v>0</v>
      </c>
      <c r="K35" s="309">
        <f>SUM($D12:K12)/$C12/12</f>
        <v>0</v>
      </c>
      <c r="L35" s="309">
        <f>SUM($D12:L12)/$C12/12</f>
        <v>0</v>
      </c>
      <c r="M35" s="309">
        <f>SUM($D12:M12)/$C12/12</f>
        <v>0</v>
      </c>
      <c r="N35" s="309">
        <f>SUM($D12:N12)/$C12/12</f>
        <v>0</v>
      </c>
      <c r="O35" s="309">
        <f>SUM($D12:O12)/$C12/12</f>
        <v>0</v>
      </c>
      <c r="P35" s="347">
        <f t="shared" si="17"/>
        <v>0</v>
      </c>
      <c r="Q35" s="415"/>
    </row>
    <row r="36" spans="2:17" s="249" customFormat="1" x14ac:dyDescent="0.4">
      <c r="B36" s="112" t="str">
        <f t="shared" si="16"/>
        <v>10 gadu nolietojums</v>
      </c>
      <c r="C36" s="114"/>
      <c r="D36" s="309">
        <f>SUM($D13:D13)/$C13/12</f>
        <v>0</v>
      </c>
      <c r="E36" s="309">
        <f>SUM($D13:E13)/$C13/12</f>
        <v>0</v>
      </c>
      <c r="F36" s="309">
        <f>SUM($D13:F13)/$C13/12</f>
        <v>0</v>
      </c>
      <c r="G36" s="309">
        <f>SUM($D13:G13)/$C13/12</f>
        <v>0</v>
      </c>
      <c r="H36" s="309">
        <f>SUM($D13:H13)/$C13/12</f>
        <v>0</v>
      </c>
      <c r="I36" s="309">
        <f>SUM($D13:I13)/$C13/12</f>
        <v>0</v>
      </c>
      <c r="J36" s="309">
        <f>SUM($D13:J13)/$C13/12</f>
        <v>0</v>
      </c>
      <c r="K36" s="309">
        <f>SUM($D13:K13)/$C13/12</f>
        <v>0</v>
      </c>
      <c r="L36" s="309">
        <f>SUM($D13:L13)/$C13/12</f>
        <v>0</v>
      </c>
      <c r="M36" s="309">
        <f>SUM($D13:M13)/$C13/12</f>
        <v>0</v>
      </c>
      <c r="N36" s="309">
        <f>SUM($D13:N13)/$C13/12</f>
        <v>0</v>
      </c>
      <c r="O36" s="309">
        <f>SUM($D13:O13)/$C13/12</f>
        <v>0</v>
      </c>
      <c r="P36" s="347">
        <f t="shared" si="17"/>
        <v>0</v>
      </c>
      <c r="Q36" s="415"/>
    </row>
    <row r="37" spans="2:17" s="249" customFormat="1" x14ac:dyDescent="0.4">
      <c r="B37" s="113" t="str">
        <f t="shared" si="16"/>
        <v>33 gadu nolietojums</v>
      </c>
      <c r="C37" s="115"/>
      <c r="D37" s="310">
        <f>SUM($D14:D14)/$C14/12</f>
        <v>0</v>
      </c>
      <c r="E37" s="310">
        <f>SUM($D14:E14)/$C14/12</f>
        <v>0</v>
      </c>
      <c r="F37" s="310">
        <f>SUM($D14:F14)/$C14/12</f>
        <v>0</v>
      </c>
      <c r="G37" s="310">
        <f>SUM($D14:G14)/$C14/12</f>
        <v>0</v>
      </c>
      <c r="H37" s="310">
        <f>SUM($D14:H14)/$C14/12</f>
        <v>0</v>
      </c>
      <c r="I37" s="310">
        <f>SUM($D14:I14)/$C14/12</f>
        <v>0</v>
      </c>
      <c r="J37" s="310">
        <f>SUM($D14:J14)/$C14/12</f>
        <v>0</v>
      </c>
      <c r="K37" s="310">
        <f>SUM($D14:K14)/$C14/12</f>
        <v>0</v>
      </c>
      <c r="L37" s="310">
        <f>SUM($D14:L14)/$C14/12</f>
        <v>0</v>
      </c>
      <c r="M37" s="310">
        <f>SUM($D14:M14)/$C14/12</f>
        <v>0</v>
      </c>
      <c r="N37" s="310">
        <f>SUM($D14:N14)/$C14/12</f>
        <v>0</v>
      </c>
      <c r="O37" s="310">
        <f>SUM($D14:O14)/$C14/12</f>
        <v>0</v>
      </c>
      <c r="P37" s="348">
        <f t="shared" si="17"/>
        <v>0</v>
      </c>
      <c r="Q37" s="415"/>
    </row>
    <row r="38" spans="2:17" s="249" customFormat="1" x14ac:dyDescent="0.4">
      <c r="B38" s="112" t="str">
        <f>B16</f>
        <v>5 gadu amortizācija</v>
      </c>
      <c r="C38" s="114"/>
      <c r="D38" s="309">
        <f>SUM($D16:D16)/$C16/12</f>
        <v>0</v>
      </c>
      <c r="E38" s="309">
        <f>SUM($D16:E16)/$C16/12</f>
        <v>0</v>
      </c>
      <c r="F38" s="309">
        <f>SUM($D16:F16)/$C16/12</f>
        <v>0</v>
      </c>
      <c r="G38" s="309">
        <f>SUM($D16:G16)/$C16/12</f>
        <v>0</v>
      </c>
      <c r="H38" s="309">
        <f>SUM($D16:H16)/$C16/12</f>
        <v>0</v>
      </c>
      <c r="I38" s="309">
        <f>SUM($D16:I16)/$C16/12</f>
        <v>0</v>
      </c>
      <c r="J38" s="309">
        <f>SUM($D16:J16)/$C16/12</f>
        <v>0</v>
      </c>
      <c r="K38" s="309">
        <f>SUM($D16:K16)/$C16/12</f>
        <v>0</v>
      </c>
      <c r="L38" s="309">
        <f>SUM($D16:L16)/$C16/12</f>
        <v>0</v>
      </c>
      <c r="M38" s="309">
        <f>SUM($D16:M16)/$C16/12</f>
        <v>0</v>
      </c>
      <c r="N38" s="309">
        <f>SUM($D16:N16)/$C16/12</f>
        <v>0</v>
      </c>
      <c r="O38" s="309">
        <f>SUM($D16:O16)/$C16/12</f>
        <v>0</v>
      </c>
      <c r="P38" s="347">
        <f>SUM(D38:O38)</f>
        <v>0</v>
      </c>
      <c r="Q38" s="415"/>
    </row>
    <row r="39" spans="2:17" s="249" customFormat="1" x14ac:dyDescent="0.4">
      <c r="B39" s="112" t="str">
        <f>B17</f>
        <v>10 gadu amortizācija</v>
      </c>
      <c r="C39" s="114"/>
      <c r="D39" s="309">
        <f>SUM($D17:D17)/$C17/12</f>
        <v>0</v>
      </c>
      <c r="E39" s="309">
        <f>SUM($D17:E17)/$C17/12</f>
        <v>0</v>
      </c>
      <c r="F39" s="309">
        <f>SUM($D17:F17)/$C17/12</f>
        <v>0</v>
      </c>
      <c r="G39" s="309">
        <f>SUM($D17:G17)/$C17/12</f>
        <v>0</v>
      </c>
      <c r="H39" s="309">
        <f>SUM($D17:H17)/$C17/12</f>
        <v>0</v>
      </c>
      <c r="I39" s="309">
        <f>SUM($D17:I17)/$C17/12</f>
        <v>0</v>
      </c>
      <c r="J39" s="309">
        <f>SUM($D17:J17)/$C17/12</f>
        <v>0</v>
      </c>
      <c r="K39" s="309">
        <f>SUM($D17:K17)/$C17/12</f>
        <v>0</v>
      </c>
      <c r="L39" s="309">
        <f>SUM($D17:L17)/$C17/12</f>
        <v>0</v>
      </c>
      <c r="M39" s="309">
        <f>SUM($D17:M17)/$C17/12</f>
        <v>0</v>
      </c>
      <c r="N39" s="309">
        <f>SUM($D17:N17)/$C17/12</f>
        <v>0</v>
      </c>
      <c r="O39" s="309">
        <f>SUM($D17:O17)/$C17/12</f>
        <v>0</v>
      </c>
      <c r="P39" s="347">
        <f t="shared" ref="P39" si="18">SUM(D39:O39)</f>
        <v>0</v>
      </c>
      <c r="Q39" s="415"/>
    </row>
    <row r="40" spans="2:17" s="249" customFormat="1" x14ac:dyDescent="0.4">
      <c r="B40" s="113" t="str">
        <f>B18</f>
        <v>20 gadu amortizācija</v>
      </c>
      <c r="C40" s="115"/>
      <c r="D40" s="310">
        <f>SUM($D18:D18)/$C18/12</f>
        <v>0</v>
      </c>
      <c r="E40" s="310">
        <f>SUM($D18:E18)/$C18/12</f>
        <v>0</v>
      </c>
      <c r="F40" s="310">
        <f>SUM($D18:F18)/$C18/12</f>
        <v>0</v>
      </c>
      <c r="G40" s="310">
        <f>SUM($D18:G18)/$C18/12</f>
        <v>0</v>
      </c>
      <c r="H40" s="310">
        <f>SUM($D18:H18)/$C18/12</f>
        <v>0</v>
      </c>
      <c r="I40" s="310">
        <f>SUM($D18:I18)/$C18/12</f>
        <v>0</v>
      </c>
      <c r="J40" s="310">
        <f>SUM($D18:J18)/$C18/12</f>
        <v>0</v>
      </c>
      <c r="K40" s="310">
        <f>SUM($D18:K18)/$C18/12</f>
        <v>0</v>
      </c>
      <c r="L40" s="310">
        <f>SUM($D18:L18)/$C18/12</f>
        <v>0</v>
      </c>
      <c r="M40" s="310">
        <f>SUM($D18:M18)/$C18/12</f>
        <v>0</v>
      </c>
      <c r="N40" s="310">
        <f>SUM($D18:N18)/$C18/12</f>
        <v>0</v>
      </c>
      <c r="O40" s="310">
        <f>SUM($D18:O18)/$C18/12</f>
        <v>0</v>
      </c>
      <c r="P40" s="348">
        <f>SUM(D40:O40)</f>
        <v>0</v>
      </c>
      <c r="Q40" s="415"/>
    </row>
    <row r="41" spans="2:17" s="249" customFormat="1" x14ac:dyDescent="0.4">
      <c r="B41" s="248"/>
      <c r="C41" s="232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349"/>
      <c r="Q41" s="415"/>
    </row>
    <row r="42" spans="2:17" x14ac:dyDescent="0.4">
      <c r="B42" s="234"/>
      <c r="C42" s="251"/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351"/>
    </row>
    <row r="43" spans="2:17" x14ac:dyDescent="0.4">
      <c r="B43" s="193" t="s">
        <v>162</v>
      </c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</row>
    <row r="44" spans="2:17" x14ac:dyDescent="0.4">
      <c r="B44" s="395" t="s">
        <v>161</v>
      </c>
      <c r="C44" s="141" t="s">
        <v>164</v>
      </c>
      <c r="D44" s="143" t="str">
        <f t="shared" ref="D44:O44" si="19">D4</f>
        <v>Jan</v>
      </c>
      <c r="E44" s="143" t="str">
        <f t="shared" si="19"/>
        <v>Feb</v>
      </c>
      <c r="F44" s="143" t="str">
        <f t="shared" si="19"/>
        <v>Mar</v>
      </c>
      <c r="G44" s="143" t="str">
        <f t="shared" si="19"/>
        <v>Apr</v>
      </c>
      <c r="H44" s="143" t="str">
        <f t="shared" si="19"/>
        <v>May</v>
      </c>
      <c r="I44" s="143" t="str">
        <f t="shared" si="19"/>
        <v>Jun</v>
      </c>
      <c r="J44" s="143" t="str">
        <f t="shared" si="19"/>
        <v>Jul</v>
      </c>
      <c r="K44" s="143" t="str">
        <f t="shared" si="19"/>
        <v>Aug</v>
      </c>
      <c r="L44" s="143" t="str">
        <f t="shared" si="19"/>
        <v>Sep</v>
      </c>
      <c r="M44" s="143" t="str">
        <f t="shared" si="19"/>
        <v>Oct</v>
      </c>
      <c r="N44" s="143" t="str">
        <f t="shared" si="19"/>
        <v>Nov</v>
      </c>
      <c r="O44" s="143" t="str">
        <f t="shared" si="19"/>
        <v>Dec</v>
      </c>
      <c r="P44" s="143" t="s">
        <v>165</v>
      </c>
    </row>
    <row r="45" spans="2:17" x14ac:dyDescent="0.4">
      <c r="B45" s="119" t="s">
        <v>165</v>
      </c>
      <c r="C45" s="120"/>
      <c r="D45" s="276">
        <f>SUM(D46,D52)</f>
        <v>0</v>
      </c>
      <c r="E45" s="276">
        <f t="shared" ref="E45:O45" si="20">SUM(E46,E52)</f>
        <v>0</v>
      </c>
      <c r="F45" s="276">
        <f t="shared" si="20"/>
        <v>0</v>
      </c>
      <c r="G45" s="276">
        <f t="shared" si="20"/>
        <v>0</v>
      </c>
      <c r="H45" s="276">
        <f t="shared" si="20"/>
        <v>0</v>
      </c>
      <c r="I45" s="276">
        <f t="shared" si="20"/>
        <v>0</v>
      </c>
      <c r="J45" s="276">
        <f t="shared" si="20"/>
        <v>0</v>
      </c>
      <c r="K45" s="276">
        <f>SUM(K46,K52)</f>
        <v>0</v>
      </c>
      <c r="L45" s="276">
        <f t="shared" si="20"/>
        <v>0</v>
      </c>
      <c r="M45" s="276">
        <f t="shared" si="20"/>
        <v>0</v>
      </c>
      <c r="N45" s="276">
        <f t="shared" si="20"/>
        <v>0</v>
      </c>
      <c r="O45" s="276">
        <f t="shared" si="20"/>
        <v>0</v>
      </c>
      <c r="P45" s="348">
        <f t="shared" ref="P45:P54" si="21">SUM(D45:O45)</f>
        <v>0</v>
      </c>
    </row>
    <row r="46" spans="2:17" x14ac:dyDescent="0.4">
      <c r="B46" s="121" t="s">
        <v>166</v>
      </c>
      <c r="C46" s="122"/>
      <c r="D46" s="299">
        <f>SUM(D47:D51)</f>
        <v>0</v>
      </c>
      <c r="E46" s="299">
        <f t="shared" ref="E46:O46" si="22">SUM(E47:E51)</f>
        <v>0</v>
      </c>
      <c r="F46" s="299">
        <f t="shared" si="22"/>
        <v>0</v>
      </c>
      <c r="G46" s="299">
        <f t="shared" si="22"/>
        <v>0</v>
      </c>
      <c r="H46" s="299">
        <f t="shared" si="22"/>
        <v>0</v>
      </c>
      <c r="I46" s="299">
        <f t="shared" si="22"/>
        <v>0</v>
      </c>
      <c r="J46" s="299">
        <f t="shared" si="22"/>
        <v>0</v>
      </c>
      <c r="K46" s="299">
        <f t="shared" si="22"/>
        <v>0</v>
      </c>
      <c r="L46" s="299">
        <f t="shared" si="22"/>
        <v>0</v>
      </c>
      <c r="M46" s="299">
        <f t="shared" si="22"/>
        <v>0</v>
      </c>
      <c r="N46" s="299">
        <f t="shared" si="22"/>
        <v>0</v>
      </c>
      <c r="O46" s="299">
        <f t="shared" si="22"/>
        <v>0</v>
      </c>
      <c r="P46" s="352">
        <f t="shared" si="21"/>
        <v>0</v>
      </c>
    </row>
    <row r="47" spans="2:17" x14ac:dyDescent="0.4">
      <c r="B47" s="19" t="s">
        <v>170</v>
      </c>
      <c r="C47" s="397">
        <v>10</v>
      </c>
      <c r="D47" s="266">
        <v>0</v>
      </c>
      <c r="E47" s="266">
        <v>0</v>
      </c>
      <c r="F47" s="266">
        <v>0</v>
      </c>
      <c r="G47" s="266">
        <v>0</v>
      </c>
      <c r="H47" s="266">
        <v>0</v>
      </c>
      <c r="I47" s="266">
        <v>0</v>
      </c>
      <c r="J47" s="266">
        <v>0</v>
      </c>
      <c r="K47" s="266">
        <v>0</v>
      </c>
      <c r="L47" s="266">
        <v>0</v>
      </c>
      <c r="M47" s="266">
        <v>0</v>
      </c>
      <c r="N47" s="266">
        <v>0</v>
      </c>
      <c r="O47" s="266">
        <v>0</v>
      </c>
      <c r="P47" s="347">
        <f>SUM(D47:O47)</f>
        <v>0</v>
      </c>
    </row>
    <row r="48" spans="2:17" x14ac:dyDescent="0.4">
      <c r="B48" s="19" t="s">
        <v>171</v>
      </c>
      <c r="C48" s="397">
        <v>10</v>
      </c>
      <c r="D48" s="266">
        <v>0</v>
      </c>
      <c r="E48" s="266">
        <v>0</v>
      </c>
      <c r="F48" s="266">
        <v>0</v>
      </c>
      <c r="G48" s="266">
        <v>0</v>
      </c>
      <c r="H48" s="266">
        <v>0</v>
      </c>
      <c r="I48" s="266">
        <v>0</v>
      </c>
      <c r="J48" s="266">
        <v>0</v>
      </c>
      <c r="K48" s="266">
        <v>0</v>
      </c>
      <c r="L48" s="266">
        <v>0</v>
      </c>
      <c r="M48" s="266">
        <v>0</v>
      </c>
      <c r="N48" s="266">
        <v>0</v>
      </c>
      <c r="O48" s="266">
        <v>0</v>
      </c>
      <c r="P48" s="347">
        <f t="shared" si="21"/>
        <v>0</v>
      </c>
    </row>
    <row r="49" spans="2:16" x14ac:dyDescent="0.4">
      <c r="B49" s="19" t="s">
        <v>172</v>
      </c>
      <c r="C49" s="397">
        <v>15</v>
      </c>
      <c r="D49" s="266">
        <v>0</v>
      </c>
      <c r="E49" s="266">
        <v>0</v>
      </c>
      <c r="F49" s="266">
        <v>0</v>
      </c>
      <c r="G49" s="266">
        <v>0</v>
      </c>
      <c r="H49" s="266">
        <v>0</v>
      </c>
      <c r="I49" s="266">
        <v>0</v>
      </c>
      <c r="J49" s="266">
        <v>0</v>
      </c>
      <c r="K49" s="266">
        <v>0</v>
      </c>
      <c r="L49" s="266">
        <v>0</v>
      </c>
      <c r="M49" s="266">
        <v>0</v>
      </c>
      <c r="N49" s="266">
        <v>0</v>
      </c>
      <c r="O49" s="266">
        <v>0</v>
      </c>
      <c r="P49" s="347">
        <f t="shared" si="21"/>
        <v>0</v>
      </c>
    </row>
    <row r="50" spans="2:16" x14ac:dyDescent="0.4">
      <c r="B50" s="19" t="s">
        <v>173</v>
      </c>
      <c r="C50" s="397">
        <v>15</v>
      </c>
      <c r="D50" s="266">
        <v>0</v>
      </c>
      <c r="E50" s="266">
        <v>0</v>
      </c>
      <c r="F50" s="266">
        <v>0</v>
      </c>
      <c r="G50" s="266">
        <v>0</v>
      </c>
      <c r="H50" s="266">
        <v>0</v>
      </c>
      <c r="I50" s="266">
        <v>0</v>
      </c>
      <c r="J50" s="266">
        <v>0</v>
      </c>
      <c r="K50" s="266">
        <v>0</v>
      </c>
      <c r="L50" s="266">
        <v>0</v>
      </c>
      <c r="M50" s="266">
        <v>0</v>
      </c>
      <c r="N50" s="266">
        <v>0</v>
      </c>
      <c r="O50" s="266">
        <v>0</v>
      </c>
      <c r="P50" s="347">
        <f t="shared" si="21"/>
        <v>0</v>
      </c>
    </row>
    <row r="51" spans="2:16" x14ac:dyDescent="0.4">
      <c r="B51" s="19" t="s">
        <v>174</v>
      </c>
      <c r="C51" s="397">
        <v>20</v>
      </c>
      <c r="D51" s="266">
        <v>0</v>
      </c>
      <c r="E51" s="266">
        <v>0</v>
      </c>
      <c r="F51" s="266">
        <v>0</v>
      </c>
      <c r="G51" s="266">
        <v>0</v>
      </c>
      <c r="H51" s="266">
        <v>0</v>
      </c>
      <c r="I51" s="266">
        <v>0</v>
      </c>
      <c r="J51" s="266">
        <v>0</v>
      </c>
      <c r="K51" s="266">
        <v>0</v>
      </c>
      <c r="L51" s="266">
        <v>0</v>
      </c>
      <c r="M51" s="266">
        <v>0</v>
      </c>
      <c r="N51" s="266">
        <v>0</v>
      </c>
      <c r="O51" s="266">
        <v>0</v>
      </c>
      <c r="P51" s="347">
        <f t="shared" si="21"/>
        <v>0</v>
      </c>
    </row>
    <row r="52" spans="2:16" x14ac:dyDescent="0.4">
      <c r="B52" s="124" t="s">
        <v>167</v>
      </c>
      <c r="C52" s="125"/>
      <c r="D52" s="301">
        <f t="shared" ref="D52:O52" si="23">SUM(D53:D54)</f>
        <v>0</v>
      </c>
      <c r="E52" s="301">
        <f t="shared" si="23"/>
        <v>0</v>
      </c>
      <c r="F52" s="301">
        <f t="shared" si="23"/>
        <v>0</v>
      </c>
      <c r="G52" s="301">
        <f t="shared" si="23"/>
        <v>0</v>
      </c>
      <c r="H52" s="301">
        <f t="shared" si="23"/>
        <v>0</v>
      </c>
      <c r="I52" s="301">
        <f t="shared" si="23"/>
        <v>0</v>
      </c>
      <c r="J52" s="301">
        <f t="shared" si="23"/>
        <v>0</v>
      </c>
      <c r="K52" s="301">
        <f t="shared" si="23"/>
        <v>0</v>
      </c>
      <c r="L52" s="301">
        <f t="shared" si="23"/>
        <v>0</v>
      </c>
      <c r="M52" s="301">
        <f t="shared" si="23"/>
        <v>0</v>
      </c>
      <c r="N52" s="301">
        <f t="shared" si="23"/>
        <v>0</v>
      </c>
      <c r="O52" s="301">
        <f t="shared" si="23"/>
        <v>0</v>
      </c>
      <c r="P52" s="347">
        <f t="shared" si="21"/>
        <v>0</v>
      </c>
    </row>
    <row r="53" spans="2:16" x14ac:dyDescent="0.4">
      <c r="B53" s="19" t="s">
        <v>168</v>
      </c>
      <c r="C53" s="123" t="s">
        <v>3</v>
      </c>
      <c r="D53" s="266">
        <v>0</v>
      </c>
      <c r="E53" s="266">
        <v>0</v>
      </c>
      <c r="F53" s="266">
        <v>0</v>
      </c>
      <c r="G53" s="266">
        <v>0</v>
      </c>
      <c r="H53" s="266">
        <v>0</v>
      </c>
      <c r="I53" s="266">
        <v>0</v>
      </c>
      <c r="J53" s="266">
        <v>0</v>
      </c>
      <c r="K53" s="266">
        <v>0</v>
      </c>
      <c r="L53" s="266">
        <v>0</v>
      </c>
      <c r="M53" s="266">
        <v>0</v>
      </c>
      <c r="N53" s="266">
        <v>0</v>
      </c>
      <c r="O53" s="266">
        <v>0</v>
      </c>
      <c r="P53" s="347">
        <f t="shared" si="21"/>
        <v>0</v>
      </c>
    </row>
    <row r="54" spans="2:16" x14ac:dyDescent="0.4">
      <c r="B54" s="126" t="s">
        <v>169</v>
      </c>
      <c r="C54" s="127" t="s">
        <v>3</v>
      </c>
      <c r="D54" s="311">
        <v>0</v>
      </c>
      <c r="E54" s="311">
        <v>0</v>
      </c>
      <c r="F54" s="311">
        <v>0</v>
      </c>
      <c r="G54" s="311">
        <v>0</v>
      </c>
      <c r="H54" s="311">
        <v>0</v>
      </c>
      <c r="I54" s="311">
        <v>0</v>
      </c>
      <c r="J54" s="311">
        <v>0</v>
      </c>
      <c r="K54" s="311">
        <v>0</v>
      </c>
      <c r="L54" s="311">
        <v>0</v>
      </c>
      <c r="M54" s="311">
        <v>0</v>
      </c>
      <c r="N54" s="311">
        <v>0</v>
      </c>
      <c r="O54" s="311">
        <v>0</v>
      </c>
      <c r="P54" s="348">
        <f t="shared" si="21"/>
        <v>0</v>
      </c>
    </row>
    <row r="55" spans="2:16" x14ac:dyDescent="0.4">
      <c r="B55" s="234"/>
      <c r="C55" s="251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351"/>
    </row>
    <row r="56" spans="2:16" x14ac:dyDescent="0.4">
      <c r="B56" s="395" t="s">
        <v>176</v>
      </c>
      <c r="C56" s="141" t="s">
        <v>164</v>
      </c>
      <c r="D56" s="143" t="str">
        <f t="shared" ref="D56:O56" si="24">D4</f>
        <v>Jan</v>
      </c>
      <c r="E56" s="143" t="str">
        <f t="shared" si="24"/>
        <v>Feb</v>
      </c>
      <c r="F56" s="143" t="str">
        <f t="shared" si="24"/>
        <v>Mar</v>
      </c>
      <c r="G56" s="143" t="str">
        <f t="shared" si="24"/>
        <v>Apr</v>
      </c>
      <c r="H56" s="143" t="str">
        <f t="shared" si="24"/>
        <v>May</v>
      </c>
      <c r="I56" s="143" t="str">
        <f t="shared" si="24"/>
        <v>Jun</v>
      </c>
      <c r="J56" s="143" t="str">
        <f t="shared" si="24"/>
        <v>Jul</v>
      </c>
      <c r="K56" s="143" t="str">
        <f t="shared" si="24"/>
        <v>Aug</v>
      </c>
      <c r="L56" s="143" t="str">
        <f t="shared" si="24"/>
        <v>Sep</v>
      </c>
      <c r="M56" s="143" t="str">
        <f t="shared" si="24"/>
        <v>Oct</v>
      </c>
      <c r="N56" s="143" t="str">
        <f t="shared" si="24"/>
        <v>Nov</v>
      </c>
      <c r="O56" s="143" t="str">
        <f t="shared" si="24"/>
        <v>Dec</v>
      </c>
      <c r="P56" s="143" t="s">
        <v>165</v>
      </c>
    </row>
    <row r="57" spans="2:16" x14ac:dyDescent="0.4">
      <c r="B57" s="119" t="s">
        <v>165</v>
      </c>
      <c r="C57" s="120"/>
      <c r="D57" s="276">
        <f t="shared" ref="D57:O57" si="25">SUM(D58,D64)</f>
        <v>0</v>
      </c>
      <c r="E57" s="276">
        <f t="shared" si="25"/>
        <v>0</v>
      </c>
      <c r="F57" s="276">
        <f t="shared" si="25"/>
        <v>0</v>
      </c>
      <c r="G57" s="276">
        <f t="shared" si="25"/>
        <v>0</v>
      </c>
      <c r="H57" s="276">
        <f t="shared" si="25"/>
        <v>0</v>
      </c>
      <c r="I57" s="276">
        <f t="shared" si="25"/>
        <v>0</v>
      </c>
      <c r="J57" s="276">
        <f t="shared" si="25"/>
        <v>0</v>
      </c>
      <c r="K57" s="276">
        <f t="shared" si="25"/>
        <v>0</v>
      </c>
      <c r="L57" s="276">
        <f t="shared" si="25"/>
        <v>0</v>
      </c>
      <c r="M57" s="276">
        <f t="shared" si="25"/>
        <v>0</v>
      </c>
      <c r="N57" s="276">
        <f t="shared" si="25"/>
        <v>0</v>
      </c>
      <c r="O57" s="276">
        <f t="shared" si="25"/>
        <v>0</v>
      </c>
      <c r="P57" s="348">
        <f t="shared" ref="P57:P66" si="26">SUM(D57:O57)</f>
        <v>0</v>
      </c>
    </row>
    <row r="58" spans="2:16" x14ac:dyDescent="0.4">
      <c r="B58" s="121" t="s">
        <v>166</v>
      </c>
      <c r="C58" s="122"/>
      <c r="D58" s="299">
        <f>SUM(D59:D63)</f>
        <v>0</v>
      </c>
      <c r="E58" s="299">
        <f t="shared" ref="E58:O58" si="27">SUM(E59:E63)</f>
        <v>0</v>
      </c>
      <c r="F58" s="299">
        <f t="shared" si="27"/>
        <v>0</v>
      </c>
      <c r="G58" s="299">
        <f t="shared" si="27"/>
        <v>0</v>
      </c>
      <c r="H58" s="299">
        <f t="shared" si="27"/>
        <v>0</v>
      </c>
      <c r="I58" s="299">
        <f t="shared" si="27"/>
        <v>0</v>
      </c>
      <c r="J58" s="299">
        <f t="shared" si="27"/>
        <v>0</v>
      </c>
      <c r="K58" s="299">
        <f t="shared" si="27"/>
        <v>0</v>
      </c>
      <c r="L58" s="299">
        <f t="shared" si="27"/>
        <v>0</v>
      </c>
      <c r="M58" s="299">
        <f t="shared" si="27"/>
        <v>0</v>
      </c>
      <c r="N58" s="299">
        <f t="shared" si="27"/>
        <v>0</v>
      </c>
      <c r="O58" s="299">
        <f t="shared" si="27"/>
        <v>0</v>
      </c>
      <c r="P58" s="352">
        <f t="shared" si="26"/>
        <v>0</v>
      </c>
    </row>
    <row r="59" spans="2:16" x14ac:dyDescent="0.4">
      <c r="B59" s="19" t="s">
        <v>170</v>
      </c>
      <c r="C59" s="397">
        <v>10</v>
      </c>
      <c r="D59" s="266">
        <v>0</v>
      </c>
      <c r="E59" s="266">
        <v>0</v>
      </c>
      <c r="F59" s="266">
        <v>0</v>
      </c>
      <c r="G59" s="266">
        <v>0</v>
      </c>
      <c r="H59" s="266">
        <v>0</v>
      </c>
      <c r="I59" s="266">
        <v>0</v>
      </c>
      <c r="J59" s="266">
        <v>0</v>
      </c>
      <c r="K59" s="266">
        <v>0</v>
      </c>
      <c r="L59" s="266">
        <v>0</v>
      </c>
      <c r="M59" s="266">
        <v>0</v>
      </c>
      <c r="N59" s="266">
        <v>0</v>
      </c>
      <c r="O59" s="266">
        <v>0</v>
      </c>
      <c r="P59" s="347">
        <f t="shared" si="26"/>
        <v>0</v>
      </c>
    </row>
    <row r="60" spans="2:16" x14ac:dyDescent="0.4">
      <c r="B60" s="19" t="s">
        <v>171</v>
      </c>
      <c r="C60" s="397">
        <v>10</v>
      </c>
      <c r="D60" s="266">
        <v>0</v>
      </c>
      <c r="E60" s="266">
        <v>0</v>
      </c>
      <c r="F60" s="266">
        <v>0</v>
      </c>
      <c r="G60" s="266">
        <v>0</v>
      </c>
      <c r="H60" s="266">
        <v>0</v>
      </c>
      <c r="I60" s="266">
        <v>0</v>
      </c>
      <c r="J60" s="266">
        <v>0</v>
      </c>
      <c r="K60" s="266">
        <v>0</v>
      </c>
      <c r="L60" s="266">
        <v>0</v>
      </c>
      <c r="M60" s="266">
        <v>0</v>
      </c>
      <c r="N60" s="266">
        <v>0</v>
      </c>
      <c r="O60" s="266">
        <v>0</v>
      </c>
      <c r="P60" s="347">
        <f t="shared" si="26"/>
        <v>0</v>
      </c>
    </row>
    <row r="61" spans="2:16" x14ac:dyDescent="0.4">
      <c r="B61" s="19" t="s">
        <v>172</v>
      </c>
      <c r="C61" s="397">
        <v>15</v>
      </c>
      <c r="D61" s="266">
        <v>0</v>
      </c>
      <c r="E61" s="266">
        <v>0</v>
      </c>
      <c r="F61" s="266">
        <v>0</v>
      </c>
      <c r="G61" s="266">
        <v>0</v>
      </c>
      <c r="H61" s="266">
        <v>0</v>
      </c>
      <c r="I61" s="266">
        <v>0</v>
      </c>
      <c r="J61" s="266">
        <v>0</v>
      </c>
      <c r="K61" s="266">
        <v>0</v>
      </c>
      <c r="L61" s="266">
        <v>0</v>
      </c>
      <c r="M61" s="266">
        <v>0</v>
      </c>
      <c r="N61" s="266">
        <v>0</v>
      </c>
      <c r="O61" s="266">
        <v>0</v>
      </c>
      <c r="P61" s="347">
        <f t="shared" si="26"/>
        <v>0</v>
      </c>
    </row>
    <row r="62" spans="2:16" x14ac:dyDescent="0.4">
      <c r="B62" s="19" t="s">
        <v>173</v>
      </c>
      <c r="C62" s="397">
        <v>15</v>
      </c>
      <c r="D62" s="266">
        <v>0</v>
      </c>
      <c r="E62" s="266">
        <v>0</v>
      </c>
      <c r="F62" s="266">
        <v>0</v>
      </c>
      <c r="G62" s="266">
        <v>0</v>
      </c>
      <c r="H62" s="266">
        <v>0</v>
      </c>
      <c r="I62" s="266">
        <v>0</v>
      </c>
      <c r="J62" s="266">
        <v>0</v>
      </c>
      <c r="K62" s="266">
        <v>0</v>
      </c>
      <c r="L62" s="266">
        <v>0</v>
      </c>
      <c r="M62" s="266">
        <v>0</v>
      </c>
      <c r="N62" s="266">
        <v>0</v>
      </c>
      <c r="O62" s="266">
        <v>0</v>
      </c>
      <c r="P62" s="347">
        <f t="shared" si="26"/>
        <v>0</v>
      </c>
    </row>
    <row r="63" spans="2:16" x14ac:dyDescent="0.4">
      <c r="B63" s="19" t="s">
        <v>174</v>
      </c>
      <c r="C63" s="397">
        <v>20</v>
      </c>
      <c r="D63" s="266">
        <v>0</v>
      </c>
      <c r="E63" s="266">
        <v>0</v>
      </c>
      <c r="F63" s="266">
        <v>0</v>
      </c>
      <c r="G63" s="266">
        <v>0</v>
      </c>
      <c r="H63" s="266">
        <v>0</v>
      </c>
      <c r="I63" s="266">
        <v>0</v>
      </c>
      <c r="J63" s="266">
        <v>0</v>
      </c>
      <c r="K63" s="266">
        <v>0</v>
      </c>
      <c r="L63" s="266">
        <v>0</v>
      </c>
      <c r="M63" s="266">
        <v>0</v>
      </c>
      <c r="N63" s="266">
        <v>0</v>
      </c>
      <c r="O63" s="266">
        <v>0</v>
      </c>
      <c r="P63" s="347">
        <f t="shared" si="26"/>
        <v>0</v>
      </c>
    </row>
    <row r="64" spans="2:16" x14ac:dyDescent="0.4">
      <c r="B64" s="124" t="s">
        <v>167</v>
      </c>
      <c r="C64" s="125"/>
      <c r="D64" s="301">
        <f t="shared" ref="D64:O64" si="28">SUM(D65:D66)</f>
        <v>0</v>
      </c>
      <c r="E64" s="301">
        <f>SUM(E65:E66)</f>
        <v>0</v>
      </c>
      <c r="F64" s="301">
        <f t="shared" si="28"/>
        <v>0</v>
      </c>
      <c r="G64" s="301">
        <f t="shared" si="28"/>
        <v>0</v>
      </c>
      <c r="H64" s="301">
        <f t="shared" si="28"/>
        <v>0</v>
      </c>
      <c r="I64" s="301">
        <f t="shared" si="28"/>
        <v>0</v>
      </c>
      <c r="J64" s="301">
        <f t="shared" si="28"/>
        <v>0</v>
      </c>
      <c r="K64" s="301">
        <f t="shared" si="28"/>
        <v>0</v>
      </c>
      <c r="L64" s="301">
        <f t="shared" si="28"/>
        <v>0</v>
      </c>
      <c r="M64" s="301">
        <f t="shared" si="28"/>
        <v>0</v>
      </c>
      <c r="N64" s="301">
        <f t="shared" si="28"/>
        <v>0</v>
      </c>
      <c r="O64" s="301">
        <f t="shared" si="28"/>
        <v>0</v>
      </c>
      <c r="P64" s="347">
        <f t="shared" si="26"/>
        <v>0</v>
      </c>
    </row>
    <row r="65" spans="2:16" x14ac:dyDescent="0.4">
      <c r="B65" s="19" t="s">
        <v>168</v>
      </c>
      <c r="C65" s="123" t="s">
        <v>3</v>
      </c>
      <c r="D65" s="266">
        <v>0</v>
      </c>
      <c r="E65" s="266">
        <v>0</v>
      </c>
      <c r="F65" s="266">
        <v>0</v>
      </c>
      <c r="G65" s="266">
        <v>0</v>
      </c>
      <c r="H65" s="266">
        <v>0</v>
      </c>
      <c r="I65" s="266">
        <v>0</v>
      </c>
      <c r="J65" s="266">
        <v>0</v>
      </c>
      <c r="K65" s="266">
        <v>0</v>
      </c>
      <c r="L65" s="266">
        <v>0</v>
      </c>
      <c r="M65" s="266">
        <v>0</v>
      </c>
      <c r="N65" s="266">
        <v>0</v>
      </c>
      <c r="O65" s="266">
        <v>0</v>
      </c>
      <c r="P65" s="347">
        <f t="shared" si="26"/>
        <v>0</v>
      </c>
    </row>
    <row r="66" spans="2:16" x14ac:dyDescent="0.4">
      <c r="B66" s="126" t="s">
        <v>169</v>
      </c>
      <c r="C66" s="127" t="s">
        <v>3</v>
      </c>
      <c r="D66" s="311">
        <v>0</v>
      </c>
      <c r="E66" s="311">
        <v>0</v>
      </c>
      <c r="F66" s="311">
        <v>0</v>
      </c>
      <c r="G66" s="311">
        <v>0</v>
      </c>
      <c r="H66" s="311">
        <v>0</v>
      </c>
      <c r="I66" s="311">
        <v>0</v>
      </c>
      <c r="J66" s="311">
        <v>0</v>
      </c>
      <c r="K66" s="311">
        <v>0</v>
      </c>
      <c r="L66" s="311">
        <v>0</v>
      </c>
      <c r="M66" s="311">
        <v>0</v>
      </c>
      <c r="N66" s="311">
        <v>0</v>
      </c>
      <c r="O66" s="311">
        <v>0</v>
      </c>
      <c r="P66" s="348">
        <f t="shared" si="26"/>
        <v>0</v>
      </c>
    </row>
    <row r="67" spans="2:16" x14ac:dyDescent="0.4">
      <c r="B67" s="234"/>
      <c r="C67" s="251"/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351"/>
    </row>
    <row r="68" spans="2:16" x14ac:dyDescent="0.4">
      <c r="B68" s="395" t="s">
        <v>175</v>
      </c>
      <c r="C68" s="141" t="s">
        <v>164</v>
      </c>
      <c r="D68" s="143" t="str">
        <f t="shared" ref="D68:O68" si="29">D4</f>
        <v>Jan</v>
      </c>
      <c r="E68" s="143" t="str">
        <f t="shared" si="29"/>
        <v>Feb</v>
      </c>
      <c r="F68" s="143" t="str">
        <f t="shared" si="29"/>
        <v>Mar</v>
      </c>
      <c r="G68" s="143" t="str">
        <f t="shared" si="29"/>
        <v>Apr</v>
      </c>
      <c r="H68" s="143" t="str">
        <f t="shared" si="29"/>
        <v>May</v>
      </c>
      <c r="I68" s="143" t="str">
        <f t="shared" si="29"/>
        <v>Jun</v>
      </c>
      <c r="J68" s="143" t="str">
        <f t="shared" si="29"/>
        <v>Jul</v>
      </c>
      <c r="K68" s="143" t="str">
        <f t="shared" si="29"/>
        <v>Aug</v>
      </c>
      <c r="L68" s="143" t="str">
        <f t="shared" si="29"/>
        <v>Sep</v>
      </c>
      <c r="M68" s="143" t="str">
        <f t="shared" si="29"/>
        <v>Oct</v>
      </c>
      <c r="N68" s="143" t="str">
        <f t="shared" si="29"/>
        <v>Nov</v>
      </c>
      <c r="O68" s="143" t="str">
        <f t="shared" si="29"/>
        <v>Dec</v>
      </c>
      <c r="P68" s="143" t="s">
        <v>165</v>
      </c>
    </row>
    <row r="69" spans="2:16" x14ac:dyDescent="0.4">
      <c r="B69" s="119" t="s">
        <v>165</v>
      </c>
      <c r="C69" s="120"/>
      <c r="D69" s="276">
        <f t="shared" ref="D69:O69" si="30">SUM(D70,D76)</f>
        <v>0</v>
      </c>
      <c r="E69" s="276">
        <f t="shared" si="30"/>
        <v>0</v>
      </c>
      <c r="F69" s="276">
        <f t="shared" si="30"/>
        <v>0</v>
      </c>
      <c r="G69" s="276">
        <f t="shared" si="30"/>
        <v>0</v>
      </c>
      <c r="H69" s="276">
        <f t="shared" si="30"/>
        <v>0</v>
      </c>
      <c r="I69" s="276">
        <f t="shared" si="30"/>
        <v>0</v>
      </c>
      <c r="J69" s="276">
        <f t="shared" si="30"/>
        <v>0</v>
      </c>
      <c r="K69" s="276">
        <f t="shared" si="30"/>
        <v>0</v>
      </c>
      <c r="L69" s="276">
        <f t="shared" si="30"/>
        <v>0</v>
      </c>
      <c r="M69" s="276">
        <f t="shared" si="30"/>
        <v>0</v>
      </c>
      <c r="N69" s="276">
        <f t="shared" si="30"/>
        <v>0</v>
      </c>
      <c r="O69" s="276">
        <f t="shared" si="30"/>
        <v>0</v>
      </c>
      <c r="P69" s="348">
        <f t="shared" ref="P69:P78" si="31">SUM(D69:O69)</f>
        <v>0</v>
      </c>
    </row>
    <row r="70" spans="2:16" x14ac:dyDescent="0.4">
      <c r="B70" s="121" t="s">
        <v>166</v>
      </c>
      <c r="C70" s="122"/>
      <c r="D70" s="299">
        <f>SUM(D71:D75)</f>
        <v>0</v>
      </c>
      <c r="E70" s="299">
        <f t="shared" ref="E70:O70" si="32">SUM(E71:E75)</f>
        <v>0</v>
      </c>
      <c r="F70" s="299">
        <f t="shared" si="32"/>
        <v>0</v>
      </c>
      <c r="G70" s="299">
        <f t="shared" si="32"/>
        <v>0</v>
      </c>
      <c r="H70" s="299">
        <f t="shared" si="32"/>
        <v>0</v>
      </c>
      <c r="I70" s="299">
        <f t="shared" si="32"/>
        <v>0</v>
      </c>
      <c r="J70" s="299">
        <f t="shared" si="32"/>
        <v>0</v>
      </c>
      <c r="K70" s="299">
        <f t="shared" si="32"/>
        <v>0</v>
      </c>
      <c r="L70" s="299">
        <f t="shared" si="32"/>
        <v>0</v>
      </c>
      <c r="M70" s="299">
        <f t="shared" si="32"/>
        <v>0</v>
      </c>
      <c r="N70" s="299">
        <f t="shared" si="32"/>
        <v>0</v>
      </c>
      <c r="O70" s="299">
        <f t="shared" si="32"/>
        <v>0</v>
      </c>
      <c r="P70" s="352">
        <f t="shared" si="31"/>
        <v>0</v>
      </c>
    </row>
    <row r="71" spans="2:16" x14ac:dyDescent="0.4">
      <c r="B71" s="19" t="s">
        <v>170</v>
      </c>
      <c r="C71" s="397">
        <v>10</v>
      </c>
      <c r="D71" s="266">
        <v>0</v>
      </c>
      <c r="E71" s="266">
        <v>0</v>
      </c>
      <c r="F71" s="266">
        <v>0</v>
      </c>
      <c r="G71" s="266">
        <v>0</v>
      </c>
      <c r="H71" s="266">
        <v>0</v>
      </c>
      <c r="I71" s="266">
        <v>0</v>
      </c>
      <c r="J71" s="266">
        <v>0</v>
      </c>
      <c r="K71" s="266">
        <v>0</v>
      </c>
      <c r="L71" s="266">
        <v>0</v>
      </c>
      <c r="M71" s="266">
        <v>0</v>
      </c>
      <c r="N71" s="266">
        <v>0</v>
      </c>
      <c r="O71" s="266">
        <v>0</v>
      </c>
      <c r="P71" s="347">
        <f t="shared" si="31"/>
        <v>0</v>
      </c>
    </row>
    <row r="72" spans="2:16" x14ac:dyDescent="0.4">
      <c r="B72" s="19" t="s">
        <v>171</v>
      </c>
      <c r="C72" s="397">
        <v>10</v>
      </c>
      <c r="D72" s="266">
        <v>0</v>
      </c>
      <c r="E72" s="266">
        <v>0</v>
      </c>
      <c r="F72" s="266">
        <v>0</v>
      </c>
      <c r="G72" s="266">
        <v>0</v>
      </c>
      <c r="H72" s="266">
        <v>0</v>
      </c>
      <c r="I72" s="266">
        <v>0</v>
      </c>
      <c r="J72" s="266">
        <v>0</v>
      </c>
      <c r="K72" s="266">
        <v>0</v>
      </c>
      <c r="L72" s="266">
        <v>0</v>
      </c>
      <c r="M72" s="266">
        <v>0</v>
      </c>
      <c r="N72" s="266">
        <v>0</v>
      </c>
      <c r="O72" s="266">
        <v>0</v>
      </c>
      <c r="P72" s="347">
        <f t="shared" si="31"/>
        <v>0</v>
      </c>
    </row>
    <row r="73" spans="2:16" x14ac:dyDescent="0.4">
      <c r="B73" s="19" t="s">
        <v>172</v>
      </c>
      <c r="C73" s="397">
        <v>15</v>
      </c>
      <c r="D73" s="266">
        <v>0</v>
      </c>
      <c r="E73" s="266">
        <v>0</v>
      </c>
      <c r="F73" s="266">
        <v>0</v>
      </c>
      <c r="G73" s="266">
        <v>0</v>
      </c>
      <c r="H73" s="266">
        <v>0</v>
      </c>
      <c r="I73" s="266">
        <v>0</v>
      </c>
      <c r="J73" s="266">
        <v>0</v>
      </c>
      <c r="K73" s="266">
        <v>0</v>
      </c>
      <c r="L73" s="266">
        <v>0</v>
      </c>
      <c r="M73" s="266">
        <v>0</v>
      </c>
      <c r="N73" s="266">
        <v>0</v>
      </c>
      <c r="O73" s="266">
        <v>0</v>
      </c>
      <c r="P73" s="347">
        <f t="shared" si="31"/>
        <v>0</v>
      </c>
    </row>
    <row r="74" spans="2:16" x14ac:dyDescent="0.4">
      <c r="B74" s="19" t="s">
        <v>173</v>
      </c>
      <c r="C74" s="397">
        <v>15</v>
      </c>
      <c r="D74" s="266">
        <v>0</v>
      </c>
      <c r="E74" s="266">
        <v>0</v>
      </c>
      <c r="F74" s="266">
        <v>0</v>
      </c>
      <c r="G74" s="266">
        <v>0</v>
      </c>
      <c r="H74" s="266">
        <v>0</v>
      </c>
      <c r="I74" s="266">
        <v>0</v>
      </c>
      <c r="J74" s="266">
        <v>0</v>
      </c>
      <c r="K74" s="266">
        <v>0</v>
      </c>
      <c r="L74" s="266">
        <v>0</v>
      </c>
      <c r="M74" s="266">
        <v>0</v>
      </c>
      <c r="N74" s="266">
        <v>0</v>
      </c>
      <c r="O74" s="266">
        <v>0</v>
      </c>
      <c r="P74" s="347">
        <f t="shared" si="31"/>
        <v>0</v>
      </c>
    </row>
    <row r="75" spans="2:16" x14ac:dyDescent="0.4">
      <c r="B75" s="19" t="s">
        <v>174</v>
      </c>
      <c r="C75" s="397">
        <v>20</v>
      </c>
      <c r="D75" s="266">
        <v>0</v>
      </c>
      <c r="E75" s="266">
        <v>0</v>
      </c>
      <c r="F75" s="266">
        <v>0</v>
      </c>
      <c r="G75" s="266">
        <v>0</v>
      </c>
      <c r="H75" s="266">
        <v>0</v>
      </c>
      <c r="I75" s="266">
        <v>0</v>
      </c>
      <c r="J75" s="266">
        <v>0</v>
      </c>
      <c r="K75" s="266">
        <v>0</v>
      </c>
      <c r="L75" s="266">
        <v>0</v>
      </c>
      <c r="M75" s="266">
        <v>0</v>
      </c>
      <c r="N75" s="266">
        <v>0</v>
      </c>
      <c r="O75" s="266">
        <v>0</v>
      </c>
      <c r="P75" s="347">
        <f t="shared" si="31"/>
        <v>0</v>
      </c>
    </row>
    <row r="76" spans="2:16" x14ac:dyDescent="0.4">
      <c r="B76" s="124" t="s">
        <v>167</v>
      </c>
      <c r="C76" s="125"/>
      <c r="D76" s="301">
        <f t="shared" ref="D76:O76" si="33">SUM(D77:D78)</f>
        <v>0</v>
      </c>
      <c r="E76" s="301">
        <f t="shared" si="33"/>
        <v>0</v>
      </c>
      <c r="F76" s="301">
        <f t="shared" si="33"/>
        <v>0</v>
      </c>
      <c r="G76" s="301">
        <f t="shared" si="33"/>
        <v>0</v>
      </c>
      <c r="H76" s="301">
        <f t="shared" si="33"/>
        <v>0</v>
      </c>
      <c r="I76" s="301">
        <f t="shared" si="33"/>
        <v>0</v>
      </c>
      <c r="J76" s="301">
        <f t="shared" si="33"/>
        <v>0</v>
      </c>
      <c r="K76" s="301">
        <f t="shared" si="33"/>
        <v>0</v>
      </c>
      <c r="L76" s="301">
        <f t="shared" si="33"/>
        <v>0</v>
      </c>
      <c r="M76" s="301">
        <f t="shared" si="33"/>
        <v>0</v>
      </c>
      <c r="N76" s="301">
        <f t="shared" si="33"/>
        <v>0</v>
      </c>
      <c r="O76" s="301">
        <f t="shared" si="33"/>
        <v>0</v>
      </c>
      <c r="P76" s="347">
        <f t="shared" si="31"/>
        <v>0</v>
      </c>
    </row>
    <row r="77" spans="2:16" x14ac:dyDescent="0.4">
      <c r="B77" s="19" t="s">
        <v>168</v>
      </c>
      <c r="C77" s="123" t="s">
        <v>3</v>
      </c>
      <c r="D77" s="266">
        <v>0</v>
      </c>
      <c r="E77" s="266">
        <v>0</v>
      </c>
      <c r="F77" s="266">
        <v>0</v>
      </c>
      <c r="G77" s="266">
        <v>0</v>
      </c>
      <c r="H77" s="266">
        <v>0</v>
      </c>
      <c r="I77" s="266">
        <v>0</v>
      </c>
      <c r="J77" s="266">
        <v>0</v>
      </c>
      <c r="K77" s="266">
        <v>0</v>
      </c>
      <c r="L77" s="266">
        <v>0</v>
      </c>
      <c r="M77" s="266">
        <v>0</v>
      </c>
      <c r="N77" s="266">
        <v>0</v>
      </c>
      <c r="O77" s="266">
        <v>0</v>
      </c>
      <c r="P77" s="347">
        <f t="shared" si="31"/>
        <v>0</v>
      </c>
    </row>
    <row r="78" spans="2:16" x14ac:dyDescent="0.4">
      <c r="B78" s="126" t="s">
        <v>169</v>
      </c>
      <c r="C78" s="127" t="s">
        <v>3</v>
      </c>
      <c r="D78" s="311">
        <v>0</v>
      </c>
      <c r="E78" s="311">
        <v>0</v>
      </c>
      <c r="F78" s="311">
        <v>0</v>
      </c>
      <c r="G78" s="311">
        <v>0</v>
      </c>
      <c r="H78" s="311">
        <v>0</v>
      </c>
      <c r="I78" s="311">
        <v>0</v>
      </c>
      <c r="J78" s="311">
        <v>0</v>
      </c>
      <c r="K78" s="311">
        <v>0</v>
      </c>
      <c r="L78" s="311">
        <v>0</v>
      </c>
      <c r="M78" s="311">
        <v>0</v>
      </c>
      <c r="N78" s="311">
        <v>0</v>
      </c>
      <c r="O78" s="311">
        <v>0</v>
      </c>
      <c r="P78" s="348">
        <f t="shared" si="31"/>
        <v>0</v>
      </c>
    </row>
    <row r="79" spans="2:16" x14ac:dyDescent="0.4">
      <c r="B79" s="234"/>
      <c r="C79" s="251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351"/>
    </row>
    <row r="80" spans="2:16" x14ac:dyDescent="0.4">
      <c r="B80" s="193" t="s">
        <v>163</v>
      </c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</row>
    <row r="81" spans="2:16" x14ac:dyDescent="0.4">
      <c r="B81" s="395" t="s">
        <v>161</v>
      </c>
      <c r="C81" s="141" t="s">
        <v>164</v>
      </c>
      <c r="D81" s="143" t="str">
        <f t="shared" ref="D81:O81" si="34">D4</f>
        <v>Jan</v>
      </c>
      <c r="E81" s="143" t="str">
        <f t="shared" si="34"/>
        <v>Feb</v>
      </c>
      <c r="F81" s="143" t="str">
        <f t="shared" si="34"/>
        <v>Mar</v>
      </c>
      <c r="G81" s="143" t="str">
        <f t="shared" si="34"/>
        <v>Apr</v>
      </c>
      <c r="H81" s="143" t="str">
        <f t="shared" si="34"/>
        <v>May</v>
      </c>
      <c r="I81" s="143" t="str">
        <f t="shared" si="34"/>
        <v>Jun</v>
      </c>
      <c r="J81" s="143" t="str">
        <f t="shared" si="34"/>
        <v>Jul</v>
      </c>
      <c r="K81" s="143" t="str">
        <f t="shared" si="34"/>
        <v>Aug</v>
      </c>
      <c r="L81" s="143" t="str">
        <f t="shared" si="34"/>
        <v>Sep</v>
      </c>
      <c r="M81" s="143" t="str">
        <f t="shared" si="34"/>
        <v>Oct</v>
      </c>
      <c r="N81" s="143" t="str">
        <f t="shared" si="34"/>
        <v>Nov</v>
      </c>
      <c r="O81" s="143" t="str">
        <f t="shared" si="34"/>
        <v>Dec</v>
      </c>
      <c r="P81" s="143" t="s">
        <v>165</v>
      </c>
    </row>
    <row r="82" spans="2:16" x14ac:dyDescent="0.4">
      <c r="B82" s="119" t="s">
        <v>165</v>
      </c>
      <c r="C82" s="120"/>
      <c r="D82" s="276">
        <f t="shared" ref="D82:O82" si="35">SUM(D83,D89)</f>
        <v>0</v>
      </c>
      <c r="E82" s="276">
        <f t="shared" si="35"/>
        <v>0</v>
      </c>
      <c r="F82" s="276">
        <f t="shared" si="35"/>
        <v>0</v>
      </c>
      <c r="G82" s="276">
        <f t="shared" si="35"/>
        <v>0</v>
      </c>
      <c r="H82" s="276">
        <f t="shared" si="35"/>
        <v>0</v>
      </c>
      <c r="I82" s="276">
        <f t="shared" si="35"/>
        <v>0</v>
      </c>
      <c r="J82" s="276">
        <f t="shared" si="35"/>
        <v>0</v>
      </c>
      <c r="K82" s="276">
        <f t="shared" si="35"/>
        <v>0</v>
      </c>
      <c r="L82" s="276">
        <f t="shared" si="35"/>
        <v>0</v>
      </c>
      <c r="M82" s="276">
        <f t="shared" si="35"/>
        <v>0</v>
      </c>
      <c r="N82" s="276">
        <f t="shared" si="35"/>
        <v>0</v>
      </c>
      <c r="O82" s="276">
        <f t="shared" si="35"/>
        <v>0</v>
      </c>
      <c r="P82" s="348">
        <f t="shared" ref="P82:P91" si="36">SUM(D82:O82)</f>
        <v>0</v>
      </c>
    </row>
    <row r="83" spans="2:16" x14ac:dyDescent="0.4">
      <c r="B83" s="121" t="s">
        <v>166</v>
      </c>
      <c r="C83" s="122"/>
      <c r="D83" s="299">
        <f>SUM(D84:D88)</f>
        <v>0</v>
      </c>
      <c r="E83" s="299">
        <f t="shared" ref="E83:O83" si="37">SUM(E84:E88)</f>
        <v>0</v>
      </c>
      <c r="F83" s="299">
        <f t="shared" si="37"/>
        <v>0</v>
      </c>
      <c r="G83" s="299">
        <f t="shared" si="37"/>
        <v>0</v>
      </c>
      <c r="H83" s="299">
        <f t="shared" si="37"/>
        <v>0</v>
      </c>
      <c r="I83" s="299">
        <f t="shared" si="37"/>
        <v>0</v>
      </c>
      <c r="J83" s="299">
        <f t="shared" si="37"/>
        <v>0</v>
      </c>
      <c r="K83" s="299">
        <f t="shared" si="37"/>
        <v>0</v>
      </c>
      <c r="L83" s="299">
        <f t="shared" si="37"/>
        <v>0</v>
      </c>
      <c r="M83" s="299">
        <f t="shared" si="37"/>
        <v>0</v>
      </c>
      <c r="N83" s="299">
        <f t="shared" si="37"/>
        <v>0</v>
      </c>
      <c r="O83" s="299">
        <f t="shared" si="37"/>
        <v>0</v>
      </c>
      <c r="P83" s="352">
        <f t="shared" si="36"/>
        <v>0</v>
      </c>
    </row>
    <row r="84" spans="2:16" x14ac:dyDescent="0.4">
      <c r="B84" s="19" t="s">
        <v>170</v>
      </c>
      <c r="C84" s="397">
        <v>3</v>
      </c>
      <c r="D84" s="266">
        <v>0</v>
      </c>
      <c r="E84" s="266">
        <v>0</v>
      </c>
      <c r="F84" s="266">
        <v>0</v>
      </c>
      <c r="G84" s="266">
        <v>0</v>
      </c>
      <c r="H84" s="266">
        <v>0</v>
      </c>
      <c r="I84" s="266">
        <v>0</v>
      </c>
      <c r="J84" s="266">
        <v>0</v>
      </c>
      <c r="K84" s="266">
        <v>0</v>
      </c>
      <c r="L84" s="266">
        <v>0</v>
      </c>
      <c r="M84" s="266">
        <v>0</v>
      </c>
      <c r="N84" s="266">
        <v>0</v>
      </c>
      <c r="O84" s="266">
        <v>0</v>
      </c>
      <c r="P84" s="347">
        <f t="shared" si="36"/>
        <v>0</v>
      </c>
    </row>
    <row r="85" spans="2:16" x14ac:dyDescent="0.4">
      <c r="B85" s="19" t="s">
        <v>171</v>
      </c>
      <c r="C85" s="397">
        <v>5</v>
      </c>
      <c r="D85" s="266">
        <v>0</v>
      </c>
      <c r="E85" s="266">
        <v>0</v>
      </c>
      <c r="F85" s="266">
        <v>0</v>
      </c>
      <c r="G85" s="266">
        <v>0</v>
      </c>
      <c r="H85" s="266">
        <v>0</v>
      </c>
      <c r="I85" s="266">
        <v>0</v>
      </c>
      <c r="J85" s="266">
        <v>0</v>
      </c>
      <c r="K85" s="266">
        <v>0</v>
      </c>
      <c r="L85" s="266">
        <v>0</v>
      </c>
      <c r="M85" s="266">
        <v>0</v>
      </c>
      <c r="N85" s="266">
        <v>0</v>
      </c>
      <c r="O85" s="266">
        <v>0</v>
      </c>
      <c r="P85" s="347">
        <f t="shared" si="36"/>
        <v>0</v>
      </c>
    </row>
    <row r="86" spans="2:16" x14ac:dyDescent="0.4">
      <c r="B86" s="19" t="s">
        <v>172</v>
      </c>
      <c r="C86" s="397">
        <v>5</v>
      </c>
      <c r="D86" s="266">
        <v>0</v>
      </c>
      <c r="E86" s="266">
        <v>0</v>
      </c>
      <c r="F86" s="266">
        <v>0</v>
      </c>
      <c r="G86" s="266">
        <v>0</v>
      </c>
      <c r="H86" s="266">
        <v>0</v>
      </c>
      <c r="I86" s="266">
        <v>0</v>
      </c>
      <c r="J86" s="266">
        <v>0</v>
      </c>
      <c r="K86" s="266">
        <v>0</v>
      </c>
      <c r="L86" s="266">
        <v>0</v>
      </c>
      <c r="M86" s="266">
        <v>0</v>
      </c>
      <c r="N86" s="266">
        <v>0</v>
      </c>
      <c r="O86" s="266">
        <v>0</v>
      </c>
      <c r="P86" s="347">
        <f t="shared" si="36"/>
        <v>0</v>
      </c>
    </row>
    <row r="87" spans="2:16" x14ac:dyDescent="0.4">
      <c r="B87" s="19" t="s">
        <v>173</v>
      </c>
      <c r="C87" s="397">
        <v>5</v>
      </c>
      <c r="D87" s="266">
        <v>0</v>
      </c>
      <c r="E87" s="266">
        <v>0</v>
      </c>
      <c r="F87" s="266">
        <v>0</v>
      </c>
      <c r="G87" s="266">
        <v>0</v>
      </c>
      <c r="H87" s="266">
        <v>0</v>
      </c>
      <c r="I87" s="266">
        <v>0</v>
      </c>
      <c r="J87" s="266">
        <v>0</v>
      </c>
      <c r="K87" s="266">
        <v>0</v>
      </c>
      <c r="L87" s="266">
        <v>0</v>
      </c>
      <c r="M87" s="266">
        <v>0</v>
      </c>
      <c r="N87" s="266">
        <v>0</v>
      </c>
      <c r="O87" s="266">
        <v>0</v>
      </c>
      <c r="P87" s="347">
        <f t="shared" si="36"/>
        <v>0</v>
      </c>
    </row>
    <row r="88" spans="2:16" x14ac:dyDescent="0.4">
      <c r="B88" s="19" t="s">
        <v>174</v>
      </c>
      <c r="C88" s="397">
        <v>5</v>
      </c>
      <c r="D88" s="266">
        <v>0</v>
      </c>
      <c r="E88" s="266">
        <v>0</v>
      </c>
      <c r="F88" s="266">
        <v>0</v>
      </c>
      <c r="G88" s="266">
        <v>0</v>
      </c>
      <c r="H88" s="266">
        <v>0</v>
      </c>
      <c r="I88" s="266">
        <v>0</v>
      </c>
      <c r="J88" s="266">
        <v>0</v>
      </c>
      <c r="K88" s="266">
        <v>0</v>
      </c>
      <c r="L88" s="266">
        <v>0</v>
      </c>
      <c r="M88" s="266">
        <v>0</v>
      </c>
      <c r="N88" s="266">
        <v>0</v>
      </c>
      <c r="O88" s="266">
        <v>0</v>
      </c>
      <c r="P88" s="347">
        <f t="shared" si="36"/>
        <v>0</v>
      </c>
    </row>
    <row r="89" spans="2:16" x14ac:dyDescent="0.4">
      <c r="B89" s="124" t="s">
        <v>167</v>
      </c>
      <c r="C89" s="125"/>
      <c r="D89" s="301">
        <f t="shared" ref="D89:O89" si="38">SUM(D90:D91)</f>
        <v>0</v>
      </c>
      <c r="E89" s="301">
        <f t="shared" si="38"/>
        <v>0</v>
      </c>
      <c r="F89" s="301">
        <f t="shared" si="38"/>
        <v>0</v>
      </c>
      <c r="G89" s="301">
        <f t="shared" si="38"/>
        <v>0</v>
      </c>
      <c r="H89" s="301">
        <f t="shared" si="38"/>
        <v>0</v>
      </c>
      <c r="I89" s="301">
        <f t="shared" si="38"/>
        <v>0</v>
      </c>
      <c r="J89" s="301">
        <f t="shared" si="38"/>
        <v>0</v>
      </c>
      <c r="K89" s="301">
        <f t="shared" si="38"/>
        <v>0</v>
      </c>
      <c r="L89" s="301">
        <f t="shared" si="38"/>
        <v>0</v>
      </c>
      <c r="M89" s="301">
        <f t="shared" si="38"/>
        <v>0</v>
      </c>
      <c r="N89" s="301">
        <f t="shared" si="38"/>
        <v>0</v>
      </c>
      <c r="O89" s="301">
        <f t="shared" si="38"/>
        <v>0</v>
      </c>
      <c r="P89" s="347">
        <f t="shared" si="36"/>
        <v>0</v>
      </c>
    </row>
    <row r="90" spans="2:16" x14ac:dyDescent="0.4">
      <c r="B90" s="19" t="s">
        <v>168</v>
      </c>
      <c r="C90" s="123" t="s">
        <v>3</v>
      </c>
      <c r="D90" s="266">
        <v>0</v>
      </c>
      <c r="E90" s="266">
        <v>0</v>
      </c>
      <c r="F90" s="266">
        <v>0</v>
      </c>
      <c r="G90" s="266">
        <v>0</v>
      </c>
      <c r="H90" s="266">
        <v>0</v>
      </c>
      <c r="I90" s="266">
        <v>0</v>
      </c>
      <c r="J90" s="266">
        <v>0</v>
      </c>
      <c r="K90" s="266">
        <v>0</v>
      </c>
      <c r="L90" s="266">
        <v>0</v>
      </c>
      <c r="M90" s="266">
        <v>0</v>
      </c>
      <c r="N90" s="266">
        <v>0</v>
      </c>
      <c r="O90" s="266">
        <v>0</v>
      </c>
      <c r="P90" s="347">
        <f t="shared" si="36"/>
        <v>0</v>
      </c>
    </row>
    <row r="91" spans="2:16" x14ac:dyDescent="0.4">
      <c r="B91" s="126" t="s">
        <v>169</v>
      </c>
      <c r="C91" s="127" t="s">
        <v>3</v>
      </c>
      <c r="D91" s="311">
        <v>0</v>
      </c>
      <c r="E91" s="311">
        <v>0</v>
      </c>
      <c r="F91" s="311">
        <v>0</v>
      </c>
      <c r="G91" s="311">
        <v>0</v>
      </c>
      <c r="H91" s="311">
        <v>0</v>
      </c>
      <c r="I91" s="311">
        <v>0</v>
      </c>
      <c r="J91" s="311">
        <v>0</v>
      </c>
      <c r="K91" s="311">
        <v>0</v>
      </c>
      <c r="L91" s="311">
        <v>0</v>
      </c>
      <c r="M91" s="311">
        <v>0</v>
      </c>
      <c r="N91" s="311">
        <v>0</v>
      </c>
      <c r="O91" s="311">
        <v>0</v>
      </c>
      <c r="P91" s="348">
        <f t="shared" si="36"/>
        <v>0</v>
      </c>
    </row>
    <row r="92" spans="2:16" x14ac:dyDescent="0.4">
      <c r="B92" s="234"/>
      <c r="C92" s="251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351"/>
    </row>
    <row r="93" spans="2:16" x14ac:dyDescent="0.4">
      <c r="B93" s="395" t="s">
        <v>176</v>
      </c>
      <c r="C93" s="141" t="s">
        <v>164</v>
      </c>
      <c r="D93" s="143" t="str">
        <f t="shared" ref="D93:O93" si="39">D4</f>
        <v>Jan</v>
      </c>
      <c r="E93" s="143" t="str">
        <f t="shared" si="39"/>
        <v>Feb</v>
      </c>
      <c r="F93" s="143" t="str">
        <f t="shared" si="39"/>
        <v>Mar</v>
      </c>
      <c r="G93" s="143" t="str">
        <f t="shared" si="39"/>
        <v>Apr</v>
      </c>
      <c r="H93" s="143" t="str">
        <f t="shared" si="39"/>
        <v>May</v>
      </c>
      <c r="I93" s="143" t="str">
        <f t="shared" si="39"/>
        <v>Jun</v>
      </c>
      <c r="J93" s="143" t="str">
        <f t="shared" si="39"/>
        <v>Jul</v>
      </c>
      <c r="K93" s="143" t="str">
        <f t="shared" si="39"/>
        <v>Aug</v>
      </c>
      <c r="L93" s="143" t="str">
        <f t="shared" si="39"/>
        <v>Sep</v>
      </c>
      <c r="M93" s="143" t="str">
        <f t="shared" si="39"/>
        <v>Oct</v>
      </c>
      <c r="N93" s="143" t="str">
        <f t="shared" si="39"/>
        <v>Nov</v>
      </c>
      <c r="O93" s="143" t="str">
        <f t="shared" si="39"/>
        <v>Dec</v>
      </c>
      <c r="P93" s="143" t="s">
        <v>165</v>
      </c>
    </row>
    <row r="94" spans="2:16" x14ac:dyDescent="0.4">
      <c r="B94" s="119" t="s">
        <v>165</v>
      </c>
      <c r="C94" s="120"/>
      <c r="D94" s="276">
        <f t="shared" ref="D94:O94" si="40">SUM(D95,D101)</f>
        <v>0</v>
      </c>
      <c r="E94" s="276">
        <f t="shared" si="40"/>
        <v>0</v>
      </c>
      <c r="F94" s="276">
        <f t="shared" si="40"/>
        <v>0</v>
      </c>
      <c r="G94" s="276">
        <f t="shared" si="40"/>
        <v>0</v>
      </c>
      <c r="H94" s="276">
        <f t="shared" si="40"/>
        <v>0</v>
      </c>
      <c r="I94" s="276">
        <f t="shared" si="40"/>
        <v>0</v>
      </c>
      <c r="J94" s="276">
        <f t="shared" si="40"/>
        <v>0</v>
      </c>
      <c r="K94" s="276">
        <f t="shared" si="40"/>
        <v>0</v>
      </c>
      <c r="L94" s="276">
        <f t="shared" si="40"/>
        <v>0</v>
      </c>
      <c r="M94" s="276">
        <f t="shared" si="40"/>
        <v>0</v>
      </c>
      <c r="N94" s="276">
        <f t="shared" si="40"/>
        <v>0</v>
      </c>
      <c r="O94" s="276">
        <f t="shared" si="40"/>
        <v>0</v>
      </c>
      <c r="P94" s="348">
        <f t="shared" ref="P94:P103" si="41">SUM(D94:O94)</f>
        <v>0</v>
      </c>
    </row>
    <row r="95" spans="2:16" x14ac:dyDescent="0.4">
      <c r="B95" s="121" t="s">
        <v>166</v>
      </c>
      <c r="C95" s="122"/>
      <c r="D95" s="299">
        <f>SUM(D96:D100)</f>
        <v>0</v>
      </c>
      <c r="E95" s="299">
        <f t="shared" ref="E95:O95" si="42">SUM(E96:E100)</f>
        <v>0</v>
      </c>
      <c r="F95" s="299">
        <f t="shared" si="42"/>
        <v>0</v>
      </c>
      <c r="G95" s="299">
        <f t="shared" si="42"/>
        <v>0</v>
      </c>
      <c r="H95" s="299">
        <f t="shared" si="42"/>
        <v>0</v>
      </c>
      <c r="I95" s="299">
        <f t="shared" si="42"/>
        <v>0</v>
      </c>
      <c r="J95" s="299">
        <f t="shared" si="42"/>
        <v>0</v>
      </c>
      <c r="K95" s="299">
        <f t="shared" si="42"/>
        <v>0</v>
      </c>
      <c r="L95" s="299">
        <f t="shared" si="42"/>
        <v>0</v>
      </c>
      <c r="M95" s="299">
        <f t="shared" si="42"/>
        <v>0</v>
      </c>
      <c r="N95" s="299">
        <f t="shared" si="42"/>
        <v>0</v>
      </c>
      <c r="O95" s="299">
        <f t="shared" si="42"/>
        <v>0</v>
      </c>
      <c r="P95" s="352">
        <f t="shared" si="41"/>
        <v>0</v>
      </c>
    </row>
    <row r="96" spans="2:16" x14ac:dyDescent="0.4">
      <c r="B96" s="19" t="s">
        <v>264</v>
      </c>
      <c r="C96" s="397">
        <v>5</v>
      </c>
      <c r="D96" s="266">
        <v>0</v>
      </c>
      <c r="E96" s="266">
        <v>0</v>
      </c>
      <c r="F96" s="266">
        <v>0</v>
      </c>
      <c r="G96" s="266">
        <v>0</v>
      </c>
      <c r="H96" s="266">
        <v>0</v>
      </c>
      <c r="I96" s="266">
        <v>0</v>
      </c>
      <c r="J96" s="266">
        <v>0</v>
      </c>
      <c r="K96" s="266">
        <v>0</v>
      </c>
      <c r="L96" s="266">
        <v>0</v>
      </c>
      <c r="M96" s="266">
        <v>0</v>
      </c>
      <c r="N96" s="266">
        <v>0</v>
      </c>
      <c r="O96" s="266">
        <v>0</v>
      </c>
      <c r="P96" s="347">
        <f t="shared" si="41"/>
        <v>0</v>
      </c>
    </row>
    <row r="97" spans="2:16" x14ac:dyDescent="0.4">
      <c r="B97" s="19" t="s">
        <v>171</v>
      </c>
      <c r="C97" s="397">
        <v>5</v>
      </c>
      <c r="D97" s="266">
        <v>0</v>
      </c>
      <c r="E97" s="266">
        <v>0</v>
      </c>
      <c r="F97" s="266">
        <v>0</v>
      </c>
      <c r="G97" s="266">
        <v>0</v>
      </c>
      <c r="H97" s="266">
        <v>0</v>
      </c>
      <c r="I97" s="266">
        <v>0</v>
      </c>
      <c r="J97" s="266">
        <v>0</v>
      </c>
      <c r="K97" s="266">
        <v>0</v>
      </c>
      <c r="L97" s="266">
        <v>0</v>
      </c>
      <c r="M97" s="266">
        <v>0</v>
      </c>
      <c r="N97" s="266">
        <v>0</v>
      </c>
      <c r="O97" s="266">
        <v>0</v>
      </c>
      <c r="P97" s="347">
        <f t="shared" si="41"/>
        <v>0</v>
      </c>
    </row>
    <row r="98" spans="2:16" x14ac:dyDescent="0.4">
      <c r="B98" s="19" t="s">
        <v>172</v>
      </c>
      <c r="C98" s="397">
        <v>5</v>
      </c>
      <c r="D98" s="266">
        <v>0</v>
      </c>
      <c r="E98" s="266">
        <v>0</v>
      </c>
      <c r="F98" s="266">
        <v>0</v>
      </c>
      <c r="G98" s="266">
        <v>0</v>
      </c>
      <c r="H98" s="266">
        <v>0</v>
      </c>
      <c r="I98" s="266">
        <v>0</v>
      </c>
      <c r="J98" s="266">
        <v>0</v>
      </c>
      <c r="K98" s="266">
        <v>0</v>
      </c>
      <c r="L98" s="266">
        <v>0</v>
      </c>
      <c r="M98" s="266">
        <v>0</v>
      </c>
      <c r="N98" s="266">
        <v>0</v>
      </c>
      <c r="O98" s="266">
        <v>0</v>
      </c>
      <c r="P98" s="347">
        <f t="shared" si="41"/>
        <v>0</v>
      </c>
    </row>
    <row r="99" spans="2:16" x14ac:dyDescent="0.4">
      <c r="B99" s="19" t="s">
        <v>173</v>
      </c>
      <c r="C99" s="397">
        <v>5</v>
      </c>
      <c r="D99" s="266">
        <v>0</v>
      </c>
      <c r="E99" s="266">
        <v>0</v>
      </c>
      <c r="F99" s="266">
        <v>0</v>
      </c>
      <c r="G99" s="266">
        <v>0</v>
      </c>
      <c r="H99" s="266">
        <v>0</v>
      </c>
      <c r="I99" s="266">
        <v>0</v>
      </c>
      <c r="J99" s="266">
        <v>0</v>
      </c>
      <c r="K99" s="266">
        <v>0</v>
      </c>
      <c r="L99" s="266">
        <v>0</v>
      </c>
      <c r="M99" s="266">
        <v>0</v>
      </c>
      <c r="N99" s="266">
        <v>0</v>
      </c>
      <c r="O99" s="266">
        <v>0</v>
      </c>
      <c r="P99" s="347">
        <f t="shared" si="41"/>
        <v>0</v>
      </c>
    </row>
    <row r="100" spans="2:16" x14ac:dyDescent="0.4">
      <c r="B100" s="19" t="s">
        <v>174</v>
      </c>
      <c r="C100" s="397">
        <v>5</v>
      </c>
      <c r="D100" s="266">
        <v>0</v>
      </c>
      <c r="E100" s="266">
        <v>0</v>
      </c>
      <c r="F100" s="266">
        <v>0</v>
      </c>
      <c r="G100" s="266">
        <v>0</v>
      </c>
      <c r="H100" s="266">
        <v>0</v>
      </c>
      <c r="I100" s="266">
        <v>0</v>
      </c>
      <c r="J100" s="266">
        <v>0</v>
      </c>
      <c r="K100" s="266">
        <v>0</v>
      </c>
      <c r="L100" s="266">
        <v>0</v>
      </c>
      <c r="M100" s="266">
        <v>0</v>
      </c>
      <c r="N100" s="266">
        <v>0</v>
      </c>
      <c r="O100" s="266">
        <v>0</v>
      </c>
      <c r="P100" s="347">
        <f t="shared" si="41"/>
        <v>0</v>
      </c>
    </row>
    <row r="101" spans="2:16" x14ac:dyDescent="0.4">
      <c r="B101" s="124" t="s">
        <v>167</v>
      </c>
      <c r="C101" s="125"/>
      <c r="D101" s="301">
        <f t="shared" ref="D101:O101" si="43">SUM(D102:D103)</f>
        <v>0</v>
      </c>
      <c r="E101" s="301">
        <f t="shared" si="43"/>
        <v>0</v>
      </c>
      <c r="F101" s="301">
        <f t="shared" si="43"/>
        <v>0</v>
      </c>
      <c r="G101" s="301">
        <f t="shared" si="43"/>
        <v>0</v>
      </c>
      <c r="H101" s="301">
        <f t="shared" si="43"/>
        <v>0</v>
      </c>
      <c r="I101" s="301">
        <f t="shared" si="43"/>
        <v>0</v>
      </c>
      <c r="J101" s="301">
        <f t="shared" si="43"/>
        <v>0</v>
      </c>
      <c r="K101" s="301">
        <f t="shared" si="43"/>
        <v>0</v>
      </c>
      <c r="L101" s="301">
        <f t="shared" si="43"/>
        <v>0</v>
      </c>
      <c r="M101" s="301">
        <f t="shared" si="43"/>
        <v>0</v>
      </c>
      <c r="N101" s="301">
        <f t="shared" si="43"/>
        <v>0</v>
      </c>
      <c r="O101" s="301">
        <f t="shared" si="43"/>
        <v>0</v>
      </c>
      <c r="P101" s="347">
        <f t="shared" si="41"/>
        <v>0</v>
      </c>
    </row>
    <row r="102" spans="2:16" x14ac:dyDescent="0.4">
      <c r="B102" s="19" t="s">
        <v>168</v>
      </c>
      <c r="C102" s="123" t="s">
        <v>3</v>
      </c>
      <c r="D102" s="266">
        <v>0</v>
      </c>
      <c r="E102" s="266">
        <v>0</v>
      </c>
      <c r="F102" s="266">
        <v>0</v>
      </c>
      <c r="G102" s="266">
        <v>0</v>
      </c>
      <c r="H102" s="266">
        <v>0</v>
      </c>
      <c r="I102" s="266">
        <v>0</v>
      </c>
      <c r="J102" s="266">
        <v>0</v>
      </c>
      <c r="K102" s="266">
        <v>0</v>
      </c>
      <c r="L102" s="266">
        <v>0</v>
      </c>
      <c r="M102" s="266">
        <v>0</v>
      </c>
      <c r="N102" s="266">
        <v>0</v>
      </c>
      <c r="O102" s="266">
        <v>0</v>
      </c>
      <c r="P102" s="347">
        <f t="shared" si="41"/>
        <v>0</v>
      </c>
    </row>
    <row r="103" spans="2:16" x14ac:dyDescent="0.4">
      <c r="B103" s="126" t="s">
        <v>169</v>
      </c>
      <c r="C103" s="127" t="s">
        <v>3</v>
      </c>
      <c r="D103" s="311">
        <v>0</v>
      </c>
      <c r="E103" s="311">
        <v>0</v>
      </c>
      <c r="F103" s="311">
        <v>0</v>
      </c>
      <c r="G103" s="311">
        <v>0</v>
      </c>
      <c r="H103" s="311">
        <v>0</v>
      </c>
      <c r="I103" s="311">
        <v>0</v>
      </c>
      <c r="J103" s="311">
        <v>0</v>
      </c>
      <c r="K103" s="311">
        <v>0</v>
      </c>
      <c r="L103" s="311">
        <v>0</v>
      </c>
      <c r="M103" s="311">
        <v>0</v>
      </c>
      <c r="N103" s="311">
        <v>0</v>
      </c>
      <c r="O103" s="311">
        <v>0</v>
      </c>
      <c r="P103" s="348">
        <f t="shared" si="41"/>
        <v>0</v>
      </c>
    </row>
    <row r="104" spans="2:16" x14ac:dyDescent="0.4"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353"/>
    </row>
    <row r="105" spans="2:16" x14ac:dyDescent="0.4">
      <c r="B105" s="395" t="s">
        <v>175</v>
      </c>
      <c r="C105" s="141" t="s">
        <v>164</v>
      </c>
      <c r="D105" s="133" t="str">
        <f t="shared" ref="D105:O105" si="44">D4</f>
        <v>Jan</v>
      </c>
      <c r="E105" s="133" t="str">
        <f t="shared" si="44"/>
        <v>Feb</v>
      </c>
      <c r="F105" s="133" t="str">
        <f t="shared" si="44"/>
        <v>Mar</v>
      </c>
      <c r="G105" s="133" t="str">
        <f t="shared" si="44"/>
        <v>Apr</v>
      </c>
      <c r="H105" s="133" t="str">
        <f t="shared" si="44"/>
        <v>May</v>
      </c>
      <c r="I105" s="133" t="str">
        <f t="shared" si="44"/>
        <v>Jun</v>
      </c>
      <c r="J105" s="133" t="str">
        <f t="shared" si="44"/>
        <v>Jul</v>
      </c>
      <c r="K105" s="133" t="str">
        <f t="shared" si="44"/>
        <v>Aug</v>
      </c>
      <c r="L105" s="133" t="str">
        <f t="shared" si="44"/>
        <v>Sep</v>
      </c>
      <c r="M105" s="133" t="str">
        <f t="shared" si="44"/>
        <v>Oct</v>
      </c>
      <c r="N105" s="133" t="str">
        <f t="shared" si="44"/>
        <v>Nov</v>
      </c>
      <c r="O105" s="133" t="str">
        <f t="shared" si="44"/>
        <v>Dec</v>
      </c>
      <c r="P105" s="143" t="s">
        <v>165</v>
      </c>
    </row>
    <row r="106" spans="2:16" x14ac:dyDescent="0.4">
      <c r="B106" s="119" t="s">
        <v>165</v>
      </c>
      <c r="C106" s="120"/>
      <c r="D106" s="276">
        <f t="shared" ref="D106:O106" si="45">SUM(D107,D113)</f>
        <v>0</v>
      </c>
      <c r="E106" s="276">
        <f t="shared" si="45"/>
        <v>0</v>
      </c>
      <c r="F106" s="276">
        <f t="shared" si="45"/>
        <v>0</v>
      </c>
      <c r="G106" s="276">
        <f t="shared" si="45"/>
        <v>0</v>
      </c>
      <c r="H106" s="276">
        <f t="shared" si="45"/>
        <v>0</v>
      </c>
      <c r="I106" s="276">
        <f t="shared" si="45"/>
        <v>0</v>
      </c>
      <c r="J106" s="276">
        <f t="shared" si="45"/>
        <v>0</v>
      </c>
      <c r="K106" s="276">
        <f t="shared" si="45"/>
        <v>0</v>
      </c>
      <c r="L106" s="276">
        <f t="shared" si="45"/>
        <v>0</v>
      </c>
      <c r="M106" s="276">
        <f t="shared" si="45"/>
        <v>0</v>
      </c>
      <c r="N106" s="276">
        <f t="shared" si="45"/>
        <v>0</v>
      </c>
      <c r="O106" s="276">
        <f t="shared" si="45"/>
        <v>0</v>
      </c>
      <c r="P106" s="348">
        <f t="shared" ref="P106:P115" si="46">SUM(D106:O106)</f>
        <v>0</v>
      </c>
    </row>
    <row r="107" spans="2:16" x14ac:dyDescent="0.4">
      <c r="B107" s="121" t="s">
        <v>166</v>
      </c>
      <c r="C107" s="122"/>
      <c r="D107" s="299">
        <f>SUM(D108:D112)</f>
        <v>0</v>
      </c>
      <c r="E107" s="299">
        <f t="shared" ref="E107:O107" si="47">SUM(E108:E112)</f>
        <v>0</v>
      </c>
      <c r="F107" s="299">
        <f t="shared" si="47"/>
        <v>0</v>
      </c>
      <c r="G107" s="299">
        <f t="shared" si="47"/>
        <v>0</v>
      </c>
      <c r="H107" s="299">
        <f t="shared" si="47"/>
        <v>0</v>
      </c>
      <c r="I107" s="299">
        <f t="shared" si="47"/>
        <v>0</v>
      </c>
      <c r="J107" s="299">
        <f t="shared" si="47"/>
        <v>0</v>
      </c>
      <c r="K107" s="299">
        <f t="shared" si="47"/>
        <v>0</v>
      </c>
      <c r="L107" s="299">
        <f t="shared" si="47"/>
        <v>0</v>
      </c>
      <c r="M107" s="299">
        <f t="shared" si="47"/>
        <v>0</v>
      </c>
      <c r="N107" s="299">
        <f t="shared" si="47"/>
        <v>0</v>
      </c>
      <c r="O107" s="299">
        <f t="shared" si="47"/>
        <v>0</v>
      </c>
      <c r="P107" s="352">
        <f t="shared" si="46"/>
        <v>0</v>
      </c>
    </row>
    <row r="108" spans="2:16" x14ac:dyDescent="0.4">
      <c r="B108" s="19" t="s">
        <v>170</v>
      </c>
      <c r="C108" s="397">
        <v>3</v>
      </c>
      <c r="D108" s="266">
        <v>0</v>
      </c>
      <c r="E108" s="266">
        <v>0</v>
      </c>
      <c r="F108" s="266">
        <v>0</v>
      </c>
      <c r="G108" s="266">
        <v>0</v>
      </c>
      <c r="H108" s="266">
        <v>0</v>
      </c>
      <c r="I108" s="266">
        <v>0</v>
      </c>
      <c r="J108" s="266">
        <v>0</v>
      </c>
      <c r="K108" s="266">
        <v>0</v>
      </c>
      <c r="L108" s="266">
        <v>0</v>
      </c>
      <c r="M108" s="266">
        <v>0</v>
      </c>
      <c r="N108" s="266">
        <v>0</v>
      </c>
      <c r="O108" s="266">
        <v>0</v>
      </c>
      <c r="P108" s="347">
        <f t="shared" si="46"/>
        <v>0</v>
      </c>
    </row>
    <row r="109" spans="2:16" x14ac:dyDescent="0.4">
      <c r="B109" s="19" t="s">
        <v>171</v>
      </c>
      <c r="C109" s="397">
        <v>5</v>
      </c>
      <c r="D109" s="266">
        <v>0</v>
      </c>
      <c r="E109" s="266">
        <v>0</v>
      </c>
      <c r="F109" s="266">
        <v>0</v>
      </c>
      <c r="G109" s="266">
        <v>0</v>
      </c>
      <c r="H109" s="266">
        <v>0</v>
      </c>
      <c r="I109" s="266">
        <v>0</v>
      </c>
      <c r="J109" s="266">
        <v>0</v>
      </c>
      <c r="K109" s="266">
        <v>0</v>
      </c>
      <c r="L109" s="266">
        <v>0</v>
      </c>
      <c r="M109" s="266">
        <v>0</v>
      </c>
      <c r="N109" s="266">
        <v>0</v>
      </c>
      <c r="O109" s="266">
        <v>0</v>
      </c>
      <c r="P109" s="347">
        <f t="shared" si="46"/>
        <v>0</v>
      </c>
    </row>
    <row r="110" spans="2:16" x14ac:dyDescent="0.4">
      <c r="B110" s="19" t="s">
        <v>172</v>
      </c>
      <c r="C110" s="397">
        <v>5</v>
      </c>
      <c r="D110" s="266">
        <v>0</v>
      </c>
      <c r="E110" s="266">
        <v>0</v>
      </c>
      <c r="F110" s="266">
        <v>0</v>
      </c>
      <c r="G110" s="266">
        <v>0</v>
      </c>
      <c r="H110" s="266">
        <v>0</v>
      </c>
      <c r="I110" s="266">
        <v>0</v>
      </c>
      <c r="J110" s="266">
        <v>0</v>
      </c>
      <c r="K110" s="266">
        <v>0</v>
      </c>
      <c r="L110" s="266">
        <v>0</v>
      </c>
      <c r="M110" s="266">
        <v>0</v>
      </c>
      <c r="N110" s="266">
        <v>0</v>
      </c>
      <c r="O110" s="266">
        <v>0</v>
      </c>
      <c r="P110" s="347">
        <f t="shared" si="46"/>
        <v>0</v>
      </c>
    </row>
    <row r="111" spans="2:16" x14ac:dyDescent="0.4">
      <c r="B111" s="19" t="s">
        <v>173</v>
      </c>
      <c r="C111" s="397">
        <v>5</v>
      </c>
      <c r="D111" s="266">
        <v>0</v>
      </c>
      <c r="E111" s="266">
        <v>0</v>
      </c>
      <c r="F111" s="266">
        <v>0</v>
      </c>
      <c r="G111" s="266">
        <v>0</v>
      </c>
      <c r="H111" s="266">
        <v>0</v>
      </c>
      <c r="I111" s="266">
        <v>0</v>
      </c>
      <c r="J111" s="266">
        <v>0</v>
      </c>
      <c r="K111" s="266">
        <v>0</v>
      </c>
      <c r="L111" s="266">
        <v>0</v>
      </c>
      <c r="M111" s="266">
        <v>0</v>
      </c>
      <c r="N111" s="266">
        <v>0</v>
      </c>
      <c r="O111" s="266">
        <v>0</v>
      </c>
      <c r="P111" s="347">
        <f t="shared" si="46"/>
        <v>0</v>
      </c>
    </row>
    <row r="112" spans="2:16" x14ac:dyDescent="0.4">
      <c r="B112" s="19" t="s">
        <v>174</v>
      </c>
      <c r="C112" s="397">
        <v>5</v>
      </c>
      <c r="D112" s="266">
        <v>0</v>
      </c>
      <c r="E112" s="266">
        <v>0</v>
      </c>
      <c r="F112" s="266">
        <v>0</v>
      </c>
      <c r="G112" s="266">
        <v>0</v>
      </c>
      <c r="H112" s="266">
        <v>0</v>
      </c>
      <c r="I112" s="266">
        <v>0</v>
      </c>
      <c r="J112" s="266">
        <v>0</v>
      </c>
      <c r="K112" s="266">
        <v>0</v>
      </c>
      <c r="L112" s="266">
        <v>0</v>
      </c>
      <c r="M112" s="266">
        <v>0</v>
      </c>
      <c r="N112" s="266">
        <v>0</v>
      </c>
      <c r="O112" s="266">
        <v>0</v>
      </c>
      <c r="P112" s="347">
        <f t="shared" si="46"/>
        <v>0</v>
      </c>
    </row>
    <row r="113" spans="2:16" x14ac:dyDescent="0.4">
      <c r="B113" s="124" t="s">
        <v>167</v>
      </c>
      <c r="C113" s="125"/>
      <c r="D113" s="301">
        <f t="shared" ref="D113:O113" si="48">SUM(D114:D115)</f>
        <v>0</v>
      </c>
      <c r="E113" s="301">
        <f t="shared" si="48"/>
        <v>0</v>
      </c>
      <c r="F113" s="301">
        <f t="shared" si="48"/>
        <v>0</v>
      </c>
      <c r="G113" s="301">
        <f t="shared" si="48"/>
        <v>0</v>
      </c>
      <c r="H113" s="301">
        <f t="shared" si="48"/>
        <v>0</v>
      </c>
      <c r="I113" s="301">
        <f t="shared" si="48"/>
        <v>0</v>
      </c>
      <c r="J113" s="301">
        <f t="shared" si="48"/>
        <v>0</v>
      </c>
      <c r="K113" s="301">
        <f t="shared" si="48"/>
        <v>0</v>
      </c>
      <c r="L113" s="301">
        <f t="shared" si="48"/>
        <v>0</v>
      </c>
      <c r="M113" s="301">
        <f t="shared" si="48"/>
        <v>0</v>
      </c>
      <c r="N113" s="301">
        <f t="shared" si="48"/>
        <v>0</v>
      </c>
      <c r="O113" s="301">
        <f t="shared" si="48"/>
        <v>0</v>
      </c>
      <c r="P113" s="347">
        <f t="shared" si="46"/>
        <v>0</v>
      </c>
    </row>
    <row r="114" spans="2:16" x14ac:dyDescent="0.4">
      <c r="B114" s="19" t="s">
        <v>168</v>
      </c>
      <c r="C114" s="123" t="s">
        <v>3</v>
      </c>
      <c r="D114" s="266">
        <v>0</v>
      </c>
      <c r="E114" s="266">
        <v>0</v>
      </c>
      <c r="F114" s="266">
        <v>0</v>
      </c>
      <c r="G114" s="266">
        <v>0</v>
      </c>
      <c r="H114" s="266">
        <v>0</v>
      </c>
      <c r="I114" s="266">
        <v>0</v>
      </c>
      <c r="J114" s="266">
        <v>0</v>
      </c>
      <c r="K114" s="266">
        <v>0</v>
      </c>
      <c r="L114" s="266">
        <v>0</v>
      </c>
      <c r="M114" s="266">
        <v>0</v>
      </c>
      <c r="N114" s="266">
        <v>0</v>
      </c>
      <c r="O114" s="266">
        <v>0</v>
      </c>
      <c r="P114" s="347">
        <f t="shared" si="46"/>
        <v>0</v>
      </c>
    </row>
    <row r="115" spans="2:16" x14ac:dyDescent="0.4">
      <c r="B115" s="126" t="s">
        <v>169</v>
      </c>
      <c r="C115" s="127" t="s">
        <v>3</v>
      </c>
      <c r="D115" s="311">
        <v>0</v>
      </c>
      <c r="E115" s="311">
        <v>0</v>
      </c>
      <c r="F115" s="311">
        <v>0</v>
      </c>
      <c r="G115" s="311">
        <v>0</v>
      </c>
      <c r="H115" s="311">
        <v>0</v>
      </c>
      <c r="I115" s="311">
        <v>0</v>
      </c>
      <c r="J115" s="311">
        <v>0</v>
      </c>
      <c r="K115" s="311">
        <v>0</v>
      </c>
      <c r="L115" s="311">
        <v>0</v>
      </c>
      <c r="M115" s="311">
        <v>0</v>
      </c>
      <c r="N115" s="311">
        <v>0</v>
      </c>
      <c r="O115" s="311">
        <v>0</v>
      </c>
      <c r="P115" s="348">
        <f t="shared" si="46"/>
        <v>0</v>
      </c>
    </row>
    <row r="116" spans="2:16" x14ac:dyDescent="0.4"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353"/>
    </row>
    <row r="117" spans="2:16" x14ac:dyDescent="0.4">
      <c r="B117" s="395" t="s">
        <v>183</v>
      </c>
      <c r="C117" s="141" t="s">
        <v>164</v>
      </c>
      <c r="D117" s="133" t="str">
        <f t="shared" ref="D117:O117" si="49">D4</f>
        <v>Jan</v>
      </c>
      <c r="E117" s="133" t="str">
        <f t="shared" si="49"/>
        <v>Feb</v>
      </c>
      <c r="F117" s="133" t="str">
        <f t="shared" si="49"/>
        <v>Mar</v>
      </c>
      <c r="G117" s="133" t="str">
        <f t="shared" si="49"/>
        <v>Apr</v>
      </c>
      <c r="H117" s="133" t="str">
        <f t="shared" si="49"/>
        <v>May</v>
      </c>
      <c r="I117" s="133" t="str">
        <f t="shared" si="49"/>
        <v>Jun</v>
      </c>
      <c r="J117" s="133" t="str">
        <f t="shared" si="49"/>
        <v>Jul</v>
      </c>
      <c r="K117" s="133" t="str">
        <f t="shared" si="49"/>
        <v>Aug</v>
      </c>
      <c r="L117" s="133" t="str">
        <f t="shared" si="49"/>
        <v>Sep</v>
      </c>
      <c r="M117" s="133" t="str">
        <f t="shared" si="49"/>
        <v>Oct</v>
      </c>
      <c r="N117" s="133" t="str">
        <f t="shared" si="49"/>
        <v>Nov</v>
      </c>
      <c r="O117" s="133" t="str">
        <f t="shared" si="49"/>
        <v>Dec</v>
      </c>
      <c r="P117" s="143" t="s">
        <v>165</v>
      </c>
    </row>
    <row r="118" spans="2:16" x14ac:dyDescent="0.4">
      <c r="B118" s="119" t="s">
        <v>165</v>
      </c>
      <c r="C118" s="120"/>
      <c r="D118" s="276">
        <f t="shared" ref="D118:O118" si="50">SUM(D119,D125)</f>
        <v>0</v>
      </c>
      <c r="E118" s="276">
        <f t="shared" si="50"/>
        <v>0</v>
      </c>
      <c r="F118" s="276">
        <f t="shared" si="50"/>
        <v>0</v>
      </c>
      <c r="G118" s="276">
        <f t="shared" si="50"/>
        <v>0</v>
      </c>
      <c r="H118" s="276">
        <f t="shared" si="50"/>
        <v>0</v>
      </c>
      <c r="I118" s="276">
        <f t="shared" si="50"/>
        <v>0</v>
      </c>
      <c r="J118" s="276">
        <f t="shared" si="50"/>
        <v>0</v>
      </c>
      <c r="K118" s="276">
        <f t="shared" si="50"/>
        <v>0</v>
      </c>
      <c r="L118" s="276">
        <f t="shared" si="50"/>
        <v>0</v>
      </c>
      <c r="M118" s="276">
        <f t="shared" si="50"/>
        <v>0</v>
      </c>
      <c r="N118" s="276">
        <f t="shared" si="50"/>
        <v>0</v>
      </c>
      <c r="O118" s="276">
        <f t="shared" si="50"/>
        <v>0</v>
      </c>
      <c r="P118" s="348">
        <f t="shared" ref="P118:P127" si="51">SUM(D118:O118)</f>
        <v>0</v>
      </c>
    </row>
    <row r="119" spans="2:16" x14ac:dyDescent="0.4">
      <c r="B119" s="121" t="s">
        <v>166</v>
      </c>
      <c r="C119" s="122"/>
      <c r="D119" s="299">
        <f>SUM(D120:D124)</f>
        <v>0</v>
      </c>
      <c r="E119" s="299">
        <f t="shared" ref="E119:O119" si="52">SUM(E120:E124)</f>
        <v>0</v>
      </c>
      <c r="F119" s="299">
        <f t="shared" si="52"/>
        <v>0</v>
      </c>
      <c r="G119" s="299">
        <f t="shared" si="52"/>
        <v>0</v>
      </c>
      <c r="H119" s="299">
        <f t="shared" si="52"/>
        <v>0</v>
      </c>
      <c r="I119" s="299">
        <f t="shared" si="52"/>
        <v>0</v>
      </c>
      <c r="J119" s="299">
        <f t="shared" si="52"/>
        <v>0</v>
      </c>
      <c r="K119" s="299">
        <f t="shared" si="52"/>
        <v>0</v>
      </c>
      <c r="L119" s="299">
        <f t="shared" si="52"/>
        <v>0</v>
      </c>
      <c r="M119" s="299">
        <f t="shared" si="52"/>
        <v>0</v>
      </c>
      <c r="N119" s="299">
        <f t="shared" si="52"/>
        <v>0</v>
      </c>
      <c r="O119" s="299">
        <f t="shared" si="52"/>
        <v>0</v>
      </c>
      <c r="P119" s="352">
        <f t="shared" si="51"/>
        <v>0</v>
      </c>
    </row>
    <row r="120" spans="2:16" x14ac:dyDescent="0.4">
      <c r="B120" s="19" t="s">
        <v>170</v>
      </c>
      <c r="C120" s="397">
        <v>3</v>
      </c>
      <c r="D120" s="266">
        <v>0</v>
      </c>
      <c r="E120" s="266">
        <v>0</v>
      </c>
      <c r="F120" s="266">
        <v>0</v>
      </c>
      <c r="G120" s="266">
        <v>0</v>
      </c>
      <c r="H120" s="266">
        <v>0</v>
      </c>
      <c r="I120" s="266">
        <v>0</v>
      </c>
      <c r="J120" s="266">
        <v>0</v>
      </c>
      <c r="K120" s="266">
        <v>0</v>
      </c>
      <c r="L120" s="266">
        <v>0</v>
      </c>
      <c r="M120" s="266">
        <v>0</v>
      </c>
      <c r="N120" s="266">
        <v>0</v>
      </c>
      <c r="O120" s="266">
        <v>0</v>
      </c>
      <c r="P120" s="347">
        <f t="shared" si="51"/>
        <v>0</v>
      </c>
    </row>
    <row r="121" spans="2:16" x14ac:dyDescent="0.4">
      <c r="B121" s="19" t="s">
        <v>171</v>
      </c>
      <c r="C121" s="397">
        <v>5</v>
      </c>
      <c r="D121" s="266">
        <v>0</v>
      </c>
      <c r="E121" s="266">
        <v>0</v>
      </c>
      <c r="F121" s="266">
        <v>0</v>
      </c>
      <c r="G121" s="266">
        <v>0</v>
      </c>
      <c r="H121" s="266">
        <v>0</v>
      </c>
      <c r="I121" s="266">
        <v>0</v>
      </c>
      <c r="J121" s="266">
        <v>0</v>
      </c>
      <c r="K121" s="266">
        <v>0</v>
      </c>
      <c r="L121" s="266">
        <v>0</v>
      </c>
      <c r="M121" s="266">
        <v>0</v>
      </c>
      <c r="N121" s="266">
        <v>0</v>
      </c>
      <c r="O121" s="266">
        <v>0</v>
      </c>
      <c r="P121" s="347">
        <f t="shared" si="51"/>
        <v>0</v>
      </c>
    </row>
    <row r="122" spans="2:16" x14ac:dyDescent="0.4">
      <c r="B122" s="19" t="s">
        <v>172</v>
      </c>
      <c r="C122" s="397">
        <v>5</v>
      </c>
      <c r="D122" s="266">
        <v>0</v>
      </c>
      <c r="E122" s="266">
        <v>0</v>
      </c>
      <c r="F122" s="266">
        <v>0</v>
      </c>
      <c r="G122" s="266">
        <v>0</v>
      </c>
      <c r="H122" s="266">
        <v>0</v>
      </c>
      <c r="I122" s="266">
        <v>0</v>
      </c>
      <c r="J122" s="266">
        <v>0</v>
      </c>
      <c r="K122" s="266">
        <v>0</v>
      </c>
      <c r="L122" s="266">
        <v>0</v>
      </c>
      <c r="M122" s="266">
        <v>0</v>
      </c>
      <c r="N122" s="266">
        <v>0</v>
      </c>
      <c r="O122" s="266">
        <v>0</v>
      </c>
      <c r="P122" s="347">
        <f t="shared" si="51"/>
        <v>0</v>
      </c>
    </row>
    <row r="123" spans="2:16" x14ac:dyDescent="0.4">
      <c r="B123" s="19" t="s">
        <v>173</v>
      </c>
      <c r="C123" s="397">
        <v>5</v>
      </c>
      <c r="D123" s="266">
        <v>0</v>
      </c>
      <c r="E123" s="266">
        <v>0</v>
      </c>
      <c r="F123" s="266">
        <v>0</v>
      </c>
      <c r="G123" s="266">
        <v>0</v>
      </c>
      <c r="H123" s="266">
        <v>0</v>
      </c>
      <c r="I123" s="266">
        <v>0</v>
      </c>
      <c r="J123" s="266">
        <v>0</v>
      </c>
      <c r="K123" s="266">
        <v>0</v>
      </c>
      <c r="L123" s="266">
        <v>0</v>
      </c>
      <c r="M123" s="266">
        <v>0</v>
      </c>
      <c r="N123" s="266">
        <v>0</v>
      </c>
      <c r="O123" s="266">
        <v>0</v>
      </c>
      <c r="P123" s="347">
        <f t="shared" si="51"/>
        <v>0</v>
      </c>
    </row>
    <row r="124" spans="2:16" x14ac:dyDescent="0.4">
      <c r="B124" s="19" t="s">
        <v>174</v>
      </c>
      <c r="C124" s="397">
        <v>5</v>
      </c>
      <c r="D124" s="266">
        <v>0</v>
      </c>
      <c r="E124" s="266">
        <v>0</v>
      </c>
      <c r="F124" s="266">
        <v>0</v>
      </c>
      <c r="G124" s="266">
        <v>0</v>
      </c>
      <c r="H124" s="266">
        <v>0</v>
      </c>
      <c r="I124" s="266">
        <v>0</v>
      </c>
      <c r="J124" s="266">
        <v>0</v>
      </c>
      <c r="K124" s="266">
        <v>0</v>
      </c>
      <c r="L124" s="266">
        <v>0</v>
      </c>
      <c r="M124" s="266">
        <v>0</v>
      </c>
      <c r="N124" s="266">
        <v>0</v>
      </c>
      <c r="O124" s="266">
        <v>0</v>
      </c>
      <c r="P124" s="347">
        <f t="shared" si="51"/>
        <v>0</v>
      </c>
    </row>
    <row r="125" spans="2:16" x14ac:dyDescent="0.4">
      <c r="B125" s="124" t="s">
        <v>167</v>
      </c>
      <c r="C125" s="125"/>
      <c r="D125" s="301">
        <f t="shared" ref="D125:O125" si="53">SUM(D126:D127)</f>
        <v>0</v>
      </c>
      <c r="E125" s="301">
        <f t="shared" si="53"/>
        <v>0</v>
      </c>
      <c r="F125" s="301">
        <f t="shared" si="53"/>
        <v>0</v>
      </c>
      <c r="G125" s="301">
        <f t="shared" si="53"/>
        <v>0</v>
      </c>
      <c r="H125" s="301">
        <f t="shared" si="53"/>
        <v>0</v>
      </c>
      <c r="I125" s="301">
        <f t="shared" si="53"/>
        <v>0</v>
      </c>
      <c r="J125" s="301">
        <f t="shared" si="53"/>
        <v>0</v>
      </c>
      <c r="K125" s="301">
        <f t="shared" si="53"/>
        <v>0</v>
      </c>
      <c r="L125" s="301">
        <f t="shared" si="53"/>
        <v>0</v>
      </c>
      <c r="M125" s="301">
        <f t="shared" si="53"/>
        <v>0</v>
      </c>
      <c r="N125" s="301">
        <f t="shared" si="53"/>
        <v>0</v>
      </c>
      <c r="O125" s="301">
        <f t="shared" si="53"/>
        <v>0</v>
      </c>
      <c r="P125" s="347">
        <f t="shared" si="51"/>
        <v>0</v>
      </c>
    </row>
    <row r="126" spans="2:16" x14ac:dyDescent="0.4">
      <c r="B126" s="19" t="s">
        <v>168</v>
      </c>
      <c r="C126" s="123" t="s">
        <v>3</v>
      </c>
      <c r="D126" s="266">
        <v>0</v>
      </c>
      <c r="E126" s="266">
        <v>0</v>
      </c>
      <c r="F126" s="266">
        <v>0</v>
      </c>
      <c r="G126" s="266">
        <v>0</v>
      </c>
      <c r="H126" s="266">
        <v>0</v>
      </c>
      <c r="I126" s="266">
        <v>0</v>
      </c>
      <c r="J126" s="266">
        <v>0</v>
      </c>
      <c r="K126" s="266">
        <v>0</v>
      </c>
      <c r="L126" s="266">
        <v>0</v>
      </c>
      <c r="M126" s="266">
        <v>0</v>
      </c>
      <c r="N126" s="266">
        <v>0</v>
      </c>
      <c r="O126" s="266">
        <v>0</v>
      </c>
      <c r="P126" s="347">
        <f t="shared" si="51"/>
        <v>0</v>
      </c>
    </row>
    <row r="127" spans="2:16" x14ac:dyDescent="0.4">
      <c r="B127" s="126" t="s">
        <v>169</v>
      </c>
      <c r="C127" s="127" t="s">
        <v>3</v>
      </c>
      <c r="D127" s="311">
        <v>0</v>
      </c>
      <c r="E127" s="311">
        <v>0</v>
      </c>
      <c r="F127" s="311">
        <v>0</v>
      </c>
      <c r="G127" s="311">
        <v>0</v>
      </c>
      <c r="H127" s="311">
        <v>0</v>
      </c>
      <c r="I127" s="311">
        <v>0</v>
      </c>
      <c r="J127" s="311">
        <v>0</v>
      </c>
      <c r="K127" s="311">
        <v>0</v>
      </c>
      <c r="L127" s="311">
        <v>0</v>
      </c>
      <c r="M127" s="311">
        <v>0</v>
      </c>
      <c r="N127" s="311">
        <v>0</v>
      </c>
      <c r="O127" s="311">
        <v>0</v>
      </c>
      <c r="P127" s="348">
        <f t="shared" si="51"/>
        <v>0</v>
      </c>
    </row>
    <row r="128" spans="2:16" x14ac:dyDescent="0.4"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353"/>
    </row>
    <row r="129" spans="2:16" x14ac:dyDescent="0.4">
      <c r="B129" s="395" t="s">
        <v>182</v>
      </c>
      <c r="C129" s="141" t="s">
        <v>164</v>
      </c>
      <c r="D129" s="143" t="str">
        <f t="shared" ref="D129:O129" si="54">D4</f>
        <v>Jan</v>
      </c>
      <c r="E129" s="143" t="str">
        <f t="shared" si="54"/>
        <v>Feb</v>
      </c>
      <c r="F129" s="143" t="str">
        <f t="shared" si="54"/>
        <v>Mar</v>
      </c>
      <c r="G129" s="143" t="str">
        <f t="shared" si="54"/>
        <v>Apr</v>
      </c>
      <c r="H129" s="143" t="str">
        <f t="shared" si="54"/>
        <v>May</v>
      </c>
      <c r="I129" s="143" t="str">
        <f t="shared" si="54"/>
        <v>Jun</v>
      </c>
      <c r="J129" s="143" t="str">
        <f t="shared" si="54"/>
        <v>Jul</v>
      </c>
      <c r="K129" s="143" t="str">
        <f t="shared" si="54"/>
        <v>Aug</v>
      </c>
      <c r="L129" s="143" t="str">
        <f t="shared" si="54"/>
        <v>Sep</v>
      </c>
      <c r="M129" s="143" t="str">
        <f t="shared" si="54"/>
        <v>Oct</v>
      </c>
      <c r="N129" s="143" t="str">
        <f t="shared" si="54"/>
        <v>Nov</v>
      </c>
      <c r="O129" s="143" t="str">
        <f t="shared" si="54"/>
        <v>Dec</v>
      </c>
      <c r="P129" s="143" t="s">
        <v>165</v>
      </c>
    </row>
    <row r="130" spans="2:16" x14ac:dyDescent="0.4">
      <c r="B130" s="119" t="s">
        <v>165</v>
      </c>
      <c r="C130" s="120"/>
      <c r="D130" s="276">
        <f t="shared" ref="D130:O130" si="55">SUM(D131,D137)</f>
        <v>0</v>
      </c>
      <c r="E130" s="276">
        <f t="shared" si="55"/>
        <v>0</v>
      </c>
      <c r="F130" s="276">
        <f t="shared" si="55"/>
        <v>0</v>
      </c>
      <c r="G130" s="276">
        <f t="shared" si="55"/>
        <v>0</v>
      </c>
      <c r="H130" s="276">
        <f t="shared" si="55"/>
        <v>0</v>
      </c>
      <c r="I130" s="276">
        <f t="shared" si="55"/>
        <v>0</v>
      </c>
      <c r="J130" s="276">
        <f t="shared" si="55"/>
        <v>0</v>
      </c>
      <c r="K130" s="276">
        <f t="shared" si="55"/>
        <v>0</v>
      </c>
      <c r="L130" s="276">
        <f t="shared" si="55"/>
        <v>0</v>
      </c>
      <c r="M130" s="276">
        <f t="shared" si="55"/>
        <v>0</v>
      </c>
      <c r="N130" s="276">
        <f t="shared" si="55"/>
        <v>0</v>
      </c>
      <c r="O130" s="276">
        <f t="shared" si="55"/>
        <v>0</v>
      </c>
      <c r="P130" s="348">
        <f t="shared" ref="P130:P139" si="56">SUM(D130:O130)</f>
        <v>0</v>
      </c>
    </row>
    <row r="131" spans="2:16" x14ac:dyDescent="0.4">
      <c r="B131" s="121" t="s">
        <v>166</v>
      </c>
      <c r="C131" s="122"/>
      <c r="D131" s="299">
        <f>SUM(D132:D136)</f>
        <v>0</v>
      </c>
      <c r="E131" s="299">
        <f t="shared" ref="E131:O131" si="57">SUM(E132:E136)</f>
        <v>0</v>
      </c>
      <c r="F131" s="299">
        <f t="shared" si="57"/>
        <v>0</v>
      </c>
      <c r="G131" s="299">
        <f t="shared" si="57"/>
        <v>0</v>
      </c>
      <c r="H131" s="299">
        <f t="shared" si="57"/>
        <v>0</v>
      </c>
      <c r="I131" s="299">
        <f t="shared" si="57"/>
        <v>0</v>
      </c>
      <c r="J131" s="299">
        <f t="shared" si="57"/>
        <v>0</v>
      </c>
      <c r="K131" s="299">
        <f t="shared" si="57"/>
        <v>0</v>
      </c>
      <c r="L131" s="299">
        <f t="shared" si="57"/>
        <v>0</v>
      </c>
      <c r="M131" s="299">
        <f t="shared" si="57"/>
        <v>0</v>
      </c>
      <c r="N131" s="299">
        <f t="shared" si="57"/>
        <v>0</v>
      </c>
      <c r="O131" s="299">
        <f t="shared" si="57"/>
        <v>0</v>
      </c>
      <c r="P131" s="352">
        <f t="shared" si="56"/>
        <v>0</v>
      </c>
    </row>
    <row r="132" spans="2:16" x14ac:dyDescent="0.4">
      <c r="B132" s="19" t="s">
        <v>170</v>
      </c>
      <c r="C132" s="397">
        <v>3</v>
      </c>
      <c r="D132" s="266">
        <v>0</v>
      </c>
      <c r="E132" s="266">
        <v>0</v>
      </c>
      <c r="F132" s="266">
        <v>0</v>
      </c>
      <c r="G132" s="266">
        <v>0</v>
      </c>
      <c r="H132" s="266">
        <v>0</v>
      </c>
      <c r="I132" s="266">
        <v>0</v>
      </c>
      <c r="J132" s="266">
        <v>0</v>
      </c>
      <c r="K132" s="266">
        <v>0</v>
      </c>
      <c r="L132" s="266">
        <v>0</v>
      </c>
      <c r="M132" s="266">
        <v>0</v>
      </c>
      <c r="N132" s="266">
        <v>0</v>
      </c>
      <c r="O132" s="266">
        <v>0</v>
      </c>
      <c r="P132" s="347">
        <f t="shared" si="56"/>
        <v>0</v>
      </c>
    </row>
    <row r="133" spans="2:16" x14ac:dyDescent="0.4">
      <c r="B133" s="19" t="s">
        <v>171</v>
      </c>
      <c r="C133" s="397">
        <v>5</v>
      </c>
      <c r="D133" s="266">
        <v>0</v>
      </c>
      <c r="E133" s="266">
        <v>0</v>
      </c>
      <c r="F133" s="266">
        <v>0</v>
      </c>
      <c r="G133" s="266">
        <v>0</v>
      </c>
      <c r="H133" s="266">
        <v>0</v>
      </c>
      <c r="I133" s="266">
        <v>0</v>
      </c>
      <c r="J133" s="266">
        <v>0</v>
      </c>
      <c r="K133" s="266">
        <v>0</v>
      </c>
      <c r="L133" s="266">
        <v>0</v>
      </c>
      <c r="M133" s="266">
        <v>0</v>
      </c>
      <c r="N133" s="266">
        <v>0</v>
      </c>
      <c r="O133" s="266">
        <v>0</v>
      </c>
      <c r="P133" s="347">
        <f t="shared" si="56"/>
        <v>0</v>
      </c>
    </row>
    <row r="134" spans="2:16" x14ac:dyDescent="0.4">
      <c r="B134" s="19" t="s">
        <v>172</v>
      </c>
      <c r="C134" s="397">
        <v>5</v>
      </c>
      <c r="D134" s="266">
        <v>0</v>
      </c>
      <c r="E134" s="266">
        <v>0</v>
      </c>
      <c r="F134" s="266">
        <v>0</v>
      </c>
      <c r="G134" s="266">
        <v>0</v>
      </c>
      <c r="H134" s="266">
        <v>0</v>
      </c>
      <c r="I134" s="266">
        <v>0</v>
      </c>
      <c r="J134" s="266">
        <v>0</v>
      </c>
      <c r="K134" s="266">
        <v>0</v>
      </c>
      <c r="L134" s="266">
        <v>0</v>
      </c>
      <c r="M134" s="266">
        <v>0</v>
      </c>
      <c r="N134" s="266">
        <v>0</v>
      </c>
      <c r="O134" s="266">
        <v>0</v>
      </c>
      <c r="P134" s="347">
        <f t="shared" si="56"/>
        <v>0</v>
      </c>
    </row>
    <row r="135" spans="2:16" x14ac:dyDescent="0.4">
      <c r="B135" s="19" t="s">
        <v>173</v>
      </c>
      <c r="C135" s="397">
        <v>5</v>
      </c>
      <c r="D135" s="266">
        <v>0</v>
      </c>
      <c r="E135" s="266">
        <v>0</v>
      </c>
      <c r="F135" s="266">
        <v>0</v>
      </c>
      <c r="G135" s="266">
        <v>0</v>
      </c>
      <c r="H135" s="266">
        <v>0</v>
      </c>
      <c r="I135" s="266">
        <v>0</v>
      </c>
      <c r="J135" s="266">
        <v>0</v>
      </c>
      <c r="K135" s="266">
        <v>0</v>
      </c>
      <c r="L135" s="266">
        <v>0</v>
      </c>
      <c r="M135" s="266">
        <v>0</v>
      </c>
      <c r="N135" s="266">
        <v>0</v>
      </c>
      <c r="O135" s="266">
        <v>0</v>
      </c>
      <c r="P135" s="347">
        <f t="shared" si="56"/>
        <v>0</v>
      </c>
    </row>
    <row r="136" spans="2:16" x14ac:dyDescent="0.4">
      <c r="B136" s="19" t="s">
        <v>174</v>
      </c>
      <c r="C136" s="397">
        <v>5</v>
      </c>
      <c r="D136" s="266">
        <v>0</v>
      </c>
      <c r="E136" s="266">
        <v>0</v>
      </c>
      <c r="F136" s="266">
        <v>0</v>
      </c>
      <c r="G136" s="266">
        <v>0</v>
      </c>
      <c r="H136" s="266">
        <v>0</v>
      </c>
      <c r="I136" s="266">
        <v>0</v>
      </c>
      <c r="J136" s="266">
        <v>0</v>
      </c>
      <c r="K136" s="266">
        <v>0</v>
      </c>
      <c r="L136" s="266">
        <v>0</v>
      </c>
      <c r="M136" s="266">
        <v>0</v>
      </c>
      <c r="N136" s="266">
        <v>0</v>
      </c>
      <c r="O136" s="266">
        <v>0</v>
      </c>
      <c r="P136" s="347">
        <f t="shared" si="56"/>
        <v>0</v>
      </c>
    </row>
    <row r="137" spans="2:16" x14ac:dyDescent="0.4">
      <c r="B137" s="124" t="s">
        <v>167</v>
      </c>
      <c r="C137" s="125"/>
      <c r="D137" s="301">
        <f t="shared" ref="D137:O137" si="58">SUM(D138:D139)</f>
        <v>0</v>
      </c>
      <c r="E137" s="301">
        <f t="shared" si="58"/>
        <v>0</v>
      </c>
      <c r="F137" s="301">
        <f t="shared" si="58"/>
        <v>0</v>
      </c>
      <c r="G137" s="301">
        <f t="shared" si="58"/>
        <v>0</v>
      </c>
      <c r="H137" s="301">
        <f t="shared" si="58"/>
        <v>0</v>
      </c>
      <c r="I137" s="301">
        <f t="shared" si="58"/>
        <v>0</v>
      </c>
      <c r="J137" s="301">
        <f t="shared" si="58"/>
        <v>0</v>
      </c>
      <c r="K137" s="301">
        <f t="shared" si="58"/>
        <v>0</v>
      </c>
      <c r="L137" s="301">
        <f t="shared" si="58"/>
        <v>0</v>
      </c>
      <c r="M137" s="301">
        <f t="shared" si="58"/>
        <v>0</v>
      </c>
      <c r="N137" s="301">
        <f t="shared" si="58"/>
        <v>0</v>
      </c>
      <c r="O137" s="301">
        <f t="shared" si="58"/>
        <v>0</v>
      </c>
      <c r="P137" s="347">
        <f t="shared" si="56"/>
        <v>0</v>
      </c>
    </row>
    <row r="138" spans="2:16" x14ac:dyDescent="0.4">
      <c r="B138" s="19" t="s">
        <v>168</v>
      </c>
      <c r="C138" s="123" t="s">
        <v>3</v>
      </c>
      <c r="D138" s="266">
        <v>0</v>
      </c>
      <c r="E138" s="266">
        <v>0</v>
      </c>
      <c r="F138" s="266">
        <v>0</v>
      </c>
      <c r="G138" s="266">
        <v>0</v>
      </c>
      <c r="H138" s="266">
        <v>0</v>
      </c>
      <c r="I138" s="266">
        <v>0</v>
      </c>
      <c r="J138" s="266">
        <v>0</v>
      </c>
      <c r="K138" s="266">
        <v>0</v>
      </c>
      <c r="L138" s="266">
        <v>0</v>
      </c>
      <c r="M138" s="266">
        <v>0</v>
      </c>
      <c r="N138" s="266">
        <v>0</v>
      </c>
      <c r="O138" s="266">
        <v>0</v>
      </c>
      <c r="P138" s="347">
        <f t="shared" si="56"/>
        <v>0</v>
      </c>
    </row>
    <row r="139" spans="2:16" x14ac:dyDescent="0.4">
      <c r="B139" s="126" t="s">
        <v>169</v>
      </c>
      <c r="C139" s="127" t="s">
        <v>3</v>
      </c>
      <c r="D139" s="311">
        <v>0</v>
      </c>
      <c r="E139" s="311">
        <v>0</v>
      </c>
      <c r="F139" s="311">
        <v>0</v>
      </c>
      <c r="G139" s="311">
        <v>0</v>
      </c>
      <c r="H139" s="311">
        <v>0</v>
      </c>
      <c r="I139" s="311">
        <v>0</v>
      </c>
      <c r="J139" s="311">
        <v>0</v>
      </c>
      <c r="K139" s="311">
        <v>0</v>
      </c>
      <c r="L139" s="311">
        <v>0</v>
      </c>
      <c r="M139" s="311">
        <v>0</v>
      </c>
      <c r="N139" s="311">
        <v>0</v>
      </c>
      <c r="O139" s="311">
        <v>0</v>
      </c>
      <c r="P139" s="348">
        <f t="shared" si="56"/>
        <v>0</v>
      </c>
    </row>
    <row r="140" spans="2:16" x14ac:dyDescent="0.4"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353"/>
    </row>
    <row r="141" spans="2:16" x14ac:dyDescent="0.4">
      <c r="B141" s="395" t="s">
        <v>181</v>
      </c>
      <c r="C141" s="141" t="s">
        <v>164</v>
      </c>
      <c r="D141" s="143" t="str">
        <f t="shared" ref="D141:O141" si="59">D4</f>
        <v>Jan</v>
      </c>
      <c r="E141" s="143" t="str">
        <f t="shared" si="59"/>
        <v>Feb</v>
      </c>
      <c r="F141" s="143" t="str">
        <f t="shared" si="59"/>
        <v>Mar</v>
      </c>
      <c r="G141" s="143" t="str">
        <f t="shared" si="59"/>
        <v>Apr</v>
      </c>
      <c r="H141" s="143" t="str">
        <f t="shared" si="59"/>
        <v>May</v>
      </c>
      <c r="I141" s="143" t="str">
        <f t="shared" si="59"/>
        <v>Jun</v>
      </c>
      <c r="J141" s="143" t="str">
        <f t="shared" si="59"/>
        <v>Jul</v>
      </c>
      <c r="K141" s="143" t="str">
        <f t="shared" si="59"/>
        <v>Aug</v>
      </c>
      <c r="L141" s="143" t="str">
        <f t="shared" si="59"/>
        <v>Sep</v>
      </c>
      <c r="M141" s="143" t="str">
        <f t="shared" si="59"/>
        <v>Oct</v>
      </c>
      <c r="N141" s="143" t="str">
        <f t="shared" si="59"/>
        <v>Nov</v>
      </c>
      <c r="O141" s="143" t="str">
        <f t="shared" si="59"/>
        <v>Dec</v>
      </c>
      <c r="P141" s="143" t="s">
        <v>165</v>
      </c>
    </row>
    <row r="142" spans="2:16" x14ac:dyDescent="0.4">
      <c r="B142" s="119" t="s">
        <v>165</v>
      </c>
      <c r="C142" s="120"/>
      <c r="D142" s="276">
        <f>SUM(D143,D149)</f>
        <v>0</v>
      </c>
      <c r="E142" s="276">
        <f t="shared" ref="E142:O142" si="60">SUM(E143,E149)</f>
        <v>0</v>
      </c>
      <c r="F142" s="276">
        <f t="shared" si="60"/>
        <v>0</v>
      </c>
      <c r="G142" s="276">
        <f t="shared" si="60"/>
        <v>0</v>
      </c>
      <c r="H142" s="276">
        <f t="shared" si="60"/>
        <v>0</v>
      </c>
      <c r="I142" s="276">
        <f t="shared" si="60"/>
        <v>0</v>
      </c>
      <c r="J142" s="276">
        <f t="shared" si="60"/>
        <v>0</v>
      </c>
      <c r="K142" s="276">
        <f t="shared" si="60"/>
        <v>0</v>
      </c>
      <c r="L142" s="276">
        <f t="shared" si="60"/>
        <v>0</v>
      </c>
      <c r="M142" s="276">
        <f t="shared" si="60"/>
        <v>0</v>
      </c>
      <c r="N142" s="276">
        <f t="shared" si="60"/>
        <v>0</v>
      </c>
      <c r="O142" s="276">
        <f t="shared" si="60"/>
        <v>0</v>
      </c>
      <c r="P142" s="348">
        <f t="shared" ref="P142:P151" si="61">SUM(D142:O142)</f>
        <v>0</v>
      </c>
    </row>
    <row r="143" spans="2:16" x14ac:dyDescent="0.4">
      <c r="B143" s="121" t="s">
        <v>166</v>
      </c>
      <c r="C143" s="122"/>
      <c r="D143" s="299">
        <f>SUM(D144:D148)</f>
        <v>0</v>
      </c>
      <c r="E143" s="299">
        <f t="shared" ref="E143:O143" si="62">SUM(E144:E148)</f>
        <v>0</v>
      </c>
      <c r="F143" s="299">
        <f t="shared" si="62"/>
        <v>0</v>
      </c>
      <c r="G143" s="299">
        <f t="shared" si="62"/>
        <v>0</v>
      </c>
      <c r="H143" s="299">
        <f t="shared" si="62"/>
        <v>0</v>
      </c>
      <c r="I143" s="299">
        <f t="shared" si="62"/>
        <v>0</v>
      </c>
      <c r="J143" s="299">
        <f t="shared" si="62"/>
        <v>0</v>
      </c>
      <c r="K143" s="299">
        <f t="shared" si="62"/>
        <v>0</v>
      </c>
      <c r="L143" s="299">
        <f t="shared" si="62"/>
        <v>0</v>
      </c>
      <c r="M143" s="299">
        <f t="shared" si="62"/>
        <v>0</v>
      </c>
      <c r="N143" s="299">
        <f t="shared" si="62"/>
        <v>0</v>
      </c>
      <c r="O143" s="299">
        <f t="shared" si="62"/>
        <v>0</v>
      </c>
      <c r="P143" s="352">
        <f t="shared" si="61"/>
        <v>0</v>
      </c>
    </row>
    <row r="144" spans="2:16" x14ac:dyDescent="0.4">
      <c r="B144" s="19" t="s">
        <v>170</v>
      </c>
      <c r="C144" s="397">
        <v>3</v>
      </c>
      <c r="D144" s="266">
        <v>0</v>
      </c>
      <c r="E144" s="266">
        <v>0</v>
      </c>
      <c r="F144" s="266">
        <v>0</v>
      </c>
      <c r="G144" s="266">
        <v>0</v>
      </c>
      <c r="H144" s="266">
        <v>0</v>
      </c>
      <c r="I144" s="266">
        <v>0</v>
      </c>
      <c r="J144" s="266">
        <v>0</v>
      </c>
      <c r="K144" s="266">
        <v>0</v>
      </c>
      <c r="L144" s="266">
        <v>0</v>
      </c>
      <c r="M144" s="266">
        <v>0</v>
      </c>
      <c r="N144" s="266">
        <v>0</v>
      </c>
      <c r="O144" s="266">
        <v>0</v>
      </c>
      <c r="P144" s="347">
        <f t="shared" si="61"/>
        <v>0</v>
      </c>
    </row>
    <row r="145" spans="2:16" x14ac:dyDescent="0.4">
      <c r="B145" s="19" t="s">
        <v>171</v>
      </c>
      <c r="C145" s="397">
        <v>5</v>
      </c>
      <c r="D145" s="266">
        <v>0</v>
      </c>
      <c r="E145" s="266">
        <v>0</v>
      </c>
      <c r="F145" s="266">
        <v>0</v>
      </c>
      <c r="G145" s="266">
        <v>0</v>
      </c>
      <c r="H145" s="266">
        <v>0</v>
      </c>
      <c r="I145" s="266">
        <v>0</v>
      </c>
      <c r="J145" s="266">
        <v>0</v>
      </c>
      <c r="K145" s="266">
        <v>0</v>
      </c>
      <c r="L145" s="266">
        <v>0</v>
      </c>
      <c r="M145" s="266">
        <v>0</v>
      </c>
      <c r="N145" s="266">
        <v>0</v>
      </c>
      <c r="O145" s="266">
        <v>0</v>
      </c>
      <c r="P145" s="347">
        <f t="shared" si="61"/>
        <v>0</v>
      </c>
    </row>
    <row r="146" spans="2:16" x14ac:dyDescent="0.4">
      <c r="B146" s="19" t="s">
        <v>172</v>
      </c>
      <c r="C146" s="397">
        <v>5</v>
      </c>
      <c r="D146" s="266">
        <v>0</v>
      </c>
      <c r="E146" s="266">
        <v>0</v>
      </c>
      <c r="F146" s="266">
        <v>0</v>
      </c>
      <c r="G146" s="266">
        <v>0</v>
      </c>
      <c r="H146" s="266">
        <v>0</v>
      </c>
      <c r="I146" s="266">
        <v>0</v>
      </c>
      <c r="J146" s="266">
        <v>0</v>
      </c>
      <c r="K146" s="266">
        <v>0</v>
      </c>
      <c r="L146" s="266">
        <v>0</v>
      </c>
      <c r="M146" s="266">
        <v>0</v>
      </c>
      <c r="N146" s="266">
        <v>0</v>
      </c>
      <c r="O146" s="266">
        <v>0</v>
      </c>
      <c r="P146" s="347">
        <f t="shared" si="61"/>
        <v>0</v>
      </c>
    </row>
    <row r="147" spans="2:16" x14ac:dyDescent="0.4">
      <c r="B147" s="19" t="s">
        <v>173</v>
      </c>
      <c r="C147" s="397">
        <v>5</v>
      </c>
      <c r="D147" s="266">
        <v>0</v>
      </c>
      <c r="E147" s="266">
        <v>0</v>
      </c>
      <c r="F147" s="266">
        <v>0</v>
      </c>
      <c r="G147" s="266">
        <v>0</v>
      </c>
      <c r="H147" s="266">
        <v>0</v>
      </c>
      <c r="I147" s="266">
        <v>0</v>
      </c>
      <c r="J147" s="266">
        <v>0</v>
      </c>
      <c r="K147" s="266">
        <v>0</v>
      </c>
      <c r="L147" s="266">
        <v>0</v>
      </c>
      <c r="M147" s="266">
        <v>0</v>
      </c>
      <c r="N147" s="266">
        <v>0</v>
      </c>
      <c r="O147" s="266">
        <v>0</v>
      </c>
      <c r="P147" s="347">
        <f t="shared" si="61"/>
        <v>0</v>
      </c>
    </row>
    <row r="148" spans="2:16" x14ac:dyDescent="0.4">
      <c r="B148" s="19" t="s">
        <v>174</v>
      </c>
      <c r="C148" s="397">
        <v>5</v>
      </c>
      <c r="D148" s="266">
        <v>0</v>
      </c>
      <c r="E148" s="266">
        <v>0</v>
      </c>
      <c r="F148" s="266">
        <v>0</v>
      </c>
      <c r="G148" s="266">
        <v>0</v>
      </c>
      <c r="H148" s="266">
        <v>0</v>
      </c>
      <c r="I148" s="266">
        <v>0</v>
      </c>
      <c r="J148" s="266">
        <v>0</v>
      </c>
      <c r="K148" s="266">
        <v>0</v>
      </c>
      <c r="L148" s="266">
        <v>0</v>
      </c>
      <c r="M148" s="266">
        <v>0</v>
      </c>
      <c r="N148" s="266">
        <v>0</v>
      </c>
      <c r="O148" s="266">
        <v>0</v>
      </c>
      <c r="P148" s="347">
        <f t="shared" si="61"/>
        <v>0</v>
      </c>
    </row>
    <row r="149" spans="2:16" x14ac:dyDescent="0.4">
      <c r="B149" s="124" t="s">
        <v>167</v>
      </c>
      <c r="C149" s="125"/>
      <c r="D149" s="301">
        <f t="shared" ref="D149:O149" si="63">SUM(D150:D151)</f>
        <v>0</v>
      </c>
      <c r="E149" s="301">
        <f t="shared" si="63"/>
        <v>0</v>
      </c>
      <c r="F149" s="301">
        <f t="shared" si="63"/>
        <v>0</v>
      </c>
      <c r="G149" s="301">
        <f t="shared" si="63"/>
        <v>0</v>
      </c>
      <c r="H149" s="301">
        <f t="shared" si="63"/>
        <v>0</v>
      </c>
      <c r="I149" s="301">
        <f t="shared" si="63"/>
        <v>0</v>
      </c>
      <c r="J149" s="301">
        <f t="shared" si="63"/>
        <v>0</v>
      </c>
      <c r="K149" s="301">
        <f t="shared" si="63"/>
        <v>0</v>
      </c>
      <c r="L149" s="301">
        <f t="shared" si="63"/>
        <v>0</v>
      </c>
      <c r="M149" s="301">
        <f t="shared" si="63"/>
        <v>0</v>
      </c>
      <c r="N149" s="301">
        <f t="shared" si="63"/>
        <v>0</v>
      </c>
      <c r="O149" s="301">
        <f t="shared" si="63"/>
        <v>0</v>
      </c>
      <c r="P149" s="347">
        <f t="shared" si="61"/>
        <v>0</v>
      </c>
    </row>
    <row r="150" spans="2:16" x14ac:dyDescent="0.4">
      <c r="B150" s="19" t="s">
        <v>168</v>
      </c>
      <c r="C150" s="123" t="s">
        <v>3</v>
      </c>
      <c r="D150" s="266">
        <v>0</v>
      </c>
      <c r="E150" s="266">
        <v>0</v>
      </c>
      <c r="F150" s="266">
        <v>0</v>
      </c>
      <c r="G150" s="266">
        <v>0</v>
      </c>
      <c r="H150" s="266">
        <v>0</v>
      </c>
      <c r="I150" s="266">
        <v>0</v>
      </c>
      <c r="J150" s="266">
        <v>0</v>
      </c>
      <c r="K150" s="266">
        <v>0</v>
      </c>
      <c r="L150" s="266">
        <v>0</v>
      </c>
      <c r="M150" s="266">
        <v>0</v>
      </c>
      <c r="N150" s="266">
        <v>0</v>
      </c>
      <c r="O150" s="266">
        <v>0</v>
      </c>
      <c r="P150" s="347">
        <f t="shared" si="61"/>
        <v>0</v>
      </c>
    </row>
    <row r="151" spans="2:16" x14ac:dyDescent="0.4">
      <c r="B151" s="126" t="s">
        <v>169</v>
      </c>
      <c r="C151" s="127" t="s">
        <v>3</v>
      </c>
      <c r="D151" s="311">
        <v>0</v>
      </c>
      <c r="E151" s="311">
        <v>0</v>
      </c>
      <c r="F151" s="311">
        <v>0</v>
      </c>
      <c r="G151" s="311">
        <v>0</v>
      </c>
      <c r="H151" s="311">
        <v>0</v>
      </c>
      <c r="I151" s="311">
        <v>0</v>
      </c>
      <c r="J151" s="311">
        <v>0</v>
      </c>
      <c r="K151" s="311">
        <v>0</v>
      </c>
      <c r="L151" s="311">
        <v>0</v>
      </c>
      <c r="M151" s="311">
        <v>0</v>
      </c>
      <c r="N151" s="311">
        <v>0</v>
      </c>
      <c r="O151" s="311">
        <v>0</v>
      </c>
      <c r="P151" s="348">
        <f t="shared" si="61"/>
        <v>0</v>
      </c>
    </row>
    <row r="152" spans="2:16" x14ac:dyDescent="0.4"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353"/>
    </row>
    <row r="153" spans="2:16" x14ac:dyDescent="0.4">
      <c r="B153" s="395" t="s">
        <v>180</v>
      </c>
      <c r="C153" s="141" t="s">
        <v>164</v>
      </c>
      <c r="D153" s="143" t="str">
        <f>D$4</f>
        <v>Jan</v>
      </c>
      <c r="E153" s="143" t="str">
        <f t="shared" ref="E153:O153" si="64">E$4</f>
        <v>Feb</v>
      </c>
      <c r="F153" s="143" t="str">
        <f t="shared" si="64"/>
        <v>Mar</v>
      </c>
      <c r="G153" s="143" t="str">
        <f t="shared" si="64"/>
        <v>Apr</v>
      </c>
      <c r="H153" s="143" t="str">
        <f t="shared" si="64"/>
        <v>May</v>
      </c>
      <c r="I153" s="143" t="str">
        <f t="shared" si="64"/>
        <v>Jun</v>
      </c>
      <c r="J153" s="143" t="str">
        <f t="shared" si="64"/>
        <v>Jul</v>
      </c>
      <c r="K153" s="143" t="str">
        <f t="shared" si="64"/>
        <v>Aug</v>
      </c>
      <c r="L153" s="143" t="str">
        <f t="shared" si="64"/>
        <v>Sep</v>
      </c>
      <c r="M153" s="143" t="str">
        <f t="shared" si="64"/>
        <v>Oct</v>
      </c>
      <c r="N153" s="143" t="str">
        <f t="shared" si="64"/>
        <v>Nov</v>
      </c>
      <c r="O153" s="143" t="str">
        <f t="shared" si="64"/>
        <v>Dec</v>
      </c>
      <c r="P153" s="143" t="s">
        <v>165</v>
      </c>
    </row>
    <row r="154" spans="2:16" x14ac:dyDescent="0.4">
      <c r="B154" s="119" t="s">
        <v>165</v>
      </c>
      <c r="C154" s="120"/>
      <c r="D154" s="276">
        <f>SUM(D155,D161)</f>
        <v>0</v>
      </c>
      <c r="E154" s="276">
        <f t="shared" ref="E154:O154" si="65">SUM(E155,E161)</f>
        <v>0</v>
      </c>
      <c r="F154" s="276">
        <f t="shared" si="65"/>
        <v>0</v>
      </c>
      <c r="G154" s="276">
        <f t="shared" si="65"/>
        <v>0</v>
      </c>
      <c r="H154" s="276">
        <f t="shared" si="65"/>
        <v>0</v>
      </c>
      <c r="I154" s="276">
        <f t="shared" si="65"/>
        <v>0</v>
      </c>
      <c r="J154" s="276">
        <f t="shared" si="65"/>
        <v>0</v>
      </c>
      <c r="K154" s="276">
        <f t="shared" si="65"/>
        <v>0</v>
      </c>
      <c r="L154" s="276">
        <f t="shared" si="65"/>
        <v>0</v>
      </c>
      <c r="M154" s="276">
        <f t="shared" si="65"/>
        <v>0</v>
      </c>
      <c r="N154" s="276">
        <f t="shared" si="65"/>
        <v>0</v>
      </c>
      <c r="O154" s="276">
        <f t="shared" si="65"/>
        <v>0</v>
      </c>
      <c r="P154" s="348">
        <f t="shared" ref="P154:P163" si="66">SUM(D154:O154)</f>
        <v>0</v>
      </c>
    </row>
    <row r="155" spans="2:16" x14ac:dyDescent="0.4">
      <c r="B155" s="121" t="s">
        <v>166</v>
      </c>
      <c r="C155" s="122"/>
      <c r="D155" s="299">
        <f>SUM(D156:D160)</f>
        <v>0</v>
      </c>
      <c r="E155" s="299">
        <f t="shared" ref="E155:O155" si="67">SUM(E156:E160)</f>
        <v>0</v>
      </c>
      <c r="F155" s="299">
        <f t="shared" si="67"/>
        <v>0</v>
      </c>
      <c r="G155" s="299">
        <f t="shared" si="67"/>
        <v>0</v>
      </c>
      <c r="H155" s="299">
        <f t="shared" si="67"/>
        <v>0</v>
      </c>
      <c r="I155" s="299">
        <f t="shared" si="67"/>
        <v>0</v>
      </c>
      <c r="J155" s="299">
        <f t="shared" si="67"/>
        <v>0</v>
      </c>
      <c r="K155" s="299">
        <f t="shared" si="67"/>
        <v>0</v>
      </c>
      <c r="L155" s="299">
        <f t="shared" si="67"/>
        <v>0</v>
      </c>
      <c r="M155" s="299">
        <f t="shared" si="67"/>
        <v>0</v>
      </c>
      <c r="N155" s="299">
        <f t="shared" si="67"/>
        <v>0</v>
      </c>
      <c r="O155" s="299">
        <f t="shared" si="67"/>
        <v>0</v>
      </c>
      <c r="P155" s="352">
        <f t="shared" si="66"/>
        <v>0</v>
      </c>
    </row>
    <row r="156" spans="2:16" x14ac:dyDescent="0.4">
      <c r="B156" s="19" t="s">
        <v>170</v>
      </c>
      <c r="C156" s="397">
        <v>3</v>
      </c>
      <c r="D156" s="266">
        <v>0</v>
      </c>
      <c r="E156" s="266">
        <v>0</v>
      </c>
      <c r="F156" s="266">
        <v>0</v>
      </c>
      <c r="G156" s="266">
        <v>0</v>
      </c>
      <c r="H156" s="266">
        <v>0</v>
      </c>
      <c r="I156" s="266">
        <v>0</v>
      </c>
      <c r="J156" s="266">
        <v>0</v>
      </c>
      <c r="K156" s="266">
        <v>0</v>
      </c>
      <c r="L156" s="266">
        <v>0</v>
      </c>
      <c r="M156" s="266">
        <v>0</v>
      </c>
      <c r="N156" s="266">
        <v>0</v>
      </c>
      <c r="O156" s="266">
        <v>0</v>
      </c>
      <c r="P156" s="347">
        <f t="shared" si="66"/>
        <v>0</v>
      </c>
    </row>
    <row r="157" spans="2:16" x14ac:dyDescent="0.4">
      <c r="B157" s="19" t="s">
        <v>171</v>
      </c>
      <c r="C157" s="397">
        <v>5</v>
      </c>
      <c r="D157" s="266">
        <v>0</v>
      </c>
      <c r="E157" s="266">
        <v>0</v>
      </c>
      <c r="F157" s="266">
        <v>0</v>
      </c>
      <c r="G157" s="266">
        <v>0</v>
      </c>
      <c r="H157" s="266">
        <v>0</v>
      </c>
      <c r="I157" s="266">
        <v>0</v>
      </c>
      <c r="J157" s="266">
        <v>0</v>
      </c>
      <c r="K157" s="266">
        <v>0</v>
      </c>
      <c r="L157" s="266">
        <v>0</v>
      </c>
      <c r="M157" s="266">
        <v>0</v>
      </c>
      <c r="N157" s="266">
        <v>0</v>
      </c>
      <c r="O157" s="266">
        <v>0</v>
      </c>
      <c r="P157" s="347">
        <f t="shared" si="66"/>
        <v>0</v>
      </c>
    </row>
    <row r="158" spans="2:16" x14ac:dyDescent="0.4">
      <c r="B158" s="19" t="s">
        <v>172</v>
      </c>
      <c r="C158" s="397">
        <v>5</v>
      </c>
      <c r="D158" s="266">
        <v>0</v>
      </c>
      <c r="E158" s="266">
        <v>0</v>
      </c>
      <c r="F158" s="266">
        <v>0</v>
      </c>
      <c r="G158" s="266">
        <v>0</v>
      </c>
      <c r="H158" s="266">
        <v>0</v>
      </c>
      <c r="I158" s="266">
        <v>0</v>
      </c>
      <c r="J158" s="266">
        <v>0</v>
      </c>
      <c r="K158" s="266">
        <v>0</v>
      </c>
      <c r="L158" s="266">
        <v>0</v>
      </c>
      <c r="M158" s="266">
        <v>0</v>
      </c>
      <c r="N158" s="266">
        <v>0</v>
      </c>
      <c r="O158" s="266">
        <v>0</v>
      </c>
      <c r="P158" s="347">
        <f t="shared" si="66"/>
        <v>0</v>
      </c>
    </row>
    <row r="159" spans="2:16" x14ac:dyDescent="0.4">
      <c r="B159" s="19" t="s">
        <v>173</v>
      </c>
      <c r="C159" s="397">
        <v>5</v>
      </c>
      <c r="D159" s="266">
        <v>0</v>
      </c>
      <c r="E159" s="266">
        <v>0</v>
      </c>
      <c r="F159" s="266">
        <v>0</v>
      </c>
      <c r="G159" s="266">
        <v>0</v>
      </c>
      <c r="H159" s="266">
        <v>0</v>
      </c>
      <c r="I159" s="266">
        <v>0</v>
      </c>
      <c r="J159" s="266">
        <v>0</v>
      </c>
      <c r="K159" s="266">
        <v>0</v>
      </c>
      <c r="L159" s="266">
        <v>0</v>
      </c>
      <c r="M159" s="266">
        <v>0</v>
      </c>
      <c r="N159" s="266">
        <v>0</v>
      </c>
      <c r="O159" s="266">
        <v>0</v>
      </c>
      <c r="P159" s="347">
        <f t="shared" si="66"/>
        <v>0</v>
      </c>
    </row>
    <row r="160" spans="2:16" x14ac:dyDescent="0.4">
      <c r="B160" s="19" t="s">
        <v>174</v>
      </c>
      <c r="C160" s="397">
        <v>5</v>
      </c>
      <c r="D160" s="266">
        <v>0</v>
      </c>
      <c r="E160" s="266">
        <v>0</v>
      </c>
      <c r="F160" s="266">
        <v>0</v>
      </c>
      <c r="G160" s="266">
        <v>0</v>
      </c>
      <c r="H160" s="266">
        <v>0</v>
      </c>
      <c r="I160" s="266">
        <v>0</v>
      </c>
      <c r="J160" s="266">
        <v>0</v>
      </c>
      <c r="K160" s="266">
        <v>0</v>
      </c>
      <c r="L160" s="266">
        <v>0</v>
      </c>
      <c r="M160" s="266">
        <v>0</v>
      </c>
      <c r="N160" s="266">
        <v>0</v>
      </c>
      <c r="O160" s="266">
        <v>0</v>
      </c>
      <c r="P160" s="347">
        <f t="shared" si="66"/>
        <v>0</v>
      </c>
    </row>
    <row r="161" spans="2:16" x14ac:dyDescent="0.4">
      <c r="B161" s="124" t="s">
        <v>167</v>
      </c>
      <c r="C161" s="125"/>
      <c r="D161" s="301">
        <f>SUM(D162:D163)</f>
        <v>0</v>
      </c>
      <c r="E161" s="301">
        <f t="shared" ref="E161:O161" si="68">SUM(E162:E163)</f>
        <v>0</v>
      </c>
      <c r="F161" s="301">
        <f t="shared" si="68"/>
        <v>0</v>
      </c>
      <c r="G161" s="301">
        <f t="shared" si="68"/>
        <v>0</v>
      </c>
      <c r="H161" s="301">
        <f t="shared" si="68"/>
        <v>0</v>
      </c>
      <c r="I161" s="301">
        <f t="shared" si="68"/>
        <v>0</v>
      </c>
      <c r="J161" s="301">
        <f t="shared" si="68"/>
        <v>0</v>
      </c>
      <c r="K161" s="301">
        <f t="shared" si="68"/>
        <v>0</v>
      </c>
      <c r="L161" s="301">
        <f t="shared" si="68"/>
        <v>0</v>
      </c>
      <c r="M161" s="301">
        <f t="shared" si="68"/>
        <v>0</v>
      </c>
      <c r="N161" s="301">
        <f t="shared" si="68"/>
        <v>0</v>
      </c>
      <c r="O161" s="301">
        <f t="shared" si="68"/>
        <v>0</v>
      </c>
      <c r="P161" s="347">
        <f t="shared" si="66"/>
        <v>0</v>
      </c>
    </row>
    <row r="162" spans="2:16" x14ac:dyDescent="0.4">
      <c r="B162" s="19" t="s">
        <v>168</v>
      </c>
      <c r="C162" s="123" t="s">
        <v>3</v>
      </c>
      <c r="D162" s="266">
        <v>0</v>
      </c>
      <c r="E162" s="266">
        <v>0</v>
      </c>
      <c r="F162" s="266">
        <v>0</v>
      </c>
      <c r="G162" s="266">
        <v>0</v>
      </c>
      <c r="H162" s="266">
        <v>0</v>
      </c>
      <c r="I162" s="266">
        <v>0</v>
      </c>
      <c r="J162" s="266">
        <v>0</v>
      </c>
      <c r="K162" s="266">
        <v>0</v>
      </c>
      <c r="L162" s="266">
        <v>0</v>
      </c>
      <c r="M162" s="266">
        <v>0</v>
      </c>
      <c r="N162" s="266">
        <v>0</v>
      </c>
      <c r="O162" s="266">
        <v>0</v>
      </c>
      <c r="P162" s="347">
        <f t="shared" si="66"/>
        <v>0</v>
      </c>
    </row>
    <row r="163" spans="2:16" x14ac:dyDescent="0.4">
      <c r="B163" s="126" t="s">
        <v>169</v>
      </c>
      <c r="C163" s="127" t="s">
        <v>3</v>
      </c>
      <c r="D163" s="311">
        <v>0</v>
      </c>
      <c r="E163" s="311">
        <v>0</v>
      </c>
      <c r="F163" s="311">
        <v>0</v>
      </c>
      <c r="G163" s="311">
        <v>0</v>
      </c>
      <c r="H163" s="311">
        <v>0</v>
      </c>
      <c r="I163" s="311">
        <v>0</v>
      </c>
      <c r="J163" s="311">
        <v>0</v>
      </c>
      <c r="K163" s="311">
        <v>0</v>
      </c>
      <c r="L163" s="311">
        <v>0</v>
      </c>
      <c r="M163" s="311">
        <v>0</v>
      </c>
      <c r="N163" s="311">
        <v>0</v>
      </c>
      <c r="O163" s="311">
        <v>0</v>
      </c>
      <c r="P163" s="348">
        <f t="shared" si="66"/>
        <v>0</v>
      </c>
    </row>
    <row r="165" spans="2:16" x14ac:dyDescent="0.4">
      <c r="B165" s="395" t="s">
        <v>179</v>
      </c>
      <c r="C165" s="141" t="s">
        <v>164</v>
      </c>
      <c r="D165" s="143" t="str">
        <f>D$4</f>
        <v>Jan</v>
      </c>
      <c r="E165" s="143" t="str">
        <f t="shared" ref="E165:O165" si="69">E$4</f>
        <v>Feb</v>
      </c>
      <c r="F165" s="143" t="str">
        <f t="shared" si="69"/>
        <v>Mar</v>
      </c>
      <c r="G165" s="143" t="str">
        <f t="shared" si="69"/>
        <v>Apr</v>
      </c>
      <c r="H165" s="143" t="str">
        <f t="shared" si="69"/>
        <v>May</v>
      </c>
      <c r="I165" s="143" t="str">
        <f t="shared" si="69"/>
        <v>Jun</v>
      </c>
      <c r="J165" s="143" t="str">
        <f t="shared" si="69"/>
        <v>Jul</v>
      </c>
      <c r="K165" s="143" t="str">
        <f t="shared" si="69"/>
        <v>Aug</v>
      </c>
      <c r="L165" s="143" t="str">
        <f t="shared" si="69"/>
        <v>Sep</v>
      </c>
      <c r="M165" s="143" t="str">
        <f t="shared" si="69"/>
        <v>Oct</v>
      </c>
      <c r="N165" s="143" t="str">
        <f t="shared" si="69"/>
        <v>Nov</v>
      </c>
      <c r="O165" s="143" t="str">
        <f t="shared" si="69"/>
        <v>Dec</v>
      </c>
      <c r="P165" s="143" t="s">
        <v>165</v>
      </c>
    </row>
    <row r="166" spans="2:16" x14ac:dyDescent="0.4">
      <c r="B166" s="119" t="s">
        <v>165</v>
      </c>
      <c r="C166" s="120"/>
      <c r="D166" s="276">
        <f>SUM(D167,D173)</f>
        <v>0</v>
      </c>
      <c r="E166" s="276">
        <f t="shared" ref="E166:O166" si="70">SUM(E167,E173)</f>
        <v>0</v>
      </c>
      <c r="F166" s="276">
        <f t="shared" si="70"/>
        <v>0</v>
      </c>
      <c r="G166" s="276">
        <f t="shared" si="70"/>
        <v>0</v>
      </c>
      <c r="H166" s="276">
        <f t="shared" si="70"/>
        <v>0</v>
      </c>
      <c r="I166" s="276">
        <f t="shared" si="70"/>
        <v>0</v>
      </c>
      <c r="J166" s="276">
        <f t="shared" si="70"/>
        <v>0</v>
      </c>
      <c r="K166" s="276">
        <f t="shared" si="70"/>
        <v>0</v>
      </c>
      <c r="L166" s="276">
        <f t="shared" si="70"/>
        <v>0</v>
      </c>
      <c r="M166" s="276">
        <f t="shared" si="70"/>
        <v>0</v>
      </c>
      <c r="N166" s="276">
        <f t="shared" si="70"/>
        <v>0</v>
      </c>
      <c r="O166" s="276">
        <f t="shared" si="70"/>
        <v>0</v>
      </c>
      <c r="P166" s="348">
        <f t="shared" ref="P166:P175" si="71">SUM(D166:O166)</f>
        <v>0</v>
      </c>
    </row>
    <row r="167" spans="2:16" x14ac:dyDescent="0.4">
      <c r="B167" s="121" t="s">
        <v>166</v>
      </c>
      <c r="C167" s="122"/>
      <c r="D167" s="299">
        <f>SUM(D168:D172)</f>
        <v>0</v>
      </c>
      <c r="E167" s="299">
        <f t="shared" ref="E167:O167" si="72">SUM(E168:E172)</f>
        <v>0</v>
      </c>
      <c r="F167" s="299">
        <f t="shared" si="72"/>
        <v>0</v>
      </c>
      <c r="G167" s="299">
        <f t="shared" si="72"/>
        <v>0</v>
      </c>
      <c r="H167" s="299">
        <f t="shared" si="72"/>
        <v>0</v>
      </c>
      <c r="I167" s="299">
        <f t="shared" si="72"/>
        <v>0</v>
      </c>
      <c r="J167" s="299">
        <f t="shared" si="72"/>
        <v>0</v>
      </c>
      <c r="K167" s="299">
        <f t="shared" si="72"/>
        <v>0</v>
      </c>
      <c r="L167" s="299">
        <f t="shared" si="72"/>
        <v>0</v>
      </c>
      <c r="M167" s="299">
        <f t="shared" si="72"/>
        <v>0</v>
      </c>
      <c r="N167" s="299">
        <f t="shared" si="72"/>
        <v>0</v>
      </c>
      <c r="O167" s="299">
        <f t="shared" si="72"/>
        <v>0</v>
      </c>
      <c r="P167" s="352">
        <f t="shared" si="71"/>
        <v>0</v>
      </c>
    </row>
    <row r="168" spans="2:16" x14ac:dyDescent="0.4">
      <c r="B168" s="19" t="s">
        <v>170</v>
      </c>
      <c r="C168" s="397">
        <v>3</v>
      </c>
      <c r="D168" s="266">
        <v>0</v>
      </c>
      <c r="E168" s="266">
        <v>0</v>
      </c>
      <c r="F168" s="266">
        <v>0</v>
      </c>
      <c r="G168" s="266">
        <v>0</v>
      </c>
      <c r="H168" s="266">
        <v>0</v>
      </c>
      <c r="I168" s="266">
        <v>0</v>
      </c>
      <c r="J168" s="266">
        <v>0</v>
      </c>
      <c r="K168" s="266">
        <v>0</v>
      </c>
      <c r="L168" s="266">
        <v>0</v>
      </c>
      <c r="M168" s="266">
        <v>0</v>
      </c>
      <c r="N168" s="266">
        <v>0</v>
      </c>
      <c r="O168" s="266">
        <v>0</v>
      </c>
      <c r="P168" s="347">
        <f t="shared" si="71"/>
        <v>0</v>
      </c>
    </row>
    <row r="169" spans="2:16" x14ac:dyDescent="0.4">
      <c r="B169" s="19" t="s">
        <v>171</v>
      </c>
      <c r="C169" s="397">
        <v>5</v>
      </c>
      <c r="D169" s="266">
        <v>0</v>
      </c>
      <c r="E169" s="266">
        <v>0</v>
      </c>
      <c r="F169" s="266">
        <v>0</v>
      </c>
      <c r="G169" s="266">
        <v>0</v>
      </c>
      <c r="H169" s="266">
        <v>0</v>
      </c>
      <c r="I169" s="266">
        <v>0</v>
      </c>
      <c r="J169" s="266">
        <v>0</v>
      </c>
      <c r="K169" s="266">
        <v>0</v>
      </c>
      <c r="L169" s="266">
        <v>0</v>
      </c>
      <c r="M169" s="266">
        <v>0</v>
      </c>
      <c r="N169" s="266">
        <v>0</v>
      </c>
      <c r="O169" s="266">
        <v>0</v>
      </c>
      <c r="P169" s="347">
        <f t="shared" si="71"/>
        <v>0</v>
      </c>
    </row>
    <row r="170" spans="2:16" x14ac:dyDescent="0.4">
      <c r="B170" s="19" t="s">
        <v>172</v>
      </c>
      <c r="C170" s="397">
        <v>5</v>
      </c>
      <c r="D170" s="266">
        <v>0</v>
      </c>
      <c r="E170" s="266">
        <v>0</v>
      </c>
      <c r="F170" s="266">
        <v>0</v>
      </c>
      <c r="G170" s="266">
        <v>0</v>
      </c>
      <c r="H170" s="266">
        <v>0</v>
      </c>
      <c r="I170" s="266">
        <v>0</v>
      </c>
      <c r="J170" s="266">
        <v>0</v>
      </c>
      <c r="K170" s="266">
        <v>0</v>
      </c>
      <c r="L170" s="266">
        <v>0</v>
      </c>
      <c r="M170" s="266">
        <v>0</v>
      </c>
      <c r="N170" s="266">
        <v>0</v>
      </c>
      <c r="O170" s="266">
        <v>0</v>
      </c>
      <c r="P170" s="347">
        <f t="shared" si="71"/>
        <v>0</v>
      </c>
    </row>
    <row r="171" spans="2:16" x14ac:dyDescent="0.4">
      <c r="B171" s="19" t="s">
        <v>173</v>
      </c>
      <c r="C171" s="397">
        <v>5</v>
      </c>
      <c r="D171" s="266">
        <v>0</v>
      </c>
      <c r="E171" s="266">
        <v>0</v>
      </c>
      <c r="F171" s="266">
        <v>0</v>
      </c>
      <c r="G171" s="266">
        <v>0</v>
      </c>
      <c r="H171" s="266">
        <v>0</v>
      </c>
      <c r="I171" s="266">
        <v>0</v>
      </c>
      <c r="J171" s="266">
        <v>0</v>
      </c>
      <c r="K171" s="266">
        <v>0</v>
      </c>
      <c r="L171" s="266">
        <v>0</v>
      </c>
      <c r="M171" s="266">
        <v>0</v>
      </c>
      <c r="N171" s="266">
        <v>0</v>
      </c>
      <c r="O171" s="266">
        <v>0</v>
      </c>
      <c r="P171" s="347">
        <f t="shared" si="71"/>
        <v>0</v>
      </c>
    </row>
    <row r="172" spans="2:16" x14ac:dyDescent="0.4">
      <c r="B172" s="19" t="s">
        <v>174</v>
      </c>
      <c r="C172" s="397">
        <v>5</v>
      </c>
      <c r="D172" s="266">
        <v>0</v>
      </c>
      <c r="E172" s="266">
        <v>0</v>
      </c>
      <c r="F172" s="266">
        <v>0</v>
      </c>
      <c r="G172" s="266">
        <v>0</v>
      </c>
      <c r="H172" s="266">
        <v>0</v>
      </c>
      <c r="I172" s="266">
        <v>0</v>
      </c>
      <c r="J172" s="266">
        <v>0</v>
      </c>
      <c r="K172" s="266">
        <v>0</v>
      </c>
      <c r="L172" s="266">
        <v>0</v>
      </c>
      <c r="M172" s="266">
        <v>0</v>
      </c>
      <c r="N172" s="266">
        <v>0</v>
      </c>
      <c r="O172" s="266">
        <v>0</v>
      </c>
      <c r="P172" s="347">
        <f t="shared" si="71"/>
        <v>0</v>
      </c>
    </row>
    <row r="173" spans="2:16" x14ac:dyDescent="0.4">
      <c r="B173" s="124" t="s">
        <v>167</v>
      </c>
      <c r="C173" s="125"/>
      <c r="D173" s="301">
        <f>SUM(D174:D175)</f>
        <v>0</v>
      </c>
      <c r="E173" s="301">
        <f t="shared" ref="E173:O173" si="73">SUM(E174:E175)</f>
        <v>0</v>
      </c>
      <c r="F173" s="301">
        <f t="shared" si="73"/>
        <v>0</v>
      </c>
      <c r="G173" s="301">
        <f t="shared" si="73"/>
        <v>0</v>
      </c>
      <c r="H173" s="301">
        <f t="shared" si="73"/>
        <v>0</v>
      </c>
      <c r="I173" s="301">
        <f t="shared" si="73"/>
        <v>0</v>
      </c>
      <c r="J173" s="301">
        <f t="shared" si="73"/>
        <v>0</v>
      </c>
      <c r="K173" s="301">
        <f t="shared" si="73"/>
        <v>0</v>
      </c>
      <c r="L173" s="301">
        <f t="shared" si="73"/>
        <v>0</v>
      </c>
      <c r="M173" s="301">
        <f t="shared" si="73"/>
        <v>0</v>
      </c>
      <c r="N173" s="301">
        <f t="shared" si="73"/>
        <v>0</v>
      </c>
      <c r="O173" s="301">
        <f t="shared" si="73"/>
        <v>0</v>
      </c>
      <c r="P173" s="347">
        <f t="shared" si="71"/>
        <v>0</v>
      </c>
    </row>
    <row r="174" spans="2:16" x14ac:dyDescent="0.4">
      <c r="B174" s="19" t="s">
        <v>168</v>
      </c>
      <c r="C174" s="123" t="s">
        <v>3</v>
      </c>
      <c r="D174" s="266">
        <v>0</v>
      </c>
      <c r="E174" s="266">
        <v>0</v>
      </c>
      <c r="F174" s="266">
        <v>0</v>
      </c>
      <c r="G174" s="266">
        <v>0</v>
      </c>
      <c r="H174" s="266">
        <v>0</v>
      </c>
      <c r="I174" s="266">
        <v>0</v>
      </c>
      <c r="J174" s="266">
        <v>0</v>
      </c>
      <c r="K174" s="266">
        <v>0</v>
      </c>
      <c r="L174" s="266">
        <v>0</v>
      </c>
      <c r="M174" s="266">
        <v>0</v>
      </c>
      <c r="N174" s="266">
        <v>0</v>
      </c>
      <c r="O174" s="266">
        <v>0</v>
      </c>
      <c r="P174" s="347">
        <f t="shared" si="71"/>
        <v>0</v>
      </c>
    </row>
    <row r="175" spans="2:16" x14ac:dyDescent="0.4">
      <c r="B175" s="126" t="s">
        <v>169</v>
      </c>
      <c r="C175" s="127" t="s">
        <v>3</v>
      </c>
      <c r="D175" s="311">
        <v>0</v>
      </c>
      <c r="E175" s="311">
        <v>0</v>
      </c>
      <c r="F175" s="311">
        <v>0</v>
      </c>
      <c r="G175" s="311">
        <v>0</v>
      </c>
      <c r="H175" s="311">
        <v>0</v>
      </c>
      <c r="I175" s="311">
        <v>0</v>
      </c>
      <c r="J175" s="311">
        <v>0</v>
      </c>
      <c r="K175" s="311">
        <v>0</v>
      </c>
      <c r="L175" s="311">
        <v>0</v>
      </c>
      <c r="M175" s="311">
        <v>0</v>
      </c>
      <c r="N175" s="311">
        <v>0</v>
      </c>
      <c r="O175" s="311">
        <v>0</v>
      </c>
      <c r="P175" s="348">
        <f t="shared" si="71"/>
        <v>0</v>
      </c>
    </row>
    <row r="177" spans="2:16" x14ac:dyDescent="0.4">
      <c r="B177" s="395" t="s">
        <v>178</v>
      </c>
      <c r="C177" s="141" t="s">
        <v>164</v>
      </c>
      <c r="D177" s="143" t="str">
        <f>D$4</f>
        <v>Jan</v>
      </c>
      <c r="E177" s="143" t="str">
        <f t="shared" ref="E177:O177" si="74">E$4</f>
        <v>Feb</v>
      </c>
      <c r="F177" s="143" t="str">
        <f t="shared" si="74"/>
        <v>Mar</v>
      </c>
      <c r="G177" s="143" t="str">
        <f t="shared" si="74"/>
        <v>Apr</v>
      </c>
      <c r="H177" s="143" t="str">
        <f t="shared" si="74"/>
        <v>May</v>
      </c>
      <c r="I177" s="143" t="str">
        <f t="shared" si="74"/>
        <v>Jun</v>
      </c>
      <c r="J177" s="143" t="str">
        <f t="shared" si="74"/>
        <v>Jul</v>
      </c>
      <c r="K177" s="143" t="str">
        <f t="shared" si="74"/>
        <v>Aug</v>
      </c>
      <c r="L177" s="143" t="str">
        <f t="shared" si="74"/>
        <v>Sep</v>
      </c>
      <c r="M177" s="143" t="str">
        <f t="shared" si="74"/>
        <v>Oct</v>
      </c>
      <c r="N177" s="143" t="str">
        <f t="shared" si="74"/>
        <v>Nov</v>
      </c>
      <c r="O177" s="143" t="str">
        <f t="shared" si="74"/>
        <v>Dec</v>
      </c>
      <c r="P177" s="143" t="s">
        <v>165</v>
      </c>
    </row>
    <row r="178" spans="2:16" x14ac:dyDescent="0.4">
      <c r="B178" s="119" t="s">
        <v>165</v>
      </c>
      <c r="C178" s="120"/>
      <c r="D178" s="276">
        <f>SUM(D179,D185)</f>
        <v>0</v>
      </c>
      <c r="E178" s="276">
        <f t="shared" ref="E178:O178" si="75">SUM(E179,E185)</f>
        <v>0</v>
      </c>
      <c r="F178" s="276">
        <f t="shared" si="75"/>
        <v>0</v>
      </c>
      <c r="G178" s="276">
        <f t="shared" si="75"/>
        <v>0</v>
      </c>
      <c r="H178" s="276">
        <f t="shared" si="75"/>
        <v>0</v>
      </c>
      <c r="I178" s="276">
        <f t="shared" si="75"/>
        <v>0</v>
      </c>
      <c r="J178" s="276">
        <f t="shared" si="75"/>
        <v>0</v>
      </c>
      <c r="K178" s="276">
        <f t="shared" si="75"/>
        <v>0</v>
      </c>
      <c r="L178" s="276">
        <f t="shared" si="75"/>
        <v>0</v>
      </c>
      <c r="M178" s="276">
        <f t="shared" si="75"/>
        <v>0</v>
      </c>
      <c r="N178" s="276">
        <f t="shared" si="75"/>
        <v>0</v>
      </c>
      <c r="O178" s="276">
        <f t="shared" si="75"/>
        <v>0</v>
      </c>
      <c r="P178" s="348">
        <f t="shared" ref="P178:P187" si="76">SUM(D178:O178)</f>
        <v>0</v>
      </c>
    </row>
    <row r="179" spans="2:16" x14ac:dyDescent="0.4">
      <c r="B179" s="121" t="s">
        <v>166</v>
      </c>
      <c r="C179" s="122"/>
      <c r="D179" s="299">
        <f>SUM(D180:D184)</f>
        <v>0</v>
      </c>
      <c r="E179" s="299">
        <f t="shared" ref="E179:O179" si="77">SUM(E180:E184)</f>
        <v>0</v>
      </c>
      <c r="F179" s="299">
        <f t="shared" si="77"/>
        <v>0</v>
      </c>
      <c r="G179" s="299">
        <f t="shared" si="77"/>
        <v>0</v>
      </c>
      <c r="H179" s="299">
        <f t="shared" si="77"/>
        <v>0</v>
      </c>
      <c r="I179" s="299">
        <f t="shared" si="77"/>
        <v>0</v>
      </c>
      <c r="J179" s="299">
        <f t="shared" si="77"/>
        <v>0</v>
      </c>
      <c r="K179" s="299">
        <f t="shared" si="77"/>
        <v>0</v>
      </c>
      <c r="L179" s="299">
        <f t="shared" si="77"/>
        <v>0</v>
      </c>
      <c r="M179" s="299">
        <f t="shared" si="77"/>
        <v>0</v>
      </c>
      <c r="N179" s="299">
        <f t="shared" si="77"/>
        <v>0</v>
      </c>
      <c r="O179" s="299">
        <f t="shared" si="77"/>
        <v>0</v>
      </c>
      <c r="P179" s="352">
        <f t="shared" si="76"/>
        <v>0</v>
      </c>
    </row>
    <row r="180" spans="2:16" x14ac:dyDescent="0.4">
      <c r="B180" s="19" t="s">
        <v>170</v>
      </c>
      <c r="C180" s="397">
        <v>3</v>
      </c>
      <c r="D180" s="266">
        <v>0</v>
      </c>
      <c r="E180" s="266">
        <v>0</v>
      </c>
      <c r="F180" s="266">
        <v>0</v>
      </c>
      <c r="G180" s="266">
        <v>0</v>
      </c>
      <c r="H180" s="266">
        <v>0</v>
      </c>
      <c r="I180" s="266">
        <v>0</v>
      </c>
      <c r="J180" s="266">
        <v>0</v>
      </c>
      <c r="K180" s="266">
        <v>0</v>
      </c>
      <c r="L180" s="266">
        <v>0</v>
      </c>
      <c r="M180" s="266">
        <v>0</v>
      </c>
      <c r="N180" s="266">
        <v>0</v>
      </c>
      <c r="O180" s="266">
        <v>0</v>
      </c>
      <c r="P180" s="347">
        <f t="shared" si="76"/>
        <v>0</v>
      </c>
    </row>
    <row r="181" spans="2:16" x14ac:dyDescent="0.4">
      <c r="B181" s="19" t="s">
        <v>171</v>
      </c>
      <c r="C181" s="397">
        <v>5</v>
      </c>
      <c r="D181" s="266">
        <v>0</v>
      </c>
      <c r="E181" s="266">
        <v>0</v>
      </c>
      <c r="F181" s="266">
        <v>0</v>
      </c>
      <c r="G181" s="266">
        <v>0</v>
      </c>
      <c r="H181" s="266">
        <v>0</v>
      </c>
      <c r="I181" s="266">
        <v>0</v>
      </c>
      <c r="J181" s="266">
        <v>0</v>
      </c>
      <c r="K181" s="266">
        <v>0</v>
      </c>
      <c r="L181" s="266">
        <v>0</v>
      </c>
      <c r="M181" s="266">
        <v>0</v>
      </c>
      <c r="N181" s="266">
        <v>0</v>
      </c>
      <c r="O181" s="266">
        <v>0</v>
      </c>
      <c r="P181" s="347">
        <f t="shared" si="76"/>
        <v>0</v>
      </c>
    </row>
    <row r="182" spans="2:16" x14ac:dyDescent="0.4">
      <c r="B182" s="19" t="s">
        <v>172</v>
      </c>
      <c r="C182" s="397">
        <v>5</v>
      </c>
      <c r="D182" s="266">
        <v>0</v>
      </c>
      <c r="E182" s="266">
        <v>0</v>
      </c>
      <c r="F182" s="266">
        <v>0</v>
      </c>
      <c r="G182" s="266">
        <v>0</v>
      </c>
      <c r="H182" s="266">
        <v>0</v>
      </c>
      <c r="I182" s="266">
        <v>0</v>
      </c>
      <c r="J182" s="266">
        <v>0</v>
      </c>
      <c r="K182" s="266">
        <v>0</v>
      </c>
      <c r="L182" s="266">
        <v>0</v>
      </c>
      <c r="M182" s="266">
        <v>0</v>
      </c>
      <c r="N182" s="266">
        <v>0</v>
      </c>
      <c r="O182" s="266">
        <v>0</v>
      </c>
      <c r="P182" s="347">
        <f t="shared" si="76"/>
        <v>0</v>
      </c>
    </row>
    <row r="183" spans="2:16" x14ac:dyDescent="0.4">
      <c r="B183" s="19" t="s">
        <v>173</v>
      </c>
      <c r="C183" s="397">
        <v>5</v>
      </c>
      <c r="D183" s="266">
        <v>0</v>
      </c>
      <c r="E183" s="266">
        <v>0</v>
      </c>
      <c r="F183" s="266">
        <v>0</v>
      </c>
      <c r="G183" s="266">
        <v>0</v>
      </c>
      <c r="H183" s="266">
        <v>0</v>
      </c>
      <c r="I183" s="266">
        <v>0</v>
      </c>
      <c r="J183" s="266">
        <v>0</v>
      </c>
      <c r="K183" s="266">
        <v>0</v>
      </c>
      <c r="L183" s="266">
        <v>0</v>
      </c>
      <c r="M183" s="266">
        <v>0</v>
      </c>
      <c r="N183" s="266">
        <v>0</v>
      </c>
      <c r="O183" s="266">
        <v>0</v>
      </c>
      <c r="P183" s="347">
        <f t="shared" si="76"/>
        <v>0</v>
      </c>
    </row>
    <row r="184" spans="2:16" x14ac:dyDescent="0.4">
      <c r="B184" s="19" t="s">
        <v>174</v>
      </c>
      <c r="C184" s="397">
        <v>5</v>
      </c>
      <c r="D184" s="266">
        <v>0</v>
      </c>
      <c r="E184" s="266">
        <v>0</v>
      </c>
      <c r="F184" s="266">
        <v>0</v>
      </c>
      <c r="G184" s="266">
        <v>0</v>
      </c>
      <c r="H184" s="266">
        <v>0</v>
      </c>
      <c r="I184" s="266">
        <v>0</v>
      </c>
      <c r="J184" s="266">
        <v>0</v>
      </c>
      <c r="K184" s="266">
        <v>0</v>
      </c>
      <c r="L184" s="266">
        <v>0</v>
      </c>
      <c r="M184" s="266">
        <v>0</v>
      </c>
      <c r="N184" s="266">
        <v>0</v>
      </c>
      <c r="O184" s="266">
        <v>0</v>
      </c>
      <c r="P184" s="347">
        <f t="shared" si="76"/>
        <v>0</v>
      </c>
    </row>
    <row r="185" spans="2:16" x14ac:dyDescent="0.4">
      <c r="B185" s="124" t="s">
        <v>167</v>
      </c>
      <c r="C185" s="125"/>
      <c r="D185" s="301">
        <f>SUM(D186:D187)</f>
        <v>0</v>
      </c>
      <c r="E185" s="301">
        <f t="shared" ref="E185:O185" si="78">SUM(E186:E187)</f>
        <v>0</v>
      </c>
      <c r="F185" s="301">
        <f t="shared" si="78"/>
        <v>0</v>
      </c>
      <c r="G185" s="301">
        <f t="shared" si="78"/>
        <v>0</v>
      </c>
      <c r="H185" s="301">
        <f t="shared" si="78"/>
        <v>0</v>
      </c>
      <c r="I185" s="301">
        <f t="shared" si="78"/>
        <v>0</v>
      </c>
      <c r="J185" s="301">
        <f t="shared" si="78"/>
        <v>0</v>
      </c>
      <c r="K185" s="301">
        <f t="shared" si="78"/>
        <v>0</v>
      </c>
      <c r="L185" s="301">
        <f t="shared" si="78"/>
        <v>0</v>
      </c>
      <c r="M185" s="301">
        <f t="shared" si="78"/>
        <v>0</v>
      </c>
      <c r="N185" s="301">
        <f t="shared" si="78"/>
        <v>0</v>
      </c>
      <c r="O185" s="301">
        <f t="shared" si="78"/>
        <v>0</v>
      </c>
      <c r="P185" s="347">
        <f t="shared" si="76"/>
        <v>0</v>
      </c>
    </row>
    <row r="186" spans="2:16" x14ac:dyDescent="0.4">
      <c r="B186" s="19" t="s">
        <v>168</v>
      </c>
      <c r="C186" s="123" t="s">
        <v>3</v>
      </c>
      <c r="D186" s="266">
        <v>0</v>
      </c>
      <c r="E186" s="266">
        <v>0</v>
      </c>
      <c r="F186" s="266">
        <v>0</v>
      </c>
      <c r="G186" s="266">
        <v>0</v>
      </c>
      <c r="H186" s="266">
        <v>0</v>
      </c>
      <c r="I186" s="266">
        <v>0</v>
      </c>
      <c r="J186" s="266">
        <v>0</v>
      </c>
      <c r="K186" s="266">
        <v>0</v>
      </c>
      <c r="L186" s="266">
        <v>0</v>
      </c>
      <c r="M186" s="266">
        <v>0</v>
      </c>
      <c r="N186" s="266">
        <v>0</v>
      </c>
      <c r="O186" s="266">
        <v>0</v>
      </c>
      <c r="P186" s="347">
        <f t="shared" si="76"/>
        <v>0</v>
      </c>
    </row>
    <row r="187" spans="2:16" x14ac:dyDescent="0.4">
      <c r="B187" s="126" t="s">
        <v>169</v>
      </c>
      <c r="C187" s="127" t="s">
        <v>3</v>
      </c>
      <c r="D187" s="311">
        <v>0</v>
      </c>
      <c r="E187" s="311">
        <v>0</v>
      </c>
      <c r="F187" s="311">
        <v>0</v>
      </c>
      <c r="G187" s="311">
        <v>0</v>
      </c>
      <c r="H187" s="311">
        <v>0</v>
      </c>
      <c r="I187" s="311">
        <v>0</v>
      </c>
      <c r="J187" s="311">
        <v>0</v>
      </c>
      <c r="K187" s="311">
        <v>0</v>
      </c>
      <c r="L187" s="311">
        <v>0</v>
      </c>
      <c r="M187" s="311">
        <v>0</v>
      </c>
      <c r="N187" s="311">
        <v>0</v>
      </c>
      <c r="O187" s="311">
        <v>0</v>
      </c>
      <c r="P187" s="348">
        <f t="shared" si="76"/>
        <v>0</v>
      </c>
    </row>
    <row r="189" spans="2:16" x14ac:dyDescent="0.4">
      <c r="B189" s="395" t="s">
        <v>177</v>
      </c>
      <c r="C189" s="141" t="s">
        <v>164</v>
      </c>
      <c r="D189" s="143" t="str">
        <f>D$4</f>
        <v>Jan</v>
      </c>
      <c r="E189" s="143" t="str">
        <f t="shared" ref="E189:O189" si="79">E$4</f>
        <v>Feb</v>
      </c>
      <c r="F189" s="143" t="str">
        <f t="shared" si="79"/>
        <v>Mar</v>
      </c>
      <c r="G189" s="143" t="str">
        <f t="shared" si="79"/>
        <v>Apr</v>
      </c>
      <c r="H189" s="143" t="str">
        <f t="shared" si="79"/>
        <v>May</v>
      </c>
      <c r="I189" s="143" t="str">
        <f t="shared" si="79"/>
        <v>Jun</v>
      </c>
      <c r="J189" s="143" t="str">
        <f t="shared" si="79"/>
        <v>Jul</v>
      </c>
      <c r="K189" s="143" t="str">
        <f t="shared" si="79"/>
        <v>Aug</v>
      </c>
      <c r="L189" s="143" t="str">
        <f t="shared" si="79"/>
        <v>Sep</v>
      </c>
      <c r="M189" s="143" t="str">
        <f t="shared" si="79"/>
        <v>Oct</v>
      </c>
      <c r="N189" s="143" t="str">
        <f t="shared" si="79"/>
        <v>Nov</v>
      </c>
      <c r="O189" s="143" t="str">
        <f t="shared" si="79"/>
        <v>Dec</v>
      </c>
      <c r="P189" s="143" t="s">
        <v>165</v>
      </c>
    </row>
    <row r="190" spans="2:16" x14ac:dyDescent="0.4">
      <c r="B190" s="119" t="s">
        <v>165</v>
      </c>
      <c r="C190" s="120"/>
      <c r="D190" s="276">
        <f>SUM(D191,D197)</f>
        <v>0</v>
      </c>
      <c r="E190" s="276">
        <f t="shared" ref="E190:O190" si="80">SUM(E191,E197)</f>
        <v>0</v>
      </c>
      <c r="F190" s="276">
        <f t="shared" si="80"/>
        <v>0</v>
      </c>
      <c r="G190" s="276">
        <f t="shared" si="80"/>
        <v>0</v>
      </c>
      <c r="H190" s="276">
        <f t="shared" si="80"/>
        <v>0</v>
      </c>
      <c r="I190" s="276">
        <f t="shared" si="80"/>
        <v>0</v>
      </c>
      <c r="J190" s="276">
        <f t="shared" si="80"/>
        <v>0</v>
      </c>
      <c r="K190" s="276">
        <f t="shared" si="80"/>
        <v>0</v>
      </c>
      <c r="L190" s="276">
        <f t="shared" si="80"/>
        <v>0</v>
      </c>
      <c r="M190" s="276">
        <f t="shared" si="80"/>
        <v>0</v>
      </c>
      <c r="N190" s="276">
        <f t="shared" si="80"/>
        <v>0</v>
      </c>
      <c r="O190" s="276">
        <f t="shared" si="80"/>
        <v>0</v>
      </c>
      <c r="P190" s="348">
        <f t="shared" ref="P190:P199" si="81">SUM(D190:O190)</f>
        <v>0</v>
      </c>
    </row>
    <row r="191" spans="2:16" x14ac:dyDescent="0.4">
      <c r="B191" s="121" t="s">
        <v>166</v>
      </c>
      <c r="C191" s="122"/>
      <c r="D191" s="299">
        <f>SUM(D192:D196)</f>
        <v>0</v>
      </c>
      <c r="E191" s="299">
        <f t="shared" ref="E191:O191" si="82">SUM(E192:E196)</f>
        <v>0</v>
      </c>
      <c r="F191" s="299">
        <f t="shared" si="82"/>
        <v>0</v>
      </c>
      <c r="G191" s="299">
        <f t="shared" si="82"/>
        <v>0</v>
      </c>
      <c r="H191" s="299">
        <f t="shared" si="82"/>
        <v>0</v>
      </c>
      <c r="I191" s="299">
        <f t="shared" si="82"/>
        <v>0</v>
      </c>
      <c r="J191" s="299">
        <f t="shared" si="82"/>
        <v>0</v>
      </c>
      <c r="K191" s="299">
        <f t="shared" si="82"/>
        <v>0</v>
      </c>
      <c r="L191" s="299">
        <f t="shared" si="82"/>
        <v>0</v>
      </c>
      <c r="M191" s="299">
        <f t="shared" si="82"/>
        <v>0</v>
      </c>
      <c r="N191" s="299">
        <f t="shared" si="82"/>
        <v>0</v>
      </c>
      <c r="O191" s="299">
        <f t="shared" si="82"/>
        <v>0</v>
      </c>
      <c r="P191" s="352">
        <f t="shared" si="81"/>
        <v>0</v>
      </c>
    </row>
    <row r="192" spans="2:16" x14ac:dyDescent="0.4">
      <c r="B192" s="19" t="s">
        <v>170</v>
      </c>
      <c r="C192" s="397">
        <v>3</v>
      </c>
      <c r="D192" s="266">
        <v>0</v>
      </c>
      <c r="E192" s="266">
        <v>0</v>
      </c>
      <c r="F192" s="266">
        <v>0</v>
      </c>
      <c r="G192" s="266">
        <v>0</v>
      </c>
      <c r="H192" s="266">
        <v>0</v>
      </c>
      <c r="I192" s="266">
        <v>0</v>
      </c>
      <c r="J192" s="266">
        <v>0</v>
      </c>
      <c r="K192" s="266">
        <v>0</v>
      </c>
      <c r="L192" s="266">
        <v>0</v>
      </c>
      <c r="M192" s="266">
        <v>0</v>
      </c>
      <c r="N192" s="266">
        <v>0</v>
      </c>
      <c r="O192" s="266">
        <v>0</v>
      </c>
      <c r="P192" s="347">
        <f t="shared" si="81"/>
        <v>0</v>
      </c>
    </row>
    <row r="193" spans="2:16" x14ac:dyDescent="0.4">
      <c r="B193" s="19" t="s">
        <v>171</v>
      </c>
      <c r="C193" s="397">
        <v>5</v>
      </c>
      <c r="D193" s="266">
        <v>0</v>
      </c>
      <c r="E193" s="266">
        <v>0</v>
      </c>
      <c r="F193" s="266">
        <v>0</v>
      </c>
      <c r="G193" s="266">
        <v>0</v>
      </c>
      <c r="H193" s="266">
        <v>0</v>
      </c>
      <c r="I193" s="266">
        <v>0</v>
      </c>
      <c r="J193" s="266">
        <v>0</v>
      </c>
      <c r="K193" s="266">
        <v>0</v>
      </c>
      <c r="L193" s="266">
        <v>0</v>
      </c>
      <c r="M193" s="266">
        <v>0</v>
      </c>
      <c r="N193" s="266">
        <v>0</v>
      </c>
      <c r="O193" s="266">
        <v>0</v>
      </c>
      <c r="P193" s="347">
        <f t="shared" si="81"/>
        <v>0</v>
      </c>
    </row>
    <row r="194" spans="2:16" x14ac:dyDescent="0.4">
      <c r="B194" s="19" t="s">
        <v>172</v>
      </c>
      <c r="C194" s="397">
        <v>5</v>
      </c>
      <c r="D194" s="266">
        <v>0</v>
      </c>
      <c r="E194" s="266">
        <v>0</v>
      </c>
      <c r="F194" s="266">
        <v>0</v>
      </c>
      <c r="G194" s="266">
        <v>0</v>
      </c>
      <c r="H194" s="266">
        <v>0</v>
      </c>
      <c r="I194" s="266">
        <v>0</v>
      </c>
      <c r="J194" s="266">
        <v>0</v>
      </c>
      <c r="K194" s="266">
        <v>0</v>
      </c>
      <c r="L194" s="266">
        <v>0</v>
      </c>
      <c r="M194" s="266">
        <v>0</v>
      </c>
      <c r="N194" s="266">
        <v>0</v>
      </c>
      <c r="O194" s="266">
        <v>0</v>
      </c>
      <c r="P194" s="347">
        <f t="shared" si="81"/>
        <v>0</v>
      </c>
    </row>
    <row r="195" spans="2:16" x14ac:dyDescent="0.4">
      <c r="B195" s="19" t="s">
        <v>173</v>
      </c>
      <c r="C195" s="397">
        <v>5</v>
      </c>
      <c r="D195" s="266">
        <v>0</v>
      </c>
      <c r="E195" s="266">
        <v>0</v>
      </c>
      <c r="F195" s="266">
        <v>0</v>
      </c>
      <c r="G195" s="266">
        <v>0</v>
      </c>
      <c r="H195" s="266">
        <v>0</v>
      </c>
      <c r="I195" s="266">
        <v>0</v>
      </c>
      <c r="J195" s="266">
        <v>0</v>
      </c>
      <c r="K195" s="266">
        <v>0</v>
      </c>
      <c r="L195" s="266">
        <v>0</v>
      </c>
      <c r="M195" s="266">
        <v>0</v>
      </c>
      <c r="N195" s="266">
        <v>0</v>
      </c>
      <c r="O195" s="266">
        <v>0</v>
      </c>
      <c r="P195" s="347">
        <f t="shared" si="81"/>
        <v>0</v>
      </c>
    </row>
    <row r="196" spans="2:16" x14ac:dyDescent="0.4">
      <c r="B196" s="19" t="s">
        <v>174</v>
      </c>
      <c r="C196" s="397">
        <v>5</v>
      </c>
      <c r="D196" s="266">
        <v>0</v>
      </c>
      <c r="E196" s="266">
        <v>0</v>
      </c>
      <c r="F196" s="266">
        <v>0</v>
      </c>
      <c r="G196" s="266">
        <v>0</v>
      </c>
      <c r="H196" s="266">
        <v>0</v>
      </c>
      <c r="I196" s="266">
        <v>0</v>
      </c>
      <c r="J196" s="266">
        <v>0</v>
      </c>
      <c r="K196" s="266">
        <v>0</v>
      </c>
      <c r="L196" s="266">
        <v>0</v>
      </c>
      <c r="M196" s="266">
        <v>0</v>
      </c>
      <c r="N196" s="266">
        <v>0</v>
      </c>
      <c r="O196" s="266">
        <v>0</v>
      </c>
      <c r="P196" s="347">
        <f t="shared" si="81"/>
        <v>0</v>
      </c>
    </row>
    <row r="197" spans="2:16" x14ac:dyDescent="0.4">
      <c r="B197" s="124" t="s">
        <v>167</v>
      </c>
      <c r="C197" s="125"/>
      <c r="D197" s="301">
        <f>SUM(D198:D199)</f>
        <v>0</v>
      </c>
      <c r="E197" s="301">
        <f t="shared" ref="E197:O197" si="83">SUM(E198:E199)</f>
        <v>0</v>
      </c>
      <c r="F197" s="301">
        <f t="shared" si="83"/>
        <v>0</v>
      </c>
      <c r="G197" s="301">
        <f t="shared" si="83"/>
        <v>0</v>
      </c>
      <c r="H197" s="301">
        <f t="shared" si="83"/>
        <v>0</v>
      </c>
      <c r="I197" s="301">
        <f t="shared" si="83"/>
        <v>0</v>
      </c>
      <c r="J197" s="301">
        <f t="shared" si="83"/>
        <v>0</v>
      </c>
      <c r="K197" s="301">
        <f t="shared" si="83"/>
        <v>0</v>
      </c>
      <c r="L197" s="301">
        <f t="shared" si="83"/>
        <v>0</v>
      </c>
      <c r="M197" s="301">
        <f t="shared" si="83"/>
        <v>0</v>
      </c>
      <c r="N197" s="301">
        <f t="shared" si="83"/>
        <v>0</v>
      </c>
      <c r="O197" s="301">
        <f t="shared" si="83"/>
        <v>0</v>
      </c>
      <c r="P197" s="347">
        <f t="shared" si="81"/>
        <v>0</v>
      </c>
    </row>
    <row r="198" spans="2:16" x14ac:dyDescent="0.4">
      <c r="B198" s="19" t="s">
        <v>168</v>
      </c>
      <c r="C198" s="123" t="s">
        <v>3</v>
      </c>
      <c r="D198" s="266">
        <v>0</v>
      </c>
      <c r="E198" s="266">
        <v>0</v>
      </c>
      <c r="F198" s="266">
        <v>0</v>
      </c>
      <c r="G198" s="266">
        <v>0</v>
      </c>
      <c r="H198" s="266">
        <v>0</v>
      </c>
      <c r="I198" s="266">
        <v>0</v>
      </c>
      <c r="J198" s="266">
        <v>0</v>
      </c>
      <c r="K198" s="266">
        <v>0</v>
      </c>
      <c r="L198" s="266">
        <v>0</v>
      </c>
      <c r="M198" s="266">
        <v>0</v>
      </c>
      <c r="N198" s="266">
        <v>0</v>
      </c>
      <c r="O198" s="266">
        <v>0</v>
      </c>
      <c r="P198" s="347">
        <f t="shared" si="81"/>
        <v>0</v>
      </c>
    </row>
    <row r="199" spans="2:16" x14ac:dyDescent="0.4">
      <c r="B199" s="126" t="s">
        <v>169</v>
      </c>
      <c r="C199" s="127" t="s">
        <v>3</v>
      </c>
      <c r="D199" s="311">
        <v>0</v>
      </c>
      <c r="E199" s="311">
        <v>0</v>
      </c>
      <c r="F199" s="311">
        <v>0</v>
      </c>
      <c r="G199" s="311">
        <v>0</v>
      </c>
      <c r="H199" s="311">
        <v>0</v>
      </c>
      <c r="I199" s="311">
        <v>0</v>
      </c>
      <c r="J199" s="311">
        <v>0</v>
      </c>
      <c r="K199" s="311">
        <v>0</v>
      </c>
      <c r="L199" s="311">
        <v>0</v>
      </c>
      <c r="M199" s="311">
        <v>0</v>
      </c>
      <c r="N199" s="311">
        <v>0</v>
      </c>
      <c r="O199" s="311">
        <v>0</v>
      </c>
      <c r="P199" s="348">
        <f t="shared" si="81"/>
        <v>0</v>
      </c>
    </row>
  </sheetData>
  <sheetProtection formatColumns="0" formatRows="0" selectLockedCells="1"/>
  <protectedRanges>
    <protectedRange sqref="C47:C49 B44 C45 B47:B51 C59:C61 B56 C57 B59:B63 C71:C73 B68 C69 B71:B75 C84:C86 B81 C82 B93 C94 B96:B100 B105 C106 B108:B112 B117 C118 B120:B124 B129 C130 B132:B136 B141 C142 B144:B148 B153 C154 B156:B160 B165 C166 B168:B172 B177 C178 B180:B184 B189 C190 B192:B196 C96:C98 C108:C110 C120:C122 C132:C134 C144:C146 C156:C158 C168:C170 C180:C182 C192:C194 B84:B88" name="Range6"/>
    <protectedRange sqref="C50:C52 C46 B53:C54 C62:C64 C58 B65:C66 C74:C76 C70 B77:C78 C87:C89 C83 B90:C91 C95 B102:C103 C107 B114:C115 C119 B126:C127 C131 B138:C139 C143 B150:C151 C155 B162:C163 C167 B174:C175 C179 B186:C187 C191 B198:C199 C99:C101 C111:C113 C123:C125 C135:C137 C147:C149 C159:C161 C171:C173 C183:C185 C195:C197" name="Range2"/>
    <protectedRange sqref="D59:O63 D71:O75 D108:O112 D120:O124 D132:O136 D144:O148 D156:O160 D162:O163 D150:O151 D138:O139 D126:O127 D114:O115 D102:O103 D77:O78 D65:O66 D30:O40 D168:O172 D174:O175 D180:O184 D186:O187 D192:O196 D198:O199 D96:O100 D47:O51 D53:O54 D90:O91 D22:O22 D84:O88 D25:O25" name="Range1"/>
  </protectedRanges>
  <phoneticPr fontId="2" type="noConversion"/>
  <dataValidations disablePrompts="1" count="2">
    <dataValidation type="list" allowBlank="1" showInputMessage="1" showErrorMessage="1" sqref="C4" xr:uid="{00000000-0002-0000-0E00-000001000000}">
      <formula1>"Straight Line,Declining Method"</formula1>
    </dataValidation>
    <dataValidation type="list" allowBlank="1" showInputMessage="1" showErrorMessage="1" sqref="C47:C51 C59:C63 C71:C75" xr:uid="{185FC7B2-A276-445E-9D53-2C0A8AD7CCC7}">
      <formula1>Intangible_Depr_Years</formula1>
    </dataValidation>
  </dataValidations>
  <pageMargins left="0.75" right="0.75" top="1" bottom="1" header="0.5" footer="0.5"/>
  <pageSetup paperSize="9" scale="64" orientation="landscape" r:id="rId1"/>
  <headerFooter alignWithMargins="0"/>
  <rowBreaks count="1" manualBreakCount="1">
    <brk id="55" min="1" max="16" man="1"/>
  </rowBreaks>
  <ignoredErrors>
    <ignoredError sqref="E31:O31 E30:O30 E37:O37 D34:O34 D33:E33 G33:O33 E32:O32 D36:O36 D35:J35 L35:O3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Chart Helpers</vt:lpstr>
      <vt:lpstr>Pieņēmumi</vt:lpstr>
      <vt:lpstr>PZA</vt:lpstr>
      <vt:lpstr>Bilance</vt:lpstr>
      <vt:lpstr>NP</vt:lpstr>
      <vt:lpstr>Pārdošana</vt:lpstr>
      <vt:lpstr>Ražošana</vt:lpstr>
      <vt:lpstr>Algas</vt:lpstr>
      <vt:lpstr>Admin</vt:lpstr>
      <vt:lpstr>Iepirkumi</vt:lpstr>
      <vt:lpstr>Debitori</vt:lpstr>
      <vt:lpstr>Piegādātāji</vt:lpstr>
      <vt:lpstr>Finansēšana</vt:lpstr>
      <vt:lpstr>CapEx</vt:lpstr>
      <vt:lpstr>Depreciation_Years</vt:lpstr>
      <vt:lpstr>Intangible_Depr_Years</vt:lpstr>
      <vt:lpstr>PZA!OLE_LINK5</vt:lpstr>
      <vt:lpstr>Bilance!Print_Area</vt:lpstr>
      <vt:lpstr>CapEx!Print_Area</vt:lpstr>
      <vt:lpstr>Debitori!Print_Area</vt:lpstr>
      <vt:lpstr>Finansēšana!Print_Area</vt:lpstr>
      <vt:lpstr>NP!Print_Area</vt:lpstr>
      <vt:lpstr>Pārdošana!Print_Area</vt:lpstr>
      <vt:lpstr>Piegādātāji!Print_Area</vt:lpstr>
      <vt:lpstr>Pieņēmumi!Print_Area</vt:lpstr>
      <vt:lpstr>PZA!Print_Area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CFOTemplates.com</dc:creator>
  <cp:lastModifiedBy>Maksims</cp:lastModifiedBy>
  <cp:lastPrinted>2021-02-21T11:45:04Z</cp:lastPrinted>
  <dcterms:created xsi:type="dcterms:W3CDTF">2009-06-15T13:00:25Z</dcterms:created>
  <dcterms:modified xsi:type="dcterms:W3CDTF">2022-12-13T12:06:24Z</dcterms:modified>
</cp:coreProperties>
</file>