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5213\Downloads\"/>
    </mc:Choice>
  </mc:AlternateContent>
  <xr:revisionPtr revIDLastSave="0" documentId="13_ncr:1_{E7FFBCDD-621E-440F-BD7B-F1C647C670D9}" xr6:coauthVersionLast="47" xr6:coauthVersionMax="47" xr10:uidLastSave="{00000000-0000-0000-0000-000000000000}"/>
  <bookViews>
    <workbookView xWindow="-120" yWindow="-120" windowWidth="20730" windowHeight="11160" xr2:uid="{6FAAD675-46DE-4D0D-AECD-DCC834E107E1}"/>
  </bookViews>
  <sheets>
    <sheet name="RESUMO GERAL" sheetId="9" r:id="rId1"/>
    <sheet name="Custos Sul e Sudeste" sheetId="3" r:id="rId2"/>
    <sheet name="Custos Norte e C.Oeste" sheetId="2" r:id="rId3"/>
    <sheet name="Custos Nordeste" sheetId="1" r:id="rId4"/>
    <sheet name="Receita Sul e Suldeste" sheetId="6" r:id="rId5"/>
    <sheet name="Receita Norte e C.Oeste" sheetId="7" r:id="rId6"/>
    <sheet name="Receita Nordeste" sheetId="5" r:id="rId7"/>
    <sheet name="SAZIONALIDADE" sheetId="10" r:id="rId8"/>
    <sheet name="REFERENCIA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D11" i="10"/>
  <c r="E11" i="10"/>
  <c r="F11" i="10"/>
  <c r="G11" i="10"/>
  <c r="H11" i="10"/>
  <c r="I11" i="10"/>
  <c r="J11" i="10"/>
  <c r="K11" i="10"/>
  <c r="L11" i="10"/>
  <c r="M11" i="10"/>
  <c r="N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B12" i="10"/>
  <c r="B11" i="10"/>
  <c r="C32" i="9"/>
  <c r="H32" i="9"/>
  <c r="N9" i="10"/>
  <c r="C6" i="10"/>
  <c r="D6" i="10"/>
  <c r="E6" i="10"/>
  <c r="F6" i="10"/>
  <c r="G6" i="10"/>
  <c r="H6" i="10"/>
  <c r="I6" i="10"/>
  <c r="J6" i="10"/>
  <c r="K6" i="10"/>
  <c r="L6" i="10"/>
  <c r="M6" i="10"/>
  <c r="N6" i="10"/>
  <c r="B6" i="10"/>
  <c r="N3" i="10"/>
  <c r="N4" i="10"/>
  <c r="N5" i="10"/>
  <c r="N2" i="10"/>
  <c r="N3" i="6"/>
  <c r="N3" i="7"/>
  <c r="M30" i="9"/>
  <c r="M31" i="9"/>
  <c r="H29" i="9"/>
  <c r="C3" i="9"/>
  <c r="D3" i="9" s="1"/>
  <c r="H31" i="9"/>
  <c r="H30" i="9"/>
  <c r="H22" i="9" s="1"/>
  <c r="N4" i="6"/>
  <c r="N5" i="6"/>
  <c r="N6" i="6"/>
  <c r="N7" i="6"/>
  <c r="N8" i="6"/>
  <c r="N9" i="6"/>
  <c r="N10" i="6"/>
  <c r="N2" i="6"/>
  <c r="C31" i="9"/>
  <c r="C21" i="9"/>
  <c r="C29" i="9"/>
  <c r="C30" i="9"/>
  <c r="C22" i="9" s="1"/>
  <c r="C23" i="9" s="1"/>
  <c r="D23" i="9" s="1"/>
  <c r="C11" i="9"/>
  <c r="C13" i="9"/>
  <c r="C14" i="9"/>
  <c r="M7" i="9"/>
  <c r="N38" i="3"/>
  <c r="N37" i="3"/>
  <c r="M38" i="3"/>
  <c r="L38" i="3"/>
  <c r="K38" i="3"/>
  <c r="J38" i="3"/>
  <c r="I38" i="3"/>
  <c r="H38" i="3"/>
  <c r="G38" i="3"/>
  <c r="F38" i="3"/>
  <c r="E38" i="3"/>
  <c r="D38" i="3"/>
  <c r="C38" i="3"/>
  <c r="M37" i="3"/>
  <c r="L37" i="3"/>
  <c r="K37" i="3"/>
  <c r="J37" i="3"/>
  <c r="I37" i="3"/>
  <c r="H37" i="3"/>
  <c r="G37" i="3"/>
  <c r="F37" i="3"/>
  <c r="E37" i="3"/>
  <c r="D37" i="3"/>
  <c r="C37" i="3"/>
  <c r="B38" i="3"/>
  <c r="B37" i="3"/>
  <c r="N35" i="3"/>
  <c r="N34" i="3"/>
  <c r="N32" i="3"/>
  <c r="N31" i="3"/>
  <c r="N30" i="3"/>
  <c r="N29" i="3"/>
  <c r="M38" i="2"/>
  <c r="L38" i="2"/>
  <c r="K38" i="2"/>
  <c r="J38" i="2"/>
  <c r="I38" i="2"/>
  <c r="H38" i="2"/>
  <c r="G38" i="2"/>
  <c r="F38" i="2"/>
  <c r="E38" i="2"/>
  <c r="D38" i="2"/>
  <c r="C38" i="2"/>
  <c r="M37" i="2"/>
  <c r="L37" i="2"/>
  <c r="K37" i="2"/>
  <c r="J37" i="2"/>
  <c r="I37" i="2"/>
  <c r="H37" i="2"/>
  <c r="G37" i="2"/>
  <c r="F37" i="2"/>
  <c r="E37" i="2"/>
  <c r="D37" i="2"/>
  <c r="C37" i="2"/>
  <c r="B38" i="2"/>
  <c r="B37" i="2"/>
  <c r="C4" i="9"/>
  <c r="C5" i="9"/>
  <c r="C6" i="9"/>
  <c r="C7" i="9"/>
  <c r="C16" i="9"/>
  <c r="C19" i="9"/>
  <c r="N35" i="2"/>
  <c r="N26" i="1"/>
  <c r="N38" i="1"/>
  <c r="N37" i="1"/>
  <c r="C37" i="1"/>
  <c r="D37" i="1"/>
  <c r="E37" i="1"/>
  <c r="F37" i="1"/>
  <c r="G37" i="1"/>
  <c r="H37" i="1"/>
  <c r="I37" i="1"/>
  <c r="J37" i="1"/>
  <c r="K37" i="1"/>
  <c r="L37" i="1"/>
  <c r="M37" i="1"/>
  <c r="B37" i="1"/>
  <c r="C38" i="1"/>
  <c r="D38" i="1"/>
  <c r="E38" i="1"/>
  <c r="F38" i="1"/>
  <c r="G38" i="1"/>
  <c r="H38" i="1"/>
  <c r="I38" i="1"/>
  <c r="J38" i="1"/>
  <c r="K38" i="1"/>
  <c r="L38" i="1"/>
  <c r="M38" i="1"/>
  <c r="B38" i="1"/>
  <c r="N9" i="5"/>
  <c r="N8" i="5"/>
  <c r="N10" i="5"/>
  <c r="N5" i="5"/>
  <c r="N6" i="5"/>
  <c r="N7" i="5"/>
  <c r="N2" i="5"/>
  <c r="N4" i="5"/>
  <c r="N3" i="5"/>
  <c r="Q10" i="5"/>
  <c r="K9" i="5" s="1"/>
  <c r="J9" i="5"/>
  <c r="I9" i="5"/>
  <c r="H9" i="5"/>
  <c r="G9" i="5"/>
  <c r="F9" i="5"/>
  <c r="D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E6" i="5"/>
  <c r="D6" i="5"/>
  <c r="K5" i="5"/>
  <c r="J5" i="5"/>
  <c r="I5" i="5"/>
  <c r="C5" i="5"/>
  <c r="B5" i="5"/>
  <c r="M4" i="5"/>
  <c r="L4" i="5"/>
  <c r="K4" i="5"/>
  <c r="K6" i="5" s="1"/>
  <c r="J4" i="5"/>
  <c r="J6" i="5" s="1"/>
  <c r="I4" i="5"/>
  <c r="I6" i="5" s="1"/>
  <c r="H4" i="5"/>
  <c r="H6" i="5" s="1"/>
  <c r="G4" i="5"/>
  <c r="G6" i="5" s="1"/>
  <c r="F4" i="5"/>
  <c r="F6" i="5" s="1"/>
  <c r="E4" i="5"/>
  <c r="D4" i="5"/>
  <c r="C4" i="5"/>
  <c r="C6" i="5" s="1"/>
  <c r="B4" i="5"/>
  <c r="B6" i="5" s="1"/>
  <c r="R3" i="5"/>
  <c r="Q11" i="5" s="1"/>
  <c r="M3" i="5"/>
  <c r="M5" i="5" s="1"/>
  <c r="L3" i="5"/>
  <c r="L5" i="5" s="1"/>
  <c r="K3" i="5"/>
  <c r="J3" i="5"/>
  <c r="I3" i="5"/>
  <c r="H3" i="5"/>
  <c r="H5" i="5" s="1"/>
  <c r="G3" i="5"/>
  <c r="G5" i="5" s="1"/>
  <c r="F3" i="5"/>
  <c r="F5" i="5" s="1"/>
  <c r="E3" i="5"/>
  <c r="E5" i="5" s="1"/>
  <c r="D3" i="5"/>
  <c r="C3" i="5"/>
  <c r="B3" i="5"/>
  <c r="R2" i="5"/>
  <c r="C8" i="7"/>
  <c r="D8" i="7"/>
  <c r="E8" i="7"/>
  <c r="F8" i="7"/>
  <c r="G8" i="7"/>
  <c r="H8" i="7"/>
  <c r="I8" i="7"/>
  <c r="J8" i="7"/>
  <c r="K8" i="7"/>
  <c r="L8" i="7"/>
  <c r="M8" i="7"/>
  <c r="N8" i="7"/>
  <c r="B8" i="7"/>
  <c r="B7" i="7"/>
  <c r="C7" i="7"/>
  <c r="D7" i="7"/>
  <c r="E7" i="7"/>
  <c r="F7" i="7"/>
  <c r="G7" i="7"/>
  <c r="H7" i="7"/>
  <c r="I7" i="7"/>
  <c r="J7" i="7"/>
  <c r="K7" i="7"/>
  <c r="L7" i="7"/>
  <c r="M7" i="7"/>
  <c r="N7" i="7"/>
  <c r="N2" i="7"/>
  <c r="N4" i="7"/>
  <c r="M4" i="7"/>
  <c r="C4" i="7"/>
  <c r="D4" i="7"/>
  <c r="E4" i="7"/>
  <c r="F4" i="7"/>
  <c r="F6" i="7" s="1"/>
  <c r="G4" i="7"/>
  <c r="H4" i="7"/>
  <c r="H6" i="7" s="1"/>
  <c r="I4" i="7"/>
  <c r="J4" i="7"/>
  <c r="K4" i="7"/>
  <c r="L4" i="7"/>
  <c r="M6" i="7"/>
  <c r="B4" i="7"/>
  <c r="C3" i="7"/>
  <c r="D3" i="7"/>
  <c r="E3" i="7"/>
  <c r="F3" i="7"/>
  <c r="F5" i="7" s="1"/>
  <c r="G3" i="7"/>
  <c r="H3" i="7"/>
  <c r="H5" i="7" s="1"/>
  <c r="I3" i="7"/>
  <c r="J3" i="7"/>
  <c r="K3" i="7"/>
  <c r="L3" i="7"/>
  <c r="M3" i="7"/>
  <c r="M5" i="7" s="1"/>
  <c r="B3" i="7"/>
  <c r="Q10" i="7"/>
  <c r="K9" i="7" s="1"/>
  <c r="J9" i="7"/>
  <c r="I9" i="7"/>
  <c r="H9" i="7"/>
  <c r="G9" i="7"/>
  <c r="F9" i="7"/>
  <c r="B9" i="7"/>
  <c r="N6" i="7"/>
  <c r="L6" i="7"/>
  <c r="K6" i="7"/>
  <c r="J6" i="7"/>
  <c r="I6" i="7"/>
  <c r="G6" i="7"/>
  <c r="E6" i="7"/>
  <c r="D6" i="7"/>
  <c r="C6" i="7"/>
  <c r="B6" i="7"/>
  <c r="R3" i="7"/>
  <c r="Q11" i="7" s="1"/>
  <c r="L5" i="7"/>
  <c r="K5" i="7"/>
  <c r="J5" i="7"/>
  <c r="I5" i="7"/>
  <c r="G5" i="7"/>
  <c r="E5" i="7"/>
  <c r="C5" i="7"/>
  <c r="B5" i="7"/>
  <c r="R2" i="7"/>
  <c r="B44" i="3"/>
  <c r="C44" i="3"/>
  <c r="D44" i="3"/>
  <c r="B45" i="3"/>
  <c r="C45" i="3"/>
  <c r="D45" i="3"/>
  <c r="N45" i="3"/>
  <c r="N44" i="3"/>
  <c r="G45" i="3"/>
  <c r="F45" i="3"/>
  <c r="H45" i="3"/>
  <c r="I45" i="3"/>
  <c r="J45" i="3"/>
  <c r="K45" i="3"/>
  <c r="L45" i="3"/>
  <c r="M45" i="3"/>
  <c r="F44" i="3"/>
  <c r="G44" i="3"/>
  <c r="H44" i="3"/>
  <c r="I44" i="3"/>
  <c r="J44" i="3"/>
  <c r="K44" i="3"/>
  <c r="L44" i="3"/>
  <c r="M44" i="3"/>
  <c r="E45" i="3"/>
  <c r="E44" i="3"/>
  <c r="C10" i="6"/>
  <c r="B10" i="6"/>
  <c r="R2" i="6"/>
  <c r="Q10" i="6" s="1"/>
  <c r="C9" i="6" s="1"/>
  <c r="C4" i="6"/>
  <c r="D4" i="6"/>
  <c r="D6" i="6" s="1"/>
  <c r="E4" i="6"/>
  <c r="E6" i="6" s="1"/>
  <c r="F4" i="6"/>
  <c r="F6" i="6" s="1"/>
  <c r="G4" i="6"/>
  <c r="G6" i="6" s="1"/>
  <c r="H4" i="6"/>
  <c r="H6" i="6" s="1"/>
  <c r="I4" i="6"/>
  <c r="I6" i="6" s="1"/>
  <c r="J4" i="6"/>
  <c r="J6" i="6" s="1"/>
  <c r="K4" i="6"/>
  <c r="K6" i="6" s="1"/>
  <c r="L4" i="6"/>
  <c r="L6" i="6" s="1"/>
  <c r="M4" i="6"/>
  <c r="M6" i="6" s="1"/>
  <c r="B4" i="6"/>
  <c r="B6" i="6" s="1"/>
  <c r="C3" i="6"/>
  <c r="D3" i="6"/>
  <c r="D5" i="6" s="1"/>
  <c r="E3" i="6"/>
  <c r="E5" i="6" s="1"/>
  <c r="F3" i="6"/>
  <c r="F5" i="6" s="1"/>
  <c r="G3" i="6"/>
  <c r="H3" i="6"/>
  <c r="H5" i="6" s="1"/>
  <c r="I3" i="6"/>
  <c r="I5" i="6" s="1"/>
  <c r="J3" i="6"/>
  <c r="J5" i="6" s="1"/>
  <c r="K3" i="6"/>
  <c r="K5" i="6" s="1"/>
  <c r="L3" i="6"/>
  <c r="L5" i="6" s="1"/>
  <c r="M3" i="6"/>
  <c r="M5" i="6" s="1"/>
  <c r="B3" i="6"/>
  <c r="B5" i="6" s="1"/>
  <c r="R3" i="6"/>
  <c r="Q11" i="6" s="1"/>
  <c r="H10" i="6" s="1"/>
  <c r="C8" i="6"/>
  <c r="D8" i="6"/>
  <c r="E8" i="6"/>
  <c r="F8" i="6"/>
  <c r="G8" i="6"/>
  <c r="H8" i="6"/>
  <c r="I8" i="6"/>
  <c r="J8" i="6"/>
  <c r="K8" i="6"/>
  <c r="L8" i="6"/>
  <c r="M8" i="6"/>
  <c r="B8" i="6"/>
  <c r="C7" i="6"/>
  <c r="D7" i="6"/>
  <c r="E7" i="6"/>
  <c r="F7" i="6"/>
  <c r="G7" i="6"/>
  <c r="H7" i="6"/>
  <c r="I7" i="6"/>
  <c r="J7" i="6"/>
  <c r="K7" i="6"/>
  <c r="L7" i="6"/>
  <c r="M7" i="6"/>
  <c r="B7" i="6"/>
  <c r="B30" i="3"/>
  <c r="B29" i="2"/>
  <c r="N29" i="2" s="1"/>
  <c r="B30" i="2"/>
  <c r="N30" i="2" s="1"/>
  <c r="M42" i="3"/>
  <c r="L42" i="3"/>
  <c r="K42" i="3"/>
  <c r="J42" i="3"/>
  <c r="I42" i="3"/>
  <c r="H42" i="3"/>
  <c r="G42" i="3"/>
  <c r="F42" i="3"/>
  <c r="E42" i="3"/>
  <c r="D42" i="3"/>
  <c r="C42" i="3"/>
  <c r="B42" i="3"/>
  <c r="N42" i="3" s="1"/>
  <c r="M41" i="3"/>
  <c r="L41" i="3"/>
  <c r="K41" i="3"/>
  <c r="J41" i="3"/>
  <c r="I41" i="3"/>
  <c r="H41" i="3"/>
  <c r="G41" i="3"/>
  <c r="F41" i="3"/>
  <c r="E41" i="3"/>
  <c r="D41" i="3"/>
  <c r="N41" i="3" s="1"/>
  <c r="C41" i="3"/>
  <c r="B41" i="3"/>
  <c r="M39" i="3"/>
  <c r="L39" i="3"/>
  <c r="K39" i="3"/>
  <c r="J39" i="3"/>
  <c r="I39" i="3"/>
  <c r="H39" i="3"/>
  <c r="G39" i="3"/>
  <c r="F39" i="3"/>
  <c r="E39" i="3"/>
  <c r="D39" i="3"/>
  <c r="C39" i="3"/>
  <c r="B39" i="3"/>
  <c r="N39" i="3" s="1"/>
  <c r="M36" i="3"/>
  <c r="L36" i="3"/>
  <c r="K36" i="3"/>
  <c r="J36" i="3"/>
  <c r="I36" i="3"/>
  <c r="H36" i="3"/>
  <c r="G36" i="3"/>
  <c r="F36" i="3"/>
  <c r="E36" i="3"/>
  <c r="D36" i="3"/>
  <c r="C36" i="3"/>
  <c r="B36" i="3"/>
  <c r="N36" i="3" s="1"/>
  <c r="B35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N33" i="3" s="1"/>
  <c r="B32" i="3"/>
  <c r="B31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N28" i="3" s="1"/>
  <c r="M27" i="3"/>
  <c r="L27" i="3"/>
  <c r="K27" i="3"/>
  <c r="J27" i="3"/>
  <c r="I27" i="3"/>
  <c r="H27" i="3"/>
  <c r="G27" i="3"/>
  <c r="F27" i="3"/>
  <c r="E27" i="3"/>
  <c r="N27" i="3" s="1"/>
  <c r="D27" i="3"/>
  <c r="C27" i="3"/>
  <c r="B27" i="3"/>
  <c r="B26" i="3"/>
  <c r="B9" i="1"/>
  <c r="E9" i="3"/>
  <c r="B26" i="2"/>
  <c r="M39" i="2"/>
  <c r="L39" i="2"/>
  <c r="K39" i="2"/>
  <c r="J39" i="2"/>
  <c r="I39" i="2"/>
  <c r="H39" i="2"/>
  <c r="G39" i="2"/>
  <c r="F39" i="2"/>
  <c r="E39" i="2"/>
  <c r="D39" i="2"/>
  <c r="C39" i="2"/>
  <c r="B39" i="2"/>
  <c r="M36" i="2"/>
  <c r="L36" i="2"/>
  <c r="K36" i="2"/>
  <c r="J36" i="2"/>
  <c r="I36" i="2"/>
  <c r="H36" i="2"/>
  <c r="G36" i="2"/>
  <c r="F36" i="2"/>
  <c r="E36" i="2"/>
  <c r="D36" i="2"/>
  <c r="C36" i="2"/>
  <c r="B36" i="2"/>
  <c r="B35" i="2"/>
  <c r="B34" i="2"/>
  <c r="N34" i="2" s="1"/>
  <c r="M33" i="2"/>
  <c r="L33" i="2"/>
  <c r="K33" i="2"/>
  <c r="J33" i="2"/>
  <c r="I33" i="2"/>
  <c r="H33" i="2"/>
  <c r="G33" i="2"/>
  <c r="F33" i="2"/>
  <c r="E33" i="2"/>
  <c r="D33" i="2"/>
  <c r="C33" i="2"/>
  <c r="B33" i="2"/>
  <c r="B32" i="2"/>
  <c r="N32" i="2" s="1"/>
  <c r="B31" i="2"/>
  <c r="N31" i="2" s="1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B30" i="1"/>
  <c r="B29" i="1"/>
  <c r="C28" i="1"/>
  <c r="N28" i="1" s="1"/>
  <c r="D28" i="1"/>
  <c r="E28" i="1"/>
  <c r="F28" i="1"/>
  <c r="G28" i="1"/>
  <c r="H28" i="1"/>
  <c r="I28" i="1"/>
  <c r="J28" i="1"/>
  <c r="K28" i="1"/>
  <c r="L28" i="1"/>
  <c r="M28" i="1"/>
  <c r="B28" i="1"/>
  <c r="C27" i="1"/>
  <c r="D27" i="1"/>
  <c r="E27" i="1"/>
  <c r="F27" i="1"/>
  <c r="G27" i="1"/>
  <c r="H27" i="1"/>
  <c r="I27" i="1"/>
  <c r="J27" i="1"/>
  <c r="K27" i="1"/>
  <c r="L27" i="1"/>
  <c r="M27" i="1"/>
  <c r="B27" i="1"/>
  <c r="B26" i="1"/>
  <c r="C39" i="1"/>
  <c r="D39" i="1"/>
  <c r="E39" i="1"/>
  <c r="F39" i="1"/>
  <c r="G39" i="1"/>
  <c r="H39" i="1"/>
  <c r="I39" i="1"/>
  <c r="J39" i="1"/>
  <c r="K39" i="1"/>
  <c r="L39" i="1"/>
  <c r="M39" i="1"/>
  <c r="B39" i="1"/>
  <c r="C36" i="1"/>
  <c r="D36" i="1"/>
  <c r="E36" i="1"/>
  <c r="F36" i="1"/>
  <c r="G36" i="1"/>
  <c r="H36" i="1"/>
  <c r="I36" i="1"/>
  <c r="J36" i="1"/>
  <c r="K36" i="1"/>
  <c r="L36" i="1"/>
  <c r="M36" i="1"/>
  <c r="B36" i="1"/>
  <c r="B35" i="1"/>
  <c r="B34" i="1"/>
  <c r="C33" i="1"/>
  <c r="D33" i="1"/>
  <c r="E33" i="1"/>
  <c r="F33" i="1"/>
  <c r="G33" i="1"/>
  <c r="H33" i="1"/>
  <c r="I33" i="1"/>
  <c r="J33" i="1"/>
  <c r="K33" i="1"/>
  <c r="L33" i="1"/>
  <c r="M33" i="1"/>
  <c r="B33" i="1"/>
  <c r="B32" i="1"/>
  <c r="B31" i="1"/>
  <c r="N37" i="2" l="1"/>
  <c r="N38" i="2"/>
  <c r="N39" i="2"/>
  <c r="N36" i="2"/>
  <c r="N33" i="2"/>
  <c r="N28" i="2"/>
  <c r="N27" i="2"/>
  <c r="H23" i="9"/>
  <c r="H21" i="9"/>
  <c r="M21" i="9"/>
  <c r="G10" i="5"/>
  <c r="F10" i="5"/>
  <c r="E10" i="5"/>
  <c r="L10" i="5"/>
  <c r="C10" i="5"/>
  <c r="J10" i="5"/>
  <c r="I10" i="5"/>
  <c r="H10" i="5"/>
  <c r="M10" i="5"/>
  <c r="D10" i="5"/>
  <c r="K10" i="5"/>
  <c r="B10" i="5"/>
  <c r="D5" i="5"/>
  <c r="L9" i="5"/>
  <c r="E9" i="5"/>
  <c r="M9" i="5"/>
  <c r="C9" i="5"/>
  <c r="G10" i="7"/>
  <c r="F10" i="7"/>
  <c r="L10" i="7"/>
  <c r="C10" i="7"/>
  <c r="B10" i="7"/>
  <c r="I10" i="7"/>
  <c r="H10" i="7"/>
  <c r="M10" i="7"/>
  <c r="E10" i="7"/>
  <c r="D10" i="7"/>
  <c r="K10" i="7"/>
  <c r="J10" i="7"/>
  <c r="D9" i="7"/>
  <c r="L9" i="7"/>
  <c r="E9" i="7"/>
  <c r="M9" i="7"/>
  <c r="N5" i="7"/>
  <c r="D5" i="7"/>
  <c r="C9" i="7"/>
  <c r="K10" i="6"/>
  <c r="I10" i="6"/>
  <c r="F10" i="6"/>
  <c r="L9" i="6"/>
  <c r="B9" i="6"/>
  <c r="G10" i="6"/>
  <c r="J9" i="6"/>
  <c r="M10" i="6"/>
  <c r="E10" i="6"/>
  <c r="H9" i="6"/>
  <c r="I9" i="6"/>
  <c r="L10" i="6"/>
  <c r="D10" i="6"/>
  <c r="G9" i="6"/>
  <c r="F9" i="6"/>
  <c r="J10" i="6"/>
  <c r="M9" i="6"/>
  <c r="E9" i="6"/>
  <c r="D9" i="6"/>
  <c r="K9" i="6"/>
  <c r="G5" i="6"/>
  <c r="C5" i="6"/>
  <c r="C6" i="6"/>
  <c r="N27" i="1"/>
  <c r="N39" i="1"/>
  <c r="N36" i="1"/>
  <c r="N33" i="1"/>
  <c r="N5" i="1"/>
  <c r="N6" i="1"/>
  <c r="N8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" i="1"/>
  <c r="N5" i="2"/>
  <c r="N6" i="2"/>
  <c r="N8" i="2"/>
  <c r="N10" i="2"/>
  <c r="N11" i="2"/>
  <c r="N12" i="2"/>
  <c r="N13" i="2"/>
  <c r="N15" i="2"/>
  <c r="N16" i="2"/>
  <c r="N17" i="2"/>
  <c r="N18" i="2"/>
  <c r="N19" i="2"/>
  <c r="N20" i="2"/>
  <c r="N21" i="2"/>
  <c r="N22" i="2"/>
  <c r="N23" i="2"/>
  <c r="N24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" i="3"/>
  <c r="M14" i="3"/>
  <c r="L14" i="3"/>
  <c r="K14" i="3"/>
  <c r="J14" i="3"/>
  <c r="I14" i="3"/>
  <c r="H14" i="3"/>
  <c r="G14" i="3"/>
  <c r="F14" i="3"/>
  <c r="E14" i="3"/>
  <c r="D14" i="3"/>
  <c r="C14" i="3"/>
  <c r="B14" i="3"/>
  <c r="M3" i="3"/>
  <c r="M9" i="3" s="1"/>
  <c r="L3" i="3"/>
  <c r="L9" i="3" s="1"/>
  <c r="K3" i="3"/>
  <c r="K7" i="3" s="1"/>
  <c r="J3" i="3"/>
  <c r="J7" i="3" s="1"/>
  <c r="I3" i="3"/>
  <c r="I7" i="3" s="1"/>
  <c r="H3" i="3"/>
  <c r="H7" i="3" s="1"/>
  <c r="G3" i="3"/>
  <c r="G7" i="3" s="1"/>
  <c r="F3" i="3"/>
  <c r="F7" i="3" s="1"/>
  <c r="E3" i="3"/>
  <c r="D3" i="3"/>
  <c r="D9" i="3" s="1"/>
  <c r="C3" i="3"/>
  <c r="C9" i="3" s="1"/>
  <c r="B3" i="3"/>
  <c r="B9" i="3" s="1"/>
  <c r="M14" i="2"/>
  <c r="L14" i="2"/>
  <c r="K14" i="2"/>
  <c r="J14" i="2"/>
  <c r="I14" i="2"/>
  <c r="H14" i="2"/>
  <c r="G14" i="2"/>
  <c r="F14" i="2"/>
  <c r="E14" i="2"/>
  <c r="D14" i="2"/>
  <c r="C14" i="2"/>
  <c r="B14" i="2"/>
  <c r="M3" i="2"/>
  <c r="L3" i="2"/>
  <c r="K3" i="2"/>
  <c r="J3" i="2"/>
  <c r="I3" i="2"/>
  <c r="H3" i="2"/>
  <c r="G3" i="2"/>
  <c r="F3" i="2"/>
  <c r="E3" i="2"/>
  <c r="D3" i="2"/>
  <c r="C3" i="2"/>
  <c r="B3" i="2"/>
  <c r="M14" i="1"/>
  <c r="L14" i="1"/>
  <c r="K14" i="1"/>
  <c r="J14" i="1"/>
  <c r="I14" i="1"/>
  <c r="H14" i="1"/>
  <c r="G14" i="1"/>
  <c r="F14" i="1"/>
  <c r="E14" i="1"/>
  <c r="D14" i="1"/>
  <c r="C14" i="1"/>
  <c r="B14" i="1"/>
  <c r="M3" i="1"/>
  <c r="M7" i="1" s="1"/>
  <c r="L3" i="1"/>
  <c r="L9" i="1" s="1"/>
  <c r="K3" i="1"/>
  <c r="K9" i="1" s="1"/>
  <c r="J3" i="1"/>
  <c r="J9" i="1" s="1"/>
  <c r="I3" i="1"/>
  <c r="I9" i="1" s="1"/>
  <c r="H3" i="1"/>
  <c r="H7" i="1" s="1"/>
  <c r="G3" i="1"/>
  <c r="G7" i="1" s="1"/>
  <c r="F3" i="1"/>
  <c r="F7" i="1" s="1"/>
  <c r="E3" i="1"/>
  <c r="E7" i="1" s="1"/>
  <c r="D3" i="1"/>
  <c r="D9" i="1" s="1"/>
  <c r="C3" i="1"/>
  <c r="C9" i="1" s="1"/>
  <c r="B3" i="1"/>
  <c r="G9" i="2" l="1"/>
  <c r="G42" i="2"/>
  <c r="G41" i="2"/>
  <c r="H7" i="2"/>
  <c r="H42" i="2"/>
  <c r="H41" i="2"/>
  <c r="I9" i="2"/>
  <c r="I42" i="2"/>
  <c r="I41" i="2"/>
  <c r="B7" i="2"/>
  <c r="B42" i="2"/>
  <c r="B41" i="2"/>
  <c r="B9" i="2"/>
  <c r="F7" i="2"/>
  <c r="F42" i="2"/>
  <c r="F41" i="2"/>
  <c r="J4" i="2"/>
  <c r="J41" i="2"/>
  <c r="J42" i="2"/>
  <c r="C7" i="2"/>
  <c r="C41" i="2"/>
  <c r="C42" i="2"/>
  <c r="D7" i="2"/>
  <c r="D41" i="2"/>
  <c r="D42" i="2"/>
  <c r="K7" i="2"/>
  <c r="K42" i="2"/>
  <c r="K41" i="2"/>
  <c r="L7" i="2"/>
  <c r="L42" i="2"/>
  <c r="L41" i="2"/>
  <c r="E7" i="2"/>
  <c r="E41" i="2"/>
  <c r="E42" i="2"/>
  <c r="M7" i="2"/>
  <c r="M41" i="2"/>
  <c r="M42" i="2"/>
  <c r="I23" i="9"/>
  <c r="H9" i="2"/>
  <c r="N14" i="2"/>
  <c r="K42" i="1"/>
  <c r="H42" i="1"/>
  <c r="N14" i="1"/>
  <c r="G4" i="1"/>
  <c r="H41" i="1"/>
  <c r="D42" i="1"/>
  <c r="K41" i="1"/>
  <c r="H4" i="1"/>
  <c r="C41" i="1"/>
  <c r="G9" i="1"/>
  <c r="H9" i="1"/>
  <c r="L42" i="1"/>
  <c r="B41" i="1"/>
  <c r="G42" i="1"/>
  <c r="J41" i="1"/>
  <c r="B42" i="1"/>
  <c r="F42" i="1"/>
  <c r="I41" i="1"/>
  <c r="N3" i="1"/>
  <c r="M42" i="1"/>
  <c r="E42" i="1"/>
  <c r="G41" i="1"/>
  <c r="C42" i="1"/>
  <c r="F41" i="1"/>
  <c r="M4" i="1"/>
  <c r="J42" i="1"/>
  <c r="M41" i="1"/>
  <c r="E41" i="1"/>
  <c r="E9" i="1"/>
  <c r="I42" i="1"/>
  <c r="L41" i="1"/>
  <c r="D41" i="1"/>
  <c r="N3" i="2"/>
  <c r="F9" i="1"/>
  <c r="E4" i="1"/>
  <c r="F4" i="1"/>
  <c r="M9" i="1"/>
  <c r="F4" i="2"/>
  <c r="F9" i="3"/>
  <c r="G9" i="3"/>
  <c r="E4" i="2"/>
  <c r="M9" i="2"/>
  <c r="H4" i="2"/>
  <c r="G4" i="2"/>
  <c r="M4" i="2"/>
  <c r="E9" i="2"/>
  <c r="F9" i="2"/>
  <c r="H4" i="3"/>
  <c r="I4" i="3"/>
  <c r="I9" i="3"/>
  <c r="F4" i="3"/>
  <c r="H9" i="3"/>
  <c r="G4" i="3"/>
  <c r="B7" i="3"/>
  <c r="C7" i="3"/>
  <c r="L7" i="3"/>
  <c r="E7" i="3"/>
  <c r="M7" i="3"/>
  <c r="B4" i="3"/>
  <c r="J4" i="3"/>
  <c r="J9" i="3"/>
  <c r="C4" i="3"/>
  <c r="K4" i="3"/>
  <c r="K9" i="3"/>
  <c r="D7" i="3"/>
  <c r="D4" i="3"/>
  <c r="L4" i="3"/>
  <c r="E4" i="3"/>
  <c r="M4" i="3"/>
  <c r="J7" i="2"/>
  <c r="B4" i="2"/>
  <c r="J9" i="2"/>
  <c r="K4" i="2"/>
  <c r="C9" i="2"/>
  <c r="K9" i="2"/>
  <c r="D4" i="2"/>
  <c r="L4" i="2"/>
  <c r="D9" i="2"/>
  <c r="L9" i="2"/>
  <c r="C4" i="2"/>
  <c r="G7" i="2"/>
  <c r="I7" i="2"/>
  <c r="I4" i="2"/>
  <c r="B7" i="1"/>
  <c r="J7" i="1"/>
  <c r="C7" i="1"/>
  <c r="K7" i="1"/>
  <c r="D7" i="1"/>
  <c r="L7" i="1"/>
  <c r="I4" i="1"/>
  <c r="B4" i="1"/>
  <c r="J4" i="1"/>
  <c r="C4" i="1"/>
  <c r="K4" i="1"/>
  <c r="D4" i="1"/>
  <c r="L4" i="1"/>
  <c r="I7" i="1"/>
  <c r="N41" i="2" l="1"/>
  <c r="M29" i="9" s="1"/>
  <c r="M22" i="9" s="1"/>
  <c r="M23" i="9" s="1"/>
  <c r="N42" i="2"/>
  <c r="N7" i="2"/>
  <c r="N41" i="1"/>
  <c r="N9" i="1"/>
  <c r="N4" i="1"/>
  <c r="N7" i="1"/>
  <c r="N9" i="2"/>
  <c r="N4" i="2"/>
  <c r="N42" i="1"/>
  <c r="N23" i="9" l="1"/>
  <c r="M32" i="9"/>
  <c r="C10" i="10" l="1"/>
  <c r="C13" i="10" s="1"/>
  <c r="K10" i="10"/>
  <c r="K13" i="10" s="1"/>
  <c r="J10" i="10"/>
  <c r="J13" i="10" s="1"/>
  <c r="D10" i="10"/>
  <c r="D13" i="10" s="1"/>
  <c r="L10" i="10"/>
  <c r="L13" i="10" s="1"/>
  <c r="H10" i="10"/>
  <c r="H13" i="10" s="1"/>
  <c r="B10" i="10"/>
  <c r="B13" i="10" s="1"/>
  <c r="E10" i="10"/>
  <c r="E13" i="10" s="1"/>
  <c r="M10" i="10"/>
  <c r="M13" i="10" s="1"/>
  <c r="F10" i="10"/>
  <c r="F13" i="10" s="1"/>
  <c r="N10" i="10"/>
  <c r="N13" i="10" s="1"/>
  <c r="G10" i="10"/>
  <c r="G13" i="10" s="1"/>
  <c r="I10" i="10"/>
  <c r="I1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Araujo Soares</author>
  </authors>
  <commentList>
    <comment ref="B3" authorId="0" shapeId="0" xr:uid="{35A3A844-E7C2-4FA1-8FBC-80F06458B4F9}">
      <text>
        <r>
          <rPr>
            <b/>
            <sz val="9"/>
            <color indexed="81"/>
            <rFont val="Segoe UI"/>
            <family val="2"/>
          </rPr>
          <t>Julia Araujo Soares:</t>
        </r>
        <r>
          <rPr>
            <sz val="9"/>
            <color indexed="81"/>
            <rFont val="Segoe UI"/>
            <family val="2"/>
          </rPr>
          <t xml:space="preserve">
valor de venda:
=celula de demanda do custos por região x preço de venda médio  </t>
        </r>
      </text>
    </comment>
    <comment ref="B5" authorId="0" shapeId="0" xr:uid="{E0AB6AEE-9829-4DDA-8820-92A189989964}">
      <text>
        <r>
          <rPr>
            <b/>
            <sz val="9"/>
            <color indexed="81"/>
            <rFont val="Segoe UI"/>
            <family val="2"/>
          </rPr>
          <t>Julia Araujo Soares:</t>
        </r>
        <r>
          <rPr>
            <sz val="9"/>
            <color indexed="81"/>
            <rFont val="Segoe UI"/>
            <family val="2"/>
          </rPr>
          <t xml:space="preserve">
30% do valor de venda</t>
        </r>
      </text>
    </comment>
    <comment ref="B7" authorId="0" shapeId="0" xr:uid="{0586A4EB-46D6-49E0-9E5F-11F511ABC307}">
      <text>
        <r>
          <rPr>
            <b/>
            <sz val="9"/>
            <color indexed="81"/>
            <rFont val="Segoe UI"/>
            <family val="2"/>
          </rPr>
          <t>Julia Araujo Soares:</t>
        </r>
        <r>
          <rPr>
            <sz val="9"/>
            <color indexed="81"/>
            <rFont val="Segoe UI"/>
            <family val="2"/>
          </rPr>
          <t xml:space="preserve">
valor de venda + pacotes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Araujo Soares</author>
  </authors>
  <commentList>
    <comment ref="B3" authorId="0" shapeId="0" xr:uid="{65E8FB70-BE68-43F1-99F8-2C0E9E03F127}">
      <text>
        <r>
          <rPr>
            <b/>
            <sz val="9"/>
            <color indexed="81"/>
            <rFont val="Segoe UI"/>
            <family val="2"/>
          </rPr>
          <t>Julia Araujo Soares:</t>
        </r>
        <r>
          <rPr>
            <sz val="9"/>
            <color indexed="81"/>
            <rFont val="Segoe UI"/>
            <family val="2"/>
          </rPr>
          <t xml:space="preserve">
valor de venda:
=celula de demanda do custos por região x preço de venda médio  </t>
        </r>
      </text>
    </comment>
    <comment ref="B5" authorId="0" shapeId="0" xr:uid="{23500FE9-97ED-4663-B9FE-99FE7885D4A2}">
      <text>
        <r>
          <rPr>
            <b/>
            <sz val="9"/>
            <color indexed="81"/>
            <rFont val="Segoe UI"/>
            <family val="2"/>
          </rPr>
          <t>Julia Araujo Soares:</t>
        </r>
        <r>
          <rPr>
            <sz val="9"/>
            <color indexed="81"/>
            <rFont val="Segoe UI"/>
            <family val="2"/>
          </rPr>
          <t xml:space="preserve">
30% do valor de venda</t>
        </r>
      </text>
    </comment>
    <comment ref="B7" authorId="0" shapeId="0" xr:uid="{1D676B82-E54C-4050-88F1-0058ACC03EA3}">
      <text>
        <r>
          <rPr>
            <b/>
            <sz val="9"/>
            <color indexed="81"/>
            <rFont val="Segoe UI"/>
            <family val="2"/>
          </rPr>
          <t>Julia Araujo Soares:</t>
        </r>
        <r>
          <rPr>
            <sz val="9"/>
            <color indexed="81"/>
            <rFont val="Segoe UI"/>
            <family val="2"/>
          </rPr>
          <t xml:space="preserve">
valor de venda + pacotes
</t>
        </r>
      </text>
    </comment>
  </commentList>
</comments>
</file>

<file path=xl/sharedStrings.xml><?xml version="1.0" encoding="utf-8"?>
<sst xmlns="http://schemas.openxmlformats.org/spreadsheetml/2006/main" count="532" uniqueCount="173">
  <si>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</si>
  <si>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</si>
  <si>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</si>
  <si>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</si>
  <si>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</si>
  <si>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</si>
  <si>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</si>
  <si>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</si>
  <si>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</si>
  <si>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</si>
  <si>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</si>
  <si>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</si>
  <si>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Demanda</t>
  </si>
  <si>
    <t>Sazonalidade</t>
  </si>
  <si>
    <t>Vendas Sul e Sudeste</t>
  </si>
  <si>
    <t>Lotes</t>
  </si>
  <si>
    <t>lote</t>
  </si>
  <si>
    <t>PA</t>
  </si>
  <si>
    <t>PA lote</t>
  </si>
  <si>
    <t>Qtd. PA</t>
  </si>
  <si>
    <t>ERB</t>
  </si>
  <si>
    <t>ERB lote</t>
  </si>
  <si>
    <t>ERB Qtd</t>
  </si>
  <si>
    <t>Franquia</t>
  </si>
  <si>
    <t>Infraestrutura ref.</t>
  </si>
  <si>
    <t>infraestrutura</t>
  </si>
  <si>
    <t>Equipe Infra</t>
  </si>
  <si>
    <t>Equipe Comercial</t>
  </si>
  <si>
    <t>Equipe Logística</t>
  </si>
  <si>
    <t>Treinamento Logística</t>
  </si>
  <si>
    <t>Contratação Logística</t>
  </si>
  <si>
    <t>Salário Logística</t>
  </si>
  <si>
    <t>Treinamento Comercial</t>
  </si>
  <si>
    <t>Contratação Comercial</t>
  </si>
  <si>
    <t>Salário Comercial</t>
  </si>
  <si>
    <t>Treinamento Infra</t>
  </si>
  <si>
    <t>Contratação Infra</t>
  </si>
  <si>
    <t>Salário Infra</t>
  </si>
  <si>
    <t>Aquisição de Armazém</t>
  </si>
  <si>
    <t>Armazém Manutenção</t>
  </si>
  <si>
    <t>DEMANDA MÉDIA 2024:</t>
  </si>
  <si>
    <t>VALOR DA FRANQUIA PARA ATUAÇÃO NAS REGIÕES DO BRASIL</t>
  </si>
  <si>
    <t>DEMANDA ANUAL NACIONAL - PESQUISA DE CADA EMPRESA</t>
  </si>
  <si>
    <t>REGIÃO</t>
  </si>
  <si>
    <t xml:space="preserve">VALOR </t>
  </si>
  <si>
    <t>APÓS A PESQUISA DE DEMANDA SERÁ DEFINIDA A DEMANDA MÉDIA NACIONAL. A DEMANDA REGIONAL E POR APARELHOS SERÁ DEFINIDA POR CADA EMPRESA.</t>
  </si>
  <si>
    <t>SUL/SUDESTE</t>
  </si>
  <si>
    <t>NORDESTE</t>
  </si>
  <si>
    <t>PREÇOS DOS CELULARES - PESQUISA DE CADA EMPRESA.</t>
  </si>
  <si>
    <t>NORTE/C.OESTE</t>
  </si>
  <si>
    <t>APÓS A PESQUISA DE PREÇOS DOS CELULARES, SERÁ DEFINIDO O PREÇO ÚNICO DE COMPRA NACIONAL PARA CADA UM DOS 4 APARELHOS. O PREÇO DE VENDA REGIONAL SERÁ DEFINIDO POR CADA EMPRESA.</t>
  </si>
  <si>
    <t>CUSTO ARMAZÉM</t>
  </si>
  <si>
    <t>1 LOTE = 5000 CELULARES</t>
  </si>
  <si>
    <t>CÂMBIO E INFLAÇÃO PODEM SER UTILIZADOS OS VALORES E PROJEÇÕES DESTE ANO DE 2024</t>
  </si>
  <si>
    <t>CAPACIDADE ARMAZÉM Nº LOTES</t>
  </si>
  <si>
    <t xml:space="preserve">AQUISIÇÃO </t>
  </si>
  <si>
    <t>MANUTENÇÃO MENSAL</t>
  </si>
  <si>
    <t>CUSTO EQUIPES FUNCIONÁRIOS</t>
  </si>
  <si>
    <t>1 EQUIPE = 10 FUNCIONÁRIOS</t>
  </si>
  <si>
    <t>CONTRATAÇÃO</t>
  </si>
  <si>
    <t>TREINAMENTO</t>
  </si>
  <si>
    <t>SALÁRIO MENSAL</t>
  </si>
  <si>
    <t>LOGÍSTICA</t>
  </si>
  <si>
    <t>COMERCIAL</t>
  </si>
  <si>
    <t>INFRAESTRUTURA</t>
  </si>
  <si>
    <t>1 EQUIPE LOGÍSTICA MOVIMENTA 10 LOTES</t>
  </si>
  <si>
    <t>1 EQUIPE COMERCIAL VENDE 5 LOTES</t>
  </si>
  <si>
    <t>1 EQUIPE INFRAESTRUTURA INSTALA E MANTÉM 5 ERBs/MÊS</t>
  </si>
  <si>
    <t>VALOR DOS PACOTES DE SERVIÇO</t>
  </si>
  <si>
    <t>POSTO DE ATENDIMENTO (PA)</t>
  </si>
  <si>
    <t>1 PA = 10 ATENDENTES</t>
  </si>
  <si>
    <t>NÍVEL DE SERVIÇO PAs</t>
  </si>
  <si>
    <t>NÍVEL DE OCUPAÇÃO</t>
  </si>
  <si>
    <t>MODELO CELULAR</t>
  </si>
  <si>
    <t>VALOR</t>
  </si>
  <si>
    <t>NÍVEL 5</t>
  </si>
  <si>
    <t>&lt; 49%</t>
  </si>
  <si>
    <t>IMPORTADO + CARO</t>
  </si>
  <si>
    <t>CUSTO MÊS 1 PA</t>
  </si>
  <si>
    <t>NÍVEL 4</t>
  </si>
  <si>
    <t>ENTRE 50 E 64%</t>
  </si>
  <si>
    <t>NACIONAL + CARO</t>
  </si>
  <si>
    <t>1 PA ATENDE 27.000 CLIENTES</t>
  </si>
  <si>
    <t>NÍVEL 3</t>
  </si>
  <si>
    <t>ENTRE 65 E 74%</t>
  </si>
  <si>
    <t>IMPORTADO + BARATO</t>
  </si>
  <si>
    <t>NÍVEL 2</t>
  </si>
  <si>
    <t>ENTRE 75 A 89%</t>
  </si>
  <si>
    <t>NÍVEL DE SERVIÇO GERAL É A MÉDIA GERAL ENTRE OS DOIS NÍVEIS DE SERVIÇO</t>
  </si>
  <si>
    <t>NACIONAL + BARATO</t>
  </si>
  <si>
    <t>NÍVEL 1</t>
  </si>
  <si>
    <t>&gt; 90%</t>
  </si>
  <si>
    <t>ERB (ESTAÇÃO RÁDIO BASE)</t>
  </si>
  <si>
    <t>CUSTO DE INSTALAÇÃO 1 ERB</t>
  </si>
  <si>
    <t>NÍVEL DE SERVIÇO ERBs</t>
  </si>
  <si>
    <t>EXCELENTE</t>
  </si>
  <si>
    <t>VARIAÇÃO PREÇO DE VENDA</t>
  </si>
  <si>
    <t>&lt; 50%</t>
  </si>
  <si>
    <t>BOM</t>
  </si>
  <si>
    <t>Máximo</t>
  </si>
  <si>
    <t>até 30% maior do que o preço médio</t>
  </si>
  <si>
    <t>QTDE DE CLIENTES SUPORTADOS POR UMA ERB POR REGIÃO</t>
  </si>
  <si>
    <t>ENTRE 50,01 E 60%</t>
  </si>
  <si>
    <t>REGULAR</t>
  </si>
  <si>
    <t>Minímo</t>
  </si>
  <si>
    <t>até 10% menor do que o preço médio</t>
  </si>
  <si>
    <t>QTD CELULARES</t>
  </si>
  <si>
    <t>ENTRE 60,01 E 75%</t>
  </si>
  <si>
    <t>RUIM</t>
  </si>
  <si>
    <t>SUL / SUDESTE</t>
  </si>
  <si>
    <t>ENTRE 75,01 A 85%</t>
  </si>
  <si>
    <t>PÉSSIMO</t>
  </si>
  <si>
    <t>Valor de impostos:</t>
  </si>
  <si>
    <t>30% do preço de compra nacional</t>
  </si>
  <si>
    <t>&gt; 85,01%</t>
  </si>
  <si>
    <t>40% do preço de compra importado</t>
  </si>
  <si>
    <t>CENTRO-OESTE / NORTE</t>
  </si>
  <si>
    <t>PROPORÇÃO ENTRE PREÇO DE COMPRA E VENDA</t>
  </si>
  <si>
    <t>Aparelho</t>
  </si>
  <si>
    <t>Preço de Venda Médio</t>
  </si>
  <si>
    <t>Preço de Compra</t>
  </si>
  <si>
    <t>Nacional mais barato</t>
  </si>
  <si>
    <t>Nacional mais caro</t>
  </si>
  <si>
    <t>Importado mais barato</t>
  </si>
  <si>
    <t>Importado mais caro</t>
  </si>
  <si>
    <t>Mês x Custos</t>
  </si>
  <si>
    <t>Celular</t>
  </si>
  <si>
    <t>valor</t>
  </si>
  <si>
    <t>Custo de compra : Nacional mais caro</t>
  </si>
  <si>
    <t>Custo de compra : Importado mais caro</t>
  </si>
  <si>
    <t>Totais</t>
  </si>
  <si>
    <t>Mês x Receita</t>
  </si>
  <si>
    <t>Custos</t>
  </si>
  <si>
    <t>Ponto de Atendimento</t>
  </si>
  <si>
    <t>Celulares</t>
  </si>
  <si>
    <t>Valor de venda : Importado mais caro</t>
  </si>
  <si>
    <t>Valor de venda : Nacional mais caro</t>
  </si>
  <si>
    <t>pacotes de Serviço</t>
  </si>
  <si>
    <t>Pacote de Serviço IC</t>
  </si>
  <si>
    <t>Pacote de Serviço NC</t>
  </si>
  <si>
    <t>valor por aparelho</t>
  </si>
  <si>
    <t>total (pr de venda+pct+30%)</t>
  </si>
  <si>
    <t>Variação 30% IC</t>
  </si>
  <si>
    <t>Variação 30%  NC</t>
  </si>
  <si>
    <t>VALOR TOTAL IC</t>
  </si>
  <si>
    <t>VALOR TOTAL NC</t>
  </si>
  <si>
    <t>IMPOSTO IC 40%</t>
  </si>
  <si>
    <t>IMPOSTO NC 30%</t>
  </si>
  <si>
    <t>Custos de Aquisição</t>
  </si>
  <si>
    <t>Custos Operacionais</t>
  </si>
  <si>
    <t>Valores</t>
  </si>
  <si>
    <t>Itens</t>
  </si>
  <si>
    <t>Total</t>
  </si>
  <si>
    <t>RESUMO REGIÃO NORDESTE</t>
  </si>
  <si>
    <t>Unidades</t>
  </si>
  <si>
    <t>RESUMO REGIÃO NORTE / CENTRO OESTE</t>
  </si>
  <si>
    <t>RESUMO REGIÃO SUL / SULDESTE</t>
  </si>
  <si>
    <t>Custo de compra (IC)</t>
  </si>
  <si>
    <t>VALOR BRUTO</t>
  </si>
  <si>
    <t>VALOR LIQUIDO</t>
  </si>
  <si>
    <t>LUCRATIVIDADE</t>
  </si>
  <si>
    <t>VENDA</t>
  </si>
  <si>
    <t>COMPRA</t>
  </si>
  <si>
    <t>CUSTOS OPERACIONAIS</t>
  </si>
  <si>
    <t>MÊS</t>
  </si>
  <si>
    <t>DEMANDA N/CE</t>
  </si>
  <si>
    <t>SAZIONALIDADE %</t>
  </si>
  <si>
    <t>DEMANDA NE</t>
  </si>
  <si>
    <t>Total por região</t>
  </si>
  <si>
    <t>FINANCEIRO IC</t>
  </si>
  <si>
    <t>LUCRO POR CELULAR</t>
  </si>
  <si>
    <t>DEMANDA S/SE</t>
  </si>
  <si>
    <t>Lucro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</si>
</sst>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%"/>
    <numFmt numFmtId="166" formatCode="&quot;R$&quot;\ #,##0.00"/>
  </numFmts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Aptos Narrow"/>
      <family val="2"/>
      <scheme val="minor"/>
    </font>
    <font>
      <b/>
      <sz val="9"/>
      <color indexed="81"/>
      <name val="Segoe UI"/>
      <family val="2"/>
    </font>
    <font>
      <b/>
      <sz val="11"/>
      <color rgb="FF00B050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theme="0"/>
      <name val="Aptos Display"/>
      <family val="2"/>
      <scheme val="major"/>
    </font>
    <font>
      <sz val="12"/>
      <color theme="1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sz val="12"/>
      <color rgb="FF000000"/>
      <name val="Aptos Display"/>
      <family val="2"/>
      <scheme val="major"/>
    </font>
    <font>
      <sz val="12"/>
      <name val="Aptos Display"/>
      <family val="2"/>
      <scheme val="major"/>
    </font>
    <font>
      <b/>
      <sz val="12"/>
      <name val="Aptos Display"/>
      <family val="2"/>
      <scheme val="major"/>
    </font>
    <font>
      <b/>
      <sz val="10"/>
      <color theme="0"/>
      <name val="Aptos Display"/>
      <family val="2"/>
      <scheme val="major"/>
    </font>
    <font>
      <sz val="10"/>
      <color theme="1"/>
      <name val="Aptos Display"/>
      <family val="2"/>
      <scheme val="major"/>
    </font>
    <font>
      <b/>
      <sz val="10"/>
      <color theme="1"/>
      <name val="Aptos Display"/>
      <family val="2"/>
      <scheme val="major"/>
    </font>
    <font>
      <sz val="10"/>
      <color rgb="FF000000"/>
      <name val="Aptos Display"/>
      <family val="2"/>
      <scheme val="major"/>
    </font>
    <font>
      <sz val="10"/>
      <name val="Aptos Display"/>
      <family val="2"/>
      <scheme val="major"/>
    </font>
    <font>
      <b/>
      <sz val="10"/>
      <name val="Aptos Display"/>
      <family val="2"/>
      <scheme val="maj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94DCF8"/>
        <bgColor rgb="FFFFD966"/>
      </patternFill>
    </fill>
    <fill>
      <patternFill patternType="solid">
        <fgColor rgb="FFB5E6A2"/>
        <bgColor rgb="FFC9C9C9"/>
      </patternFill>
    </fill>
    <fill>
      <patternFill patternType="solid">
        <fgColor rgb="FFF7C7AC"/>
        <bgColor rgb="FFFFE699"/>
      </patternFill>
    </fill>
    <fill>
      <patternFill patternType="solid">
        <fgColor rgb="FF47D359"/>
        <bgColor rgb="FFBDD7EE"/>
      </patternFill>
    </fill>
    <fill>
      <patternFill patternType="solid">
        <fgColor rgb="FF61CBF3"/>
        <bgColor rgb="FFFFE699"/>
      </patternFill>
    </fill>
    <fill>
      <patternFill patternType="solid">
        <fgColor rgb="FF83CCEB"/>
        <bgColor rgb="FFC9C9C9"/>
      </patternFill>
    </fill>
    <fill>
      <patternFill patternType="solid">
        <fgColor rgb="FFFFFF00"/>
        <bgColor rgb="FFFFFF00"/>
      </patternFill>
    </fill>
    <fill>
      <patternFill patternType="solid">
        <fgColor rgb="FFF4B084"/>
        <bgColor rgb="FFF8CBAD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7F9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8CBA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3" fillId="5" borderId="0" xfId="0" applyFont="1" applyFill="1"/>
    <xf numFmtId="0" fontId="4" fillId="5" borderId="0" xfId="0" applyFont="1" applyFill="1"/>
    <xf numFmtId="0" fontId="5" fillId="0" borderId="0" xfId="0" applyFont="1"/>
    <xf numFmtId="0" fontId="4" fillId="7" borderId="1" xfId="0" applyFont="1" applyFill="1" applyBorder="1" applyAlignment="1">
      <alignment horizontal="left" indent="1"/>
    </xf>
    <xf numFmtId="0" fontId="4" fillId="7" borderId="5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0" xfId="0" applyFont="1" applyFill="1"/>
    <xf numFmtId="0" fontId="4" fillId="7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center" indent="1"/>
    </xf>
    <xf numFmtId="8" fontId="5" fillId="6" borderId="4" xfId="0" applyNumberFormat="1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indent="1"/>
    </xf>
    <xf numFmtId="0" fontId="5" fillId="6" borderId="6" xfId="0" applyFont="1" applyFill="1" applyBorder="1" applyAlignment="1">
      <alignment horizontal="left" vertical="center" indent="1"/>
    </xf>
    <xf numFmtId="8" fontId="5" fillId="6" borderId="7" xfId="0" applyNumberFormat="1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 indent="1"/>
    </xf>
    <xf numFmtId="0" fontId="5" fillId="8" borderId="0" xfId="0" applyFont="1" applyFill="1"/>
    <xf numFmtId="0" fontId="5" fillId="8" borderId="4" xfId="0" applyFont="1" applyFill="1" applyBorder="1"/>
    <xf numFmtId="0" fontId="4" fillId="7" borderId="3" xfId="0" applyFont="1" applyFill="1" applyBorder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4" fillId="7" borderId="4" xfId="0" applyFont="1" applyFill="1" applyBorder="1" applyAlignment="1">
      <alignment horizontal="left" vertical="top"/>
    </xf>
    <xf numFmtId="0" fontId="5" fillId="8" borderId="3" xfId="0" applyFont="1" applyFill="1" applyBorder="1"/>
    <xf numFmtId="0" fontId="4" fillId="7" borderId="6" xfId="0" applyFont="1" applyFill="1" applyBorder="1" applyAlignment="1">
      <alignment horizontal="left" indent="1"/>
    </xf>
    <xf numFmtId="0" fontId="4" fillId="7" borderId="8" xfId="0" applyFont="1" applyFill="1" applyBorder="1"/>
    <xf numFmtId="0" fontId="4" fillId="7" borderId="7" xfId="0" applyFont="1" applyFill="1" applyBorder="1"/>
    <xf numFmtId="0" fontId="4" fillId="8" borderId="3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8" fontId="6" fillId="8" borderId="0" xfId="0" applyNumberFormat="1" applyFont="1" applyFill="1" applyAlignment="1">
      <alignment horizontal="center" vertical="center"/>
    </xf>
    <xf numFmtId="8" fontId="6" fillId="8" borderId="4" xfId="0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3" xfId="0" applyFont="1" applyFill="1" applyBorder="1" applyAlignment="1">
      <alignment horizontal="left" vertical="center" indent="1"/>
    </xf>
    <xf numFmtId="0" fontId="5" fillId="9" borderId="0" xfId="0" applyFont="1" applyFill="1" applyAlignment="1">
      <alignment vertical="center"/>
    </xf>
    <xf numFmtId="0" fontId="5" fillId="9" borderId="4" xfId="0" applyFont="1" applyFill="1" applyBorder="1" applyAlignment="1">
      <alignment vertical="center"/>
    </xf>
    <xf numFmtId="0" fontId="5" fillId="9" borderId="3" xfId="0" applyFont="1" applyFill="1" applyBorder="1" applyAlignment="1">
      <alignment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 indent="8"/>
    </xf>
    <xf numFmtId="8" fontId="6" fillId="9" borderId="0" xfId="0" applyNumberFormat="1" applyFont="1" applyFill="1" applyAlignment="1">
      <alignment horizontal="center" vertical="center"/>
    </xf>
    <xf numFmtId="8" fontId="6" fillId="9" borderId="4" xfId="0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left" vertical="center" indent="1"/>
    </xf>
    <xf numFmtId="0" fontId="4" fillId="9" borderId="0" xfId="0" applyFont="1" applyFill="1" applyAlignment="1">
      <alignment vertical="center"/>
    </xf>
    <xf numFmtId="0" fontId="5" fillId="8" borderId="6" xfId="0" applyFont="1" applyFill="1" applyBorder="1" applyAlignment="1">
      <alignment horizontal="center" vertical="center"/>
    </xf>
    <xf numFmtId="8" fontId="6" fillId="8" borderId="8" xfId="0" applyNumberFormat="1" applyFont="1" applyFill="1" applyBorder="1" applyAlignment="1">
      <alignment horizontal="center" vertical="center"/>
    </xf>
    <xf numFmtId="8" fontId="6" fillId="8" borderId="7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left" vertical="center" indent="1"/>
    </xf>
    <xf numFmtId="0" fontId="4" fillId="9" borderId="8" xfId="0" applyFont="1" applyFill="1" applyBorder="1" applyAlignment="1">
      <alignment horizontal="left" vertical="center" indent="1"/>
    </xf>
    <xf numFmtId="0" fontId="4" fillId="9" borderId="8" xfId="0" applyFont="1" applyFill="1" applyBorder="1" applyAlignment="1">
      <alignment vertical="center"/>
    </xf>
    <xf numFmtId="0" fontId="5" fillId="9" borderId="7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left" indent="1"/>
    </xf>
    <xf numFmtId="0" fontId="5" fillId="11" borderId="5" xfId="0" applyFont="1" applyFill="1" applyBorder="1"/>
    <xf numFmtId="0" fontId="5" fillId="11" borderId="0" xfId="0" applyFont="1" applyFill="1"/>
    <xf numFmtId="0" fontId="5" fillId="10" borderId="3" xfId="0" applyFont="1" applyFill="1" applyBorder="1"/>
    <xf numFmtId="0" fontId="5" fillId="10" borderId="0" xfId="0" applyFont="1" applyFill="1"/>
    <xf numFmtId="0" fontId="5" fillId="10" borderId="4" xfId="0" applyFont="1" applyFill="1" applyBorder="1"/>
    <xf numFmtId="0" fontId="5" fillId="11" borderId="3" xfId="0" applyFont="1" applyFill="1" applyBorder="1" applyAlignment="1">
      <alignment horizontal="left" indent="1"/>
    </xf>
    <xf numFmtId="0" fontId="4" fillId="11" borderId="0" xfId="0" applyFont="1" applyFill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8" fontId="6" fillId="10" borderId="4" xfId="0" applyNumberFormat="1" applyFont="1" applyFill="1" applyBorder="1"/>
    <xf numFmtId="8" fontId="6" fillId="11" borderId="0" xfId="0" applyNumberFormat="1" applyFont="1" applyFill="1"/>
    <xf numFmtId="0" fontId="5" fillId="11" borderId="3" xfId="0" applyFont="1" applyFill="1" applyBorder="1"/>
    <xf numFmtId="8" fontId="6" fillId="10" borderId="7" xfId="0" applyNumberFormat="1" applyFont="1" applyFill="1" applyBorder="1"/>
    <xf numFmtId="0" fontId="5" fillId="0" borderId="0" xfId="0" applyFont="1" applyAlignment="1">
      <alignment horizontal="center"/>
    </xf>
    <xf numFmtId="0" fontId="4" fillId="11" borderId="3" xfId="0" applyFont="1" applyFill="1" applyBorder="1" applyAlignment="1">
      <alignment horizontal="left" indent="1"/>
    </xf>
    <xf numFmtId="0" fontId="5" fillId="11" borderId="0" xfId="0" applyFont="1" applyFill="1" applyAlignment="1">
      <alignment horizontal="center"/>
    </xf>
    <xf numFmtId="0" fontId="5" fillId="11" borderId="4" xfId="0" applyFont="1" applyFill="1" applyBorder="1"/>
    <xf numFmtId="0" fontId="5" fillId="12" borderId="1" xfId="0" applyFont="1" applyFill="1" applyBorder="1" applyAlignment="1">
      <alignment horizontal="left" indent="4"/>
    </xf>
    <xf numFmtId="0" fontId="5" fillId="12" borderId="5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Alignment="1">
      <alignment horizontal="right" indent="4"/>
    </xf>
    <xf numFmtId="0" fontId="5" fillId="12" borderId="0" xfId="0" applyFont="1" applyFill="1"/>
    <xf numFmtId="0" fontId="5" fillId="12" borderId="4" xfId="0" applyFont="1" applyFill="1" applyBorder="1"/>
    <xf numFmtId="0" fontId="4" fillId="11" borderId="0" xfId="0" applyFont="1" applyFill="1"/>
    <xf numFmtId="0" fontId="4" fillId="11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left" indent="4"/>
    </xf>
    <xf numFmtId="3" fontId="5" fillId="11" borderId="0" xfId="0" applyNumberFormat="1" applyFont="1" applyFill="1" applyAlignment="1">
      <alignment horizontal="center" vertical="center"/>
    </xf>
    <xf numFmtId="0" fontId="5" fillId="12" borderId="6" xfId="0" applyFont="1" applyFill="1" applyBorder="1"/>
    <xf numFmtId="0" fontId="5" fillId="12" borderId="8" xfId="0" applyFont="1" applyFill="1" applyBorder="1"/>
    <xf numFmtId="0" fontId="5" fillId="12" borderId="7" xfId="0" applyFont="1" applyFill="1" applyBorder="1"/>
    <xf numFmtId="0" fontId="5" fillId="11" borderId="6" xfId="0" applyFont="1" applyFill="1" applyBorder="1"/>
    <xf numFmtId="0" fontId="5" fillId="11" borderId="8" xfId="0" applyFont="1" applyFill="1" applyBorder="1"/>
    <xf numFmtId="0" fontId="5" fillId="13" borderId="3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/>
    <xf numFmtId="8" fontId="5" fillId="13" borderId="4" xfId="0" applyNumberFormat="1" applyFont="1" applyFill="1" applyBorder="1"/>
    <xf numFmtId="0" fontId="5" fillId="13" borderId="6" xfId="0" applyFont="1" applyFill="1" applyBorder="1"/>
    <xf numFmtId="8" fontId="5" fillId="13" borderId="8" xfId="0" applyNumberFormat="1" applyFont="1" applyFill="1" applyBorder="1"/>
    <xf numFmtId="8" fontId="5" fillId="13" borderId="7" xfId="0" applyNumberFormat="1" applyFont="1" applyFill="1" applyBorder="1"/>
    <xf numFmtId="0" fontId="6" fillId="0" borderId="0" xfId="0" applyFont="1"/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14" borderId="11" xfId="0" applyFont="1" applyFill="1" applyBorder="1"/>
    <xf numFmtId="0" fontId="8" fillId="14" borderId="10" xfId="0" applyFont="1" applyFill="1" applyBorder="1"/>
    <xf numFmtId="0" fontId="8" fillId="14" borderId="10" xfId="0" applyFont="1" applyFill="1" applyBorder="1" applyAlignment="1">
      <alignment horizontal="center" vertical="center"/>
    </xf>
    <xf numFmtId="164" fontId="0" fillId="15" borderId="0" xfId="1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4" fillId="7" borderId="3" xfId="0" applyFont="1" applyFill="1" applyBorder="1" applyAlignment="1">
      <alignment horizontal="left" vertical="top" wrapText="1" indent="1"/>
    </xf>
    <xf numFmtId="0" fontId="4" fillId="7" borderId="0" xfId="0" applyFont="1" applyFill="1" applyAlignment="1">
      <alignment horizontal="left" vertical="top" wrapText="1" indent="1"/>
    </xf>
    <xf numFmtId="0" fontId="4" fillId="7" borderId="4" xfId="0" applyFont="1" applyFill="1" applyBorder="1" applyAlignment="1">
      <alignment horizontal="left" vertical="top" wrapText="1" indent="1"/>
    </xf>
    <xf numFmtId="0" fontId="4" fillId="8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5" fillId="0" borderId="0" xfId="0" applyFont="1"/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wrapText="1" indent="1"/>
    </xf>
    <xf numFmtId="0" fontId="4" fillId="7" borderId="0" xfId="0" applyFont="1" applyFill="1" applyAlignment="1">
      <alignment horizontal="left" wrapText="1" indent="1"/>
    </xf>
    <xf numFmtId="0" fontId="4" fillId="7" borderId="4" xfId="0" applyFont="1" applyFill="1" applyBorder="1" applyAlignment="1">
      <alignment horizontal="left" wrapText="1" inden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5" fillId="0" borderId="8" xfId="0" applyFont="1" applyBorder="1"/>
    <xf numFmtId="0" fontId="4" fillId="10" borderId="1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11" borderId="5" xfId="0" applyFont="1" applyFill="1" applyBorder="1"/>
    <xf numFmtId="0" fontId="5" fillId="11" borderId="0" xfId="0" applyFont="1" applyFill="1"/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left" wrapText="1"/>
    </xf>
    <xf numFmtId="0" fontId="5" fillId="12" borderId="4" xfId="0" applyFont="1" applyFill="1" applyBorder="1" applyAlignment="1">
      <alignment horizontal="left" wrapText="1"/>
    </xf>
    <xf numFmtId="0" fontId="5" fillId="11" borderId="8" xfId="0" applyFont="1" applyFill="1" applyBorder="1"/>
    <xf numFmtId="0" fontId="5" fillId="0" borderId="5" xfId="0" applyFont="1" applyBorder="1"/>
    <xf numFmtId="0" fontId="5" fillId="13" borderId="1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6" fillId="0" borderId="0" xfId="0" applyFont="1"/>
    <xf numFmtId="0" fontId="7" fillId="0" borderId="9" xfId="0" applyFont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 vertical="center"/>
    </xf>
    <xf numFmtId="8" fontId="5" fillId="13" borderId="0" xfId="0" applyNumberFormat="1" applyFont="1" applyFill="1" applyBorder="1"/>
    <xf numFmtId="0" fontId="5" fillId="20" borderId="3" xfId="0" applyFont="1" applyFill="1" applyBorder="1"/>
    <xf numFmtId="8" fontId="5" fillId="20" borderId="4" xfId="0" applyNumberFormat="1" applyFont="1" applyFill="1" applyBorder="1"/>
    <xf numFmtId="0" fontId="5" fillId="20" borderId="6" xfId="0" applyFont="1" applyFill="1" applyBorder="1"/>
    <xf numFmtId="8" fontId="5" fillId="20" borderId="7" xfId="0" applyNumberFormat="1" applyFont="1" applyFill="1" applyBorder="1"/>
    <xf numFmtId="0" fontId="9" fillId="19" borderId="1" xfId="0" applyFont="1" applyFill="1" applyBorder="1"/>
    <xf numFmtId="0" fontId="9" fillId="19" borderId="2" xfId="0" applyFont="1" applyFill="1" applyBorder="1"/>
    <xf numFmtId="0" fontId="8" fillId="14" borderId="10" xfId="0" applyFont="1" applyFill="1" applyBorder="1" applyAlignment="1">
      <alignment wrapText="1"/>
    </xf>
    <xf numFmtId="166" fontId="0" fillId="0" borderId="0" xfId="0" applyNumberFormat="1" applyAlignment="1">
      <alignment horizontal="center"/>
    </xf>
    <xf numFmtId="164" fontId="9" fillId="15" borderId="0" xfId="0" applyNumberFormat="1" applyFont="1" applyFill="1" applyAlignment="1">
      <alignment horizontal="center"/>
    </xf>
    <xf numFmtId="166" fontId="9" fillId="15" borderId="0" xfId="0" applyNumberFormat="1" applyFont="1" applyFill="1" applyAlignment="1">
      <alignment horizontal="center" vertical="center"/>
    </xf>
    <xf numFmtId="166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15" borderId="0" xfId="0" applyFont="1" applyFill="1" applyAlignment="1">
      <alignment horizontal="center"/>
    </xf>
    <xf numFmtId="8" fontId="0" fillId="0" borderId="0" xfId="0" applyNumberFormat="1" applyAlignment="1">
      <alignment horizontal="center"/>
    </xf>
    <xf numFmtId="166" fontId="9" fillId="15" borderId="0" xfId="0" applyNumberFormat="1" applyFont="1" applyFill="1" applyAlignment="1">
      <alignment horizontal="center"/>
    </xf>
    <xf numFmtId="0" fontId="8" fillId="23" borderId="3" xfId="0" applyFont="1" applyFill="1" applyBorder="1" applyAlignment="1">
      <alignment horizontal="center"/>
    </xf>
    <xf numFmtId="0" fontId="8" fillId="23" borderId="0" xfId="0" applyFont="1" applyFill="1" applyBorder="1" applyAlignment="1">
      <alignment horizontal="center"/>
    </xf>
    <xf numFmtId="8" fontId="11" fillId="15" borderId="0" xfId="0" applyNumberFormat="1" applyFont="1" applyFill="1" applyBorder="1" applyAlignment="1">
      <alignment horizontal="center"/>
    </xf>
    <xf numFmtId="8" fontId="11" fillId="0" borderId="0" xfId="0" applyNumberFormat="1" applyFont="1" applyFill="1" applyBorder="1" applyAlignment="1">
      <alignment horizontal="center"/>
    </xf>
    <xf numFmtId="8" fontId="12" fillId="15" borderId="0" xfId="0" applyNumberFormat="1" applyFont="1" applyFill="1" applyBorder="1" applyAlignment="1">
      <alignment horizontal="center"/>
    </xf>
    <xf numFmtId="0" fontId="12" fillId="15" borderId="0" xfId="0" applyFont="1" applyFill="1" applyBorder="1" applyAlignment="1">
      <alignment horizontal="center"/>
    </xf>
    <xf numFmtId="8" fontId="12" fillId="0" borderId="0" xfId="0" applyNumberFormat="1" applyFont="1" applyFill="1" applyBorder="1" applyAlignment="1">
      <alignment horizont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15" borderId="0" xfId="0" applyFont="1" applyFill="1" applyAlignment="1">
      <alignment horizontal="center"/>
    </xf>
    <xf numFmtId="0" fontId="0" fillId="2" borderId="10" xfId="0" applyFont="1" applyFill="1" applyBorder="1"/>
    <xf numFmtId="0" fontId="0" fillId="3" borderId="10" xfId="0" applyFont="1" applyFill="1" applyBorder="1"/>
    <xf numFmtId="0" fontId="0" fillId="0" borderId="10" xfId="0" applyFont="1" applyBorder="1"/>
    <xf numFmtId="0" fontId="0" fillId="4" borderId="10" xfId="0" applyFont="1" applyFill="1" applyBorder="1"/>
    <xf numFmtId="8" fontId="0" fillId="0" borderId="0" xfId="0" applyNumberFormat="1" applyFont="1" applyAlignment="1">
      <alignment horizontal="center"/>
    </xf>
    <xf numFmtId="8" fontId="0" fillId="15" borderId="0" xfId="0" applyNumberFormat="1" applyFont="1" applyFill="1" applyAlignment="1">
      <alignment horizontal="center"/>
    </xf>
    <xf numFmtId="8" fontId="0" fillId="15" borderId="0" xfId="0" applyNumberFormat="1" applyFont="1" applyFill="1" applyAlignment="1">
      <alignment vertical="center"/>
    </xf>
    <xf numFmtId="8" fontId="0" fillId="0" borderId="0" xfId="0" applyNumberFormat="1" applyFont="1" applyFill="1" applyAlignment="1">
      <alignment vertical="center"/>
    </xf>
    <xf numFmtId="0" fontId="0" fillId="0" borderId="0" xfId="0" applyFont="1" applyFill="1"/>
    <xf numFmtId="0" fontId="14" fillId="14" borderId="10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8" fontId="16" fillId="13" borderId="0" xfId="0" applyNumberFormat="1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25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8" fontId="15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0" fontId="15" fillId="15" borderId="0" xfId="0" applyNumberFormat="1" applyFont="1" applyFill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66" fontId="9" fillId="0" borderId="0" xfId="0" applyNumberFormat="1" applyFont="1" applyFill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9" fillId="26" borderId="0" xfId="0" applyFont="1" applyFill="1" applyAlignment="1">
      <alignment horizontal="left" vertical="center"/>
    </xf>
    <xf numFmtId="0" fontId="9" fillId="26" borderId="0" xfId="0" applyFont="1" applyFill="1" applyAlignment="1">
      <alignment horizontal="center"/>
    </xf>
    <xf numFmtId="8" fontId="0" fillId="26" borderId="0" xfId="0" applyNumberFormat="1" applyFill="1" applyAlignment="1">
      <alignment horizontal="center"/>
    </xf>
    <xf numFmtId="0" fontId="9" fillId="26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20" borderId="0" xfId="0" applyFont="1" applyFill="1" applyAlignment="1">
      <alignment horizontal="left" vertical="center"/>
    </xf>
    <xf numFmtId="0" fontId="9" fillId="20" borderId="0" xfId="0" applyFont="1" applyFill="1" applyAlignment="1">
      <alignment horizontal="center"/>
    </xf>
    <xf numFmtId="8" fontId="0" fillId="20" borderId="0" xfId="0" applyNumberFormat="1" applyFill="1" applyAlignment="1">
      <alignment horizontal="center"/>
    </xf>
    <xf numFmtId="0" fontId="9" fillId="20" borderId="0" xfId="0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0" fontId="0" fillId="27" borderId="0" xfId="0" applyFill="1"/>
    <xf numFmtId="0" fontId="13" fillId="27" borderId="0" xfId="0" applyFont="1" applyFill="1" applyAlignment="1">
      <alignment horizontal="center" vertical="center"/>
    </xf>
    <xf numFmtId="0" fontId="13" fillId="28" borderId="0" xfId="0" applyFont="1" applyFill="1" applyAlignment="1">
      <alignment horizontal="center" vertical="center"/>
    </xf>
    <xf numFmtId="0" fontId="0" fillId="28" borderId="0" xfId="0" applyFill="1"/>
    <xf numFmtId="0" fontId="0" fillId="26" borderId="0" xfId="0" applyFont="1" applyFill="1" applyAlignment="1">
      <alignment horizontal="center"/>
    </xf>
    <xf numFmtId="0" fontId="0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8" fontId="0" fillId="3" borderId="0" xfId="0" applyNumberFormat="1" applyFont="1" applyFill="1" applyAlignment="1">
      <alignment horizontal="center"/>
    </xf>
    <xf numFmtId="0" fontId="0" fillId="20" borderId="0" xfId="0" applyFont="1" applyFill="1" applyAlignment="1">
      <alignment horizontal="left" vertical="center"/>
    </xf>
    <xf numFmtId="0" fontId="9" fillId="28" borderId="0" xfId="0" applyFont="1" applyFill="1" applyAlignment="1">
      <alignment horizontal="center" vertical="center" textRotation="90"/>
    </xf>
    <xf numFmtId="0" fontId="0" fillId="3" borderId="0" xfId="0" applyFont="1" applyFill="1" applyAlignment="1">
      <alignment horizontal="center"/>
    </xf>
    <xf numFmtId="0" fontId="0" fillId="20" borderId="0" xfId="0" applyFont="1" applyFill="1" applyAlignment="1">
      <alignment horizontal="center" vertical="center"/>
    </xf>
    <xf numFmtId="0" fontId="0" fillId="20" borderId="0" xfId="0" applyFont="1" applyFill="1" applyAlignment="1">
      <alignment horizontal="center"/>
    </xf>
    <xf numFmtId="0" fontId="9" fillId="27" borderId="0" xfId="0" applyFont="1" applyFill="1" applyAlignment="1">
      <alignment horizontal="center" vertical="center" textRotation="90"/>
    </xf>
    <xf numFmtId="0" fontId="9" fillId="27" borderId="0" xfId="0" applyFont="1" applyFill="1"/>
    <xf numFmtId="0" fontId="9" fillId="21" borderId="0" xfId="0" applyFont="1" applyFill="1" applyAlignment="1">
      <alignment horizontal="center" vertical="center" textRotation="90"/>
    </xf>
    <xf numFmtId="0" fontId="9" fillId="21" borderId="0" xfId="0" applyFont="1" applyFill="1"/>
    <xf numFmtId="0" fontId="9" fillId="28" borderId="0" xfId="0" applyFont="1" applyFill="1"/>
    <xf numFmtId="0" fontId="9" fillId="26" borderId="0" xfId="0" applyFont="1" applyFill="1"/>
    <xf numFmtId="0" fontId="9" fillId="3" borderId="0" xfId="0" applyFont="1" applyFill="1"/>
    <xf numFmtId="0" fontId="9" fillId="20" borderId="0" xfId="0" applyFont="1" applyFill="1"/>
    <xf numFmtId="0" fontId="0" fillId="19" borderId="0" xfId="0" applyFont="1" applyFill="1" applyAlignment="1">
      <alignment horizontal="center" vertical="center"/>
    </xf>
    <xf numFmtId="9" fontId="20" fillId="0" borderId="0" xfId="1" applyNumberFormat="1" applyFont="1" applyAlignment="1">
      <alignment horizontal="center"/>
    </xf>
    <xf numFmtId="9" fontId="21" fillId="0" borderId="0" xfId="1" applyNumberFormat="1" applyFont="1" applyFill="1" applyAlignment="1">
      <alignment horizontal="center"/>
    </xf>
    <xf numFmtId="9" fontId="22" fillId="0" borderId="0" xfId="1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8" fillId="22" borderId="0" xfId="0" applyFont="1" applyFill="1"/>
    <xf numFmtId="0" fontId="8" fillId="22" borderId="0" xfId="0" applyFont="1" applyFill="1" applyAlignment="1">
      <alignment horizontal="center"/>
    </xf>
    <xf numFmtId="9" fontId="0" fillId="15" borderId="0" xfId="1" applyFont="1" applyFill="1" applyAlignment="1">
      <alignment horizontal="center"/>
    </xf>
    <xf numFmtId="9" fontId="0" fillId="15" borderId="0" xfId="0" applyNumberFormat="1" applyFill="1" applyAlignment="1">
      <alignment horizontal="center"/>
    </xf>
    <xf numFmtId="2" fontId="0" fillId="15" borderId="0" xfId="0" applyNumberFormat="1" applyFill="1" applyAlignment="1">
      <alignment horizontal="center"/>
    </xf>
    <xf numFmtId="166" fontId="0" fillId="15" borderId="0" xfId="0" applyNumberForma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17" borderId="0" xfId="0" applyFont="1" applyFill="1" applyAlignment="1">
      <alignment horizontal="center"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Alignment="1">
      <alignment horizontal="center"/>
    </xf>
    <xf numFmtId="0" fontId="23" fillId="14" borderId="1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18" borderId="0" xfId="0" applyFont="1" applyFill="1" applyAlignment="1">
      <alignment horizontal="center" vertical="center"/>
    </xf>
    <xf numFmtId="0" fontId="24" fillId="18" borderId="10" xfId="0" applyFont="1" applyFill="1" applyBorder="1" applyAlignment="1">
      <alignment horizontal="left" vertical="center"/>
    </xf>
    <xf numFmtId="9" fontId="24" fillId="0" borderId="0" xfId="0" applyNumberFormat="1" applyFont="1" applyAlignment="1">
      <alignment horizontal="center" vertical="center"/>
    </xf>
    <xf numFmtId="0" fontId="24" fillId="0" borderId="0" xfId="0" applyFont="1"/>
    <xf numFmtId="0" fontId="23" fillId="14" borderId="11" xfId="0" applyFont="1" applyFill="1" applyBorder="1"/>
    <xf numFmtId="164" fontId="24" fillId="15" borderId="0" xfId="1" applyNumberFormat="1" applyFont="1" applyFill="1" applyAlignment="1">
      <alignment horizontal="center"/>
    </xf>
    <xf numFmtId="9" fontId="25" fillId="15" borderId="0" xfId="1" applyFont="1" applyFill="1" applyAlignment="1">
      <alignment horizontal="center" vertical="center"/>
    </xf>
    <xf numFmtId="9" fontId="25" fillId="0" borderId="0" xfId="1" applyFont="1" applyFill="1" applyAlignment="1">
      <alignment horizontal="center" vertical="center"/>
    </xf>
    <xf numFmtId="0" fontId="24" fillId="18" borderId="0" xfId="0" applyFont="1" applyFill="1" applyAlignment="1">
      <alignment horizontal="center"/>
    </xf>
    <xf numFmtId="0" fontId="24" fillId="18" borderId="0" xfId="0" applyFont="1" applyFill="1" applyAlignment="1">
      <alignment horizontal="left"/>
    </xf>
    <xf numFmtId="0" fontId="23" fillId="14" borderId="10" xfId="0" applyFont="1" applyFill="1" applyBorder="1"/>
    <xf numFmtId="0" fontId="24" fillId="0" borderId="0" xfId="0" applyFont="1" applyAlignment="1">
      <alignment horizontal="center"/>
    </xf>
    <xf numFmtId="0" fontId="25" fillId="0" borderId="0" xfId="0" applyNumberFormat="1" applyFont="1" applyFill="1" applyAlignment="1">
      <alignment horizontal="center" vertical="center"/>
    </xf>
    <xf numFmtId="0" fontId="24" fillId="15" borderId="0" xfId="0" applyFont="1" applyFill="1" applyAlignment="1">
      <alignment horizontal="center"/>
    </xf>
    <xf numFmtId="0" fontId="25" fillId="15" borderId="0" xfId="0" applyNumberFormat="1" applyFont="1" applyFill="1" applyAlignment="1">
      <alignment horizontal="center" vertical="center"/>
    </xf>
    <xf numFmtId="0" fontId="24" fillId="19" borderId="0" xfId="0" applyFont="1" applyFill="1" applyAlignment="1">
      <alignment horizontal="center"/>
    </xf>
    <xf numFmtId="0" fontId="24" fillId="2" borderId="10" xfId="0" applyFont="1" applyFill="1" applyBorder="1"/>
    <xf numFmtId="0" fontId="25" fillId="19" borderId="1" xfId="0" applyFont="1" applyFill="1" applyBorder="1"/>
    <xf numFmtId="0" fontId="25" fillId="19" borderId="2" xfId="0" applyFont="1" applyFill="1" applyBorder="1"/>
    <xf numFmtId="0" fontId="24" fillId="3" borderId="10" xfId="0" applyFont="1" applyFill="1" applyBorder="1"/>
    <xf numFmtId="0" fontId="26" fillId="20" borderId="3" xfId="0" applyFont="1" applyFill="1" applyBorder="1"/>
    <xf numFmtId="8" fontId="26" fillId="20" borderId="4" xfId="0" applyNumberFormat="1" applyFont="1" applyFill="1" applyBorder="1"/>
    <xf numFmtId="0" fontId="24" fillId="0" borderId="10" xfId="0" applyFont="1" applyBorder="1"/>
    <xf numFmtId="0" fontId="24" fillId="4" borderId="10" xfId="0" applyFont="1" applyFill="1" applyBorder="1"/>
    <xf numFmtId="0" fontId="26" fillId="20" borderId="6" xfId="0" applyFont="1" applyFill="1" applyBorder="1"/>
    <xf numFmtId="8" fontId="26" fillId="20" borderId="7" xfId="0" applyNumberFormat="1" applyFont="1" applyFill="1" applyBorder="1"/>
    <xf numFmtId="0" fontId="23" fillId="23" borderId="3" xfId="0" applyFont="1" applyFill="1" applyBorder="1" applyAlignment="1">
      <alignment horizontal="center"/>
    </xf>
    <xf numFmtId="0" fontId="23" fillId="23" borderId="0" xfId="0" applyFont="1" applyFill="1" applyBorder="1" applyAlignment="1">
      <alignment horizontal="center"/>
    </xf>
    <xf numFmtId="8" fontId="27" fillId="15" borderId="0" xfId="0" applyNumberFormat="1" applyFont="1" applyFill="1" applyBorder="1" applyAlignment="1">
      <alignment horizontal="center"/>
    </xf>
    <xf numFmtId="0" fontId="27" fillId="15" borderId="0" xfId="0" applyFont="1" applyFill="1" applyBorder="1" applyAlignment="1">
      <alignment horizontal="center"/>
    </xf>
    <xf numFmtId="166" fontId="28" fillId="15" borderId="0" xfId="0" applyNumberFormat="1" applyFont="1" applyFill="1" applyBorder="1" applyAlignment="1">
      <alignment horizontal="center"/>
    </xf>
    <xf numFmtId="8" fontId="27" fillId="0" borderId="0" xfId="0" applyNumberFormat="1" applyFont="1" applyFill="1" applyBorder="1" applyAlignment="1">
      <alignment horizontal="center"/>
    </xf>
    <xf numFmtId="8" fontId="28" fillId="0" borderId="0" xfId="0" applyNumberFormat="1" applyFont="1" applyFill="1" applyBorder="1" applyAlignment="1">
      <alignment horizontal="center"/>
    </xf>
    <xf numFmtId="8" fontId="28" fillId="15" borderId="0" xfId="0" applyNumberFormat="1" applyFont="1" applyFill="1" applyBorder="1" applyAlignment="1">
      <alignment horizontal="center"/>
    </xf>
    <xf numFmtId="8" fontId="24" fillId="0" borderId="0" xfId="0" applyNumberFormat="1" applyFont="1" applyAlignment="1">
      <alignment horizontal="center"/>
    </xf>
    <xf numFmtId="8" fontId="24" fillId="15" borderId="0" xfId="0" applyNumberFormat="1" applyFont="1" applyFill="1" applyAlignment="1">
      <alignment horizontal="center"/>
    </xf>
    <xf numFmtId="166" fontId="25" fillId="15" borderId="0" xfId="0" applyNumberFormat="1" applyFont="1" applyFill="1" applyAlignment="1">
      <alignment horizontal="center"/>
    </xf>
    <xf numFmtId="166" fontId="25" fillId="0" borderId="0" xfId="0" applyNumberFormat="1" applyFont="1" applyFill="1" applyAlignment="1">
      <alignment horizontal="center"/>
    </xf>
    <xf numFmtId="0" fontId="23" fillId="14" borderId="10" xfId="0" applyFont="1" applyFill="1" applyBorder="1" applyAlignment="1">
      <alignment wrapText="1"/>
    </xf>
    <xf numFmtId="8" fontId="24" fillId="15" borderId="0" xfId="0" applyNumberFormat="1" applyFont="1" applyFill="1" applyAlignment="1">
      <alignment vertical="center"/>
    </xf>
    <xf numFmtId="166" fontId="25" fillId="15" borderId="0" xfId="0" applyNumberFormat="1" applyFont="1" applyFill="1" applyAlignment="1">
      <alignment horizontal="center" vertical="center"/>
    </xf>
    <xf numFmtId="8" fontId="24" fillId="0" borderId="0" xfId="0" applyNumberFormat="1" applyFont="1" applyFill="1" applyAlignment="1">
      <alignment vertical="center"/>
    </xf>
    <xf numFmtId="166" fontId="25" fillId="0" borderId="0" xfId="0" applyNumberFormat="1" applyFont="1" applyFill="1" applyAlignment="1">
      <alignment horizontal="center" vertical="center"/>
    </xf>
    <xf numFmtId="0" fontId="24" fillId="0" borderId="0" xfId="0" applyFont="1" applyFill="1"/>
    <xf numFmtId="0" fontId="29" fillId="14" borderId="10" xfId="0" applyFont="1" applyFill="1" applyBorder="1" applyAlignment="1">
      <alignment horizontal="center" vertical="center"/>
    </xf>
    <xf numFmtId="0" fontId="30" fillId="0" borderId="0" xfId="0" applyFont="1"/>
    <xf numFmtId="0" fontId="30" fillId="16" borderId="0" xfId="0" applyFont="1" applyFill="1" applyAlignment="1">
      <alignment horizontal="center" vertical="center"/>
    </xf>
    <xf numFmtId="0" fontId="30" fillId="16" borderId="10" xfId="0" applyFont="1" applyFill="1" applyBorder="1" applyAlignment="1">
      <alignment horizontal="left" vertical="center"/>
    </xf>
    <xf numFmtId="9" fontId="30" fillId="0" borderId="0" xfId="0" applyNumberFormat="1" applyFont="1" applyAlignment="1">
      <alignment horizontal="center" vertical="center"/>
    </xf>
    <xf numFmtId="0" fontId="29" fillId="14" borderId="11" xfId="0" applyFont="1" applyFill="1" applyBorder="1"/>
    <xf numFmtId="164" fontId="30" fillId="15" borderId="0" xfId="1" applyNumberFormat="1" applyFont="1" applyFill="1" applyAlignment="1">
      <alignment horizontal="center"/>
    </xf>
    <xf numFmtId="164" fontId="31" fillId="15" borderId="0" xfId="0" applyNumberFormat="1" applyFont="1" applyFill="1" applyAlignment="1">
      <alignment horizontal="center"/>
    </xf>
    <xf numFmtId="0" fontId="30" fillId="16" borderId="0" xfId="0" applyFont="1" applyFill="1" applyAlignment="1">
      <alignment horizontal="center"/>
    </xf>
    <xf numFmtId="0" fontId="30" fillId="16" borderId="0" xfId="0" applyFont="1" applyFill="1" applyAlignment="1">
      <alignment horizontal="left"/>
    </xf>
    <xf numFmtId="0" fontId="29" fillId="14" borderId="10" xfId="0" applyFont="1" applyFill="1" applyBorder="1"/>
    <xf numFmtId="0" fontId="30" fillId="0" borderId="0" xfId="0" applyFont="1" applyAlignment="1">
      <alignment horizontal="center"/>
    </xf>
    <xf numFmtId="0" fontId="31" fillId="0" borderId="0" xfId="0" applyNumberFormat="1" applyFont="1" applyAlignment="1">
      <alignment horizontal="center"/>
    </xf>
    <xf numFmtId="0" fontId="30" fillId="15" borderId="0" xfId="0" applyFont="1" applyFill="1" applyAlignment="1">
      <alignment horizontal="center"/>
    </xf>
    <xf numFmtId="0" fontId="31" fillId="15" borderId="0" xfId="0" applyNumberFormat="1" applyFont="1" applyFill="1" applyAlignment="1">
      <alignment horizontal="center"/>
    </xf>
    <xf numFmtId="0" fontId="30" fillId="19" borderId="0" xfId="0" applyFont="1" applyFill="1" applyAlignment="1">
      <alignment horizontal="center"/>
    </xf>
    <xf numFmtId="0" fontId="30" fillId="2" borderId="10" xfId="0" applyFont="1" applyFill="1" applyBorder="1"/>
    <xf numFmtId="0" fontId="31" fillId="19" borderId="1" xfId="0" applyFont="1" applyFill="1" applyBorder="1"/>
    <xf numFmtId="0" fontId="31" fillId="19" borderId="2" xfId="0" applyFont="1" applyFill="1" applyBorder="1"/>
    <xf numFmtId="0" fontId="30" fillId="3" borderId="10" xfId="0" applyFont="1" applyFill="1" applyBorder="1"/>
    <xf numFmtId="0" fontId="32" fillId="20" borderId="3" xfId="0" applyFont="1" applyFill="1" applyBorder="1"/>
    <xf numFmtId="8" fontId="32" fillId="20" borderId="4" xfId="0" applyNumberFormat="1" applyFont="1" applyFill="1" applyBorder="1"/>
    <xf numFmtId="0" fontId="30" fillId="0" borderId="10" xfId="0" applyFont="1" applyBorder="1"/>
    <xf numFmtId="0" fontId="30" fillId="4" borderId="10" xfId="0" applyFont="1" applyFill="1" applyBorder="1"/>
    <xf numFmtId="0" fontId="32" fillId="20" borderId="6" xfId="0" applyFont="1" applyFill="1" applyBorder="1"/>
    <xf numFmtId="8" fontId="32" fillId="20" borderId="7" xfId="0" applyNumberFormat="1" applyFont="1" applyFill="1" applyBorder="1"/>
    <xf numFmtId="0" fontId="29" fillId="23" borderId="3" xfId="0" applyFont="1" applyFill="1" applyBorder="1" applyAlignment="1"/>
    <xf numFmtId="0" fontId="29" fillId="23" borderId="0" xfId="0" applyFont="1" applyFill="1" applyBorder="1" applyAlignment="1"/>
    <xf numFmtId="8" fontId="33" fillId="15" borderId="0" xfId="0" applyNumberFormat="1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166" fontId="33" fillId="15" borderId="0" xfId="0" applyNumberFormat="1" applyFont="1" applyFill="1" applyBorder="1" applyAlignment="1">
      <alignment horizontal="center"/>
    </xf>
    <xf numFmtId="8" fontId="33" fillId="0" borderId="0" xfId="0" applyNumberFormat="1" applyFont="1" applyFill="1" applyBorder="1" applyAlignment="1">
      <alignment horizontal="center"/>
    </xf>
    <xf numFmtId="8" fontId="34" fillId="0" borderId="0" xfId="0" applyNumberFormat="1" applyFont="1" applyFill="1" applyBorder="1" applyAlignment="1">
      <alignment horizontal="center"/>
    </xf>
    <xf numFmtId="8" fontId="34" fillId="15" borderId="0" xfId="0" applyNumberFormat="1" applyFont="1" applyFill="1" applyBorder="1" applyAlignment="1">
      <alignment horizontal="center"/>
    </xf>
    <xf numFmtId="8" fontId="30" fillId="0" borderId="0" xfId="0" applyNumberFormat="1" applyFont="1" applyAlignment="1">
      <alignment horizontal="center"/>
    </xf>
    <xf numFmtId="8" fontId="30" fillId="15" borderId="0" xfId="0" applyNumberFormat="1" applyFont="1" applyFill="1" applyAlignment="1">
      <alignment horizontal="center"/>
    </xf>
    <xf numFmtId="166" fontId="31" fillId="15" borderId="0" xfId="0" applyNumberFormat="1" applyFont="1" applyFill="1" applyAlignment="1">
      <alignment horizontal="center"/>
    </xf>
    <xf numFmtId="0" fontId="29" fillId="14" borderId="10" xfId="0" applyFont="1" applyFill="1" applyBorder="1" applyAlignment="1">
      <alignment wrapText="1"/>
    </xf>
    <xf numFmtId="8" fontId="30" fillId="15" borderId="0" xfId="0" applyNumberFormat="1" applyFont="1" applyFill="1" applyAlignment="1">
      <alignment vertical="center"/>
    </xf>
    <xf numFmtId="166" fontId="31" fillId="15" borderId="0" xfId="0" applyNumberFormat="1" applyFont="1" applyFill="1" applyAlignment="1">
      <alignment horizontal="center" vertical="center"/>
    </xf>
    <xf numFmtId="8" fontId="30" fillId="0" borderId="0" xfId="0" applyNumberFormat="1" applyFont="1" applyFill="1" applyAlignment="1">
      <alignment vertical="center"/>
    </xf>
    <xf numFmtId="166" fontId="31" fillId="0" borderId="0" xfId="0" applyNumberFormat="1" applyFont="1" applyFill="1" applyAlignment="1">
      <alignment horizontal="center" vertical="center"/>
    </xf>
    <xf numFmtId="0" fontId="30" fillId="18" borderId="0" xfId="0" applyFont="1" applyFill="1"/>
    <xf numFmtId="8" fontId="30" fillId="0" borderId="0" xfId="0" applyNumberFormat="1" applyFont="1" applyFill="1" applyAlignment="1">
      <alignment horizontal="center"/>
    </xf>
    <xf numFmtId="0" fontId="15" fillId="15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 wrapText="1"/>
    </xf>
    <xf numFmtId="8" fontId="18" fillId="10" borderId="4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24" borderId="0" xfId="0" applyFont="1" applyFill="1" applyAlignment="1">
      <alignment horizontal="center" vertical="center"/>
    </xf>
    <xf numFmtId="8" fontId="15" fillId="24" borderId="0" xfId="0" applyNumberFormat="1" applyFont="1" applyFill="1" applyAlignment="1">
      <alignment horizontal="center" vertical="center"/>
    </xf>
    <xf numFmtId="8" fontId="15" fillId="15" borderId="0" xfId="0" applyNumberFormat="1" applyFont="1" applyFill="1" applyAlignment="1">
      <alignment horizontal="center" vertical="center"/>
    </xf>
    <xf numFmtId="166" fontId="15" fillId="15" borderId="0" xfId="0" applyNumberFormat="1" applyFont="1" applyFill="1" applyAlignment="1">
      <alignment horizontal="center" vertical="center"/>
    </xf>
    <xf numFmtId="2" fontId="15" fillId="15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99"/>
      <color rgb="FFFFFFCC"/>
      <color rgb="FFD7F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11BC-BBD2-4363-AD00-232177A6EAD2}">
  <dimension ref="A1:N32"/>
  <sheetViews>
    <sheetView showGridLines="0" tabSelected="1" topLeftCell="B1" workbookViewId="0">
      <selection activeCell="M34" sqref="M34"/>
    </sheetView>
  </sheetViews>
  <sheetFormatPr defaultRowHeight="15" x14ac:dyDescent="0.25"/>
  <cols>
    <col min="1" max="1" width="3.7109375" bestFit="1" customWidth="1"/>
    <col min="2" max="2" width="22" style="103" bestFit="1" customWidth="1"/>
    <col min="3" max="3" width="19.85546875" style="98" bestFit="1" customWidth="1"/>
    <col min="4" max="4" width="18.140625" style="98" bestFit="1" customWidth="1"/>
    <col min="5" max="5" width="1.140625" customWidth="1"/>
    <col min="6" max="6" width="3.7109375" bestFit="1" customWidth="1"/>
    <col min="7" max="7" width="22" bestFit="1" customWidth="1"/>
    <col min="8" max="8" width="19.140625" bestFit="1" customWidth="1"/>
    <col min="9" max="9" width="18.140625" bestFit="1" customWidth="1"/>
    <col min="10" max="10" width="1.140625" customWidth="1"/>
    <col min="11" max="11" width="3.7109375" bestFit="1" customWidth="1"/>
    <col min="12" max="12" width="22" bestFit="1" customWidth="1"/>
    <col min="13" max="13" width="19.140625" bestFit="1" customWidth="1"/>
    <col min="14" max="14" width="18.140625" bestFit="1" customWidth="1"/>
  </cols>
  <sheetData>
    <row r="1" spans="1:14" ht="15.75" x14ac:dyDescent="0.25">
      <c r="A1" s="209" t="s">
        <v>153</v>
      </c>
      <c r="B1" s="209"/>
      <c r="C1" s="209"/>
      <c r="D1" s="209"/>
      <c r="F1" s="211" t="s">
        <v>156</v>
      </c>
      <c r="G1" s="211"/>
      <c r="H1" s="211"/>
      <c r="I1" s="211"/>
      <c r="K1" s="212" t="s">
        <v>155</v>
      </c>
      <c r="L1" s="212"/>
      <c r="M1" s="212"/>
      <c r="N1" s="212"/>
    </row>
    <row r="2" spans="1:14" x14ac:dyDescent="0.25">
      <c r="A2" s="227" t="s">
        <v>148</v>
      </c>
      <c r="B2" s="198" t="s">
        <v>151</v>
      </c>
      <c r="C2" s="201" t="s">
        <v>154</v>
      </c>
      <c r="D2" s="199" t="s">
        <v>150</v>
      </c>
      <c r="F2" s="225" t="s">
        <v>148</v>
      </c>
      <c r="G2" s="202" t="s">
        <v>151</v>
      </c>
      <c r="H2" s="204" t="s">
        <v>154</v>
      </c>
      <c r="I2" s="203" t="s">
        <v>150</v>
      </c>
      <c r="J2" s="169"/>
      <c r="K2" s="221" t="s">
        <v>148</v>
      </c>
      <c r="L2" s="205" t="s">
        <v>151</v>
      </c>
      <c r="M2" s="208" t="s">
        <v>154</v>
      </c>
      <c r="N2" s="206" t="s">
        <v>150</v>
      </c>
    </row>
    <row r="3" spans="1:14" x14ac:dyDescent="0.25">
      <c r="A3" s="227"/>
      <c r="B3" s="216" t="s">
        <v>157</v>
      </c>
      <c r="C3" s="214">
        <f>'Custos Nordeste'!N3</f>
        <v>1291967.2000000002</v>
      </c>
      <c r="D3" s="200">
        <f>C3*'Custos Nordeste'!Q16</f>
        <v>7958466273.3120012</v>
      </c>
      <c r="F3" s="225"/>
      <c r="G3" s="217" t="s">
        <v>157</v>
      </c>
      <c r="H3" s="222">
        <v>1291967.2000000002</v>
      </c>
      <c r="I3" s="219">
        <v>7958466273.3120012</v>
      </c>
      <c r="J3" s="169"/>
      <c r="K3" s="221"/>
      <c r="L3" s="220" t="s">
        <v>157</v>
      </c>
      <c r="M3" s="224">
        <v>3875901.6000000006</v>
      </c>
      <c r="N3" s="207">
        <v>2220412090.25</v>
      </c>
    </row>
    <row r="4" spans="1:14" x14ac:dyDescent="0.25">
      <c r="A4" s="227"/>
      <c r="B4" s="216" t="s">
        <v>38</v>
      </c>
      <c r="C4" s="215">
        <f>'Custos Nordeste'!N5</f>
        <v>25</v>
      </c>
      <c r="D4" s="200">
        <v>525000</v>
      </c>
      <c r="F4" s="225"/>
      <c r="G4" s="217" t="s">
        <v>38</v>
      </c>
      <c r="H4" s="218">
        <v>25</v>
      </c>
      <c r="I4" s="219">
        <v>525000</v>
      </c>
      <c r="J4" s="169"/>
      <c r="K4" s="221"/>
      <c r="L4" s="220" t="s">
        <v>38</v>
      </c>
      <c r="M4" s="223">
        <v>25</v>
      </c>
      <c r="N4" s="207">
        <v>525000</v>
      </c>
    </row>
    <row r="5" spans="1:14" x14ac:dyDescent="0.25">
      <c r="A5" s="227"/>
      <c r="B5" s="216" t="s">
        <v>39</v>
      </c>
      <c r="C5" s="215">
        <f>'Custos Nordeste'!N6</f>
        <v>300</v>
      </c>
      <c r="D5" s="200">
        <v>360925</v>
      </c>
      <c r="F5" s="225"/>
      <c r="G5" s="217" t="s">
        <v>39</v>
      </c>
      <c r="H5" s="218">
        <v>300</v>
      </c>
      <c r="I5" s="219">
        <v>4331100</v>
      </c>
      <c r="J5" s="169"/>
      <c r="K5" s="221"/>
      <c r="L5" s="220" t="s">
        <v>39</v>
      </c>
      <c r="M5" s="223">
        <v>300</v>
      </c>
      <c r="N5" s="207">
        <v>4331100</v>
      </c>
    </row>
    <row r="6" spans="1:14" x14ac:dyDescent="0.25">
      <c r="A6" s="227"/>
      <c r="B6" s="216" t="s">
        <v>133</v>
      </c>
      <c r="C6" s="215">
        <f>'Custos Nordeste'!N8</f>
        <v>70</v>
      </c>
      <c r="D6" s="200">
        <v>1200000</v>
      </c>
      <c r="F6" s="225"/>
      <c r="G6" s="217" t="s">
        <v>133</v>
      </c>
      <c r="H6" s="218">
        <v>70</v>
      </c>
      <c r="I6" s="219">
        <v>10500000</v>
      </c>
      <c r="J6" s="169"/>
      <c r="K6" s="221"/>
      <c r="L6" s="220" t="s">
        <v>133</v>
      </c>
      <c r="M6" s="223">
        <v>70</v>
      </c>
      <c r="N6" s="207">
        <v>10500000</v>
      </c>
    </row>
    <row r="7" spans="1:14" x14ac:dyDescent="0.25">
      <c r="A7" s="227"/>
      <c r="B7" s="216" t="s">
        <v>20</v>
      </c>
      <c r="C7" s="233">
        <f>'Custos Nordeste'!D10</f>
        <v>168</v>
      </c>
      <c r="D7" s="200">
        <v>228592000</v>
      </c>
      <c r="F7" s="225"/>
      <c r="G7" s="217" t="s">
        <v>20</v>
      </c>
      <c r="H7" s="233">
        <v>168</v>
      </c>
      <c r="I7" s="219">
        <v>228592000</v>
      </c>
      <c r="J7" s="169"/>
      <c r="K7" s="221"/>
      <c r="L7" s="220" t="s">
        <v>20</v>
      </c>
      <c r="M7" s="233">
        <f>'Custos Nordeste'!N10</f>
        <v>1970</v>
      </c>
      <c r="N7" s="207">
        <v>228592000</v>
      </c>
    </row>
    <row r="8" spans="1:14" x14ac:dyDescent="0.25">
      <c r="A8" s="227"/>
      <c r="B8" s="216" t="s">
        <v>23</v>
      </c>
      <c r="C8" s="215">
        <v>1</v>
      </c>
      <c r="D8" s="200">
        <v>100000000</v>
      </c>
      <c r="F8" s="225"/>
      <c r="G8" s="217" t="s">
        <v>23</v>
      </c>
      <c r="H8" s="218">
        <v>1</v>
      </c>
      <c r="I8" s="219">
        <v>150000000</v>
      </c>
      <c r="J8" s="169"/>
      <c r="K8" s="221"/>
      <c r="L8" s="220" t="s">
        <v>23</v>
      </c>
      <c r="M8" s="223">
        <v>1</v>
      </c>
      <c r="N8" s="207">
        <v>80000000</v>
      </c>
    </row>
    <row r="9" spans="1:14" ht="5.25" customHeight="1" x14ac:dyDescent="0.25">
      <c r="A9" s="230"/>
      <c r="B9" s="209"/>
      <c r="C9" s="209"/>
      <c r="D9" s="209"/>
      <c r="F9" s="231"/>
      <c r="G9" s="211"/>
      <c r="H9" s="211"/>
      <c r="I9" s="211"/>
      <c r="K9" s="232"/>
      <c r="L9" s="212"/>
      <c r="M9" s="212"/>
      <c r="N9" s="212"/>
    </row>
    <row r="10" spans="1:14" ht="16.5" customHeight="1" x14ac:dyDescent="0.25">
      <c r="A10" s="228"/>
      <c r="B10" s="198" t="s">
        <v>151</v>
      </c>
      <c r="C10" s="201" t="s">
        <v>154</v>
      </c>
      <c r="D10" s="199" t="s">
        <v>150</v>
      </c>
      <c r="F10" s="226"/>
      <c r="G10" s="202" t="s">
        <v>151</v>
      </c>
      <c r="H10" s="204" t="s">
        <v>154</v>
      </c>
      <c r="I10" s="203" t="s">
        <v>150</v>
      </c>
      <c r="K10" s="229"/>
      <c r="L10" s="205" t="s">
        <v>151</v>
      </c>
      <c r="M10" s="208" t="s">
        <v>154</v>
      </c>
      <c r="N10" s="206" t="s">
        <v>150</v>
      </c>
    </row>
    <row r="11" spans="1:14" x14ac:dyDescent="0.25">
      <c r="A11" s="227" t="s">
        <v>149</v>
      </c>
      <c r="B11" s="216" t="s">
        <v>29</v>
      </c>
      <c r="C11" s="215">
        <f>'Custos Nordeste'!N16</f>
        <v>3</v>
      </c>
      <c r="D11" s="200">
        <v>240000</v>
      </c>
      <c r="F11" s="225" t="s">
        <v>149</v>
      </c>
      <c r="G11" s="217" t="s">
        <v>29</v>
      </c>
      <c r="H11" s="218">
        <v>3</v>
      </c>
      <c r="I11" s="219">
        <v>240000</v>
      </c>
      <c r="J11" s="169"/>
      <c r="K11" s="221" t="s">
        <v>149</v>
      </c>
      <c r="L11" s="220" t="s">
        <v>29</v>
      </c>
      <c r="M11" s="208">
        <v>3</v>
      </c>
      <c r="N11" s="207">
        <v>240000</v>
      </c>
    </row>
    <row r="12" spans="1:14" x14ac:dyDescent="0.25">
      <c r="A12" s="227"/>
      <c r="B12" s="216" t="s">
        <v>30</v>
      </c>
      <c r="C12" s="215">
        <v>3</v>
      </c>
      <c r="D12" s="200">
        <v>45000</v>
      </c>
      <c r="F12" s="225"/>
      <c r="G12" s="217" t="s">
        <v>30</v>
      </c>
      <c r="H12" s="218">
        <v>3</v>
      </c>
      <c r="I12" s="219">
        <v>45000</v>
      </c>
      <c r="J12" s="169"/>
      <c r="K12" s="221"/>
      <c r="L12" s="220" t="s">
        <v>30</v>
      </c>
      <c r="M12" s="208">
        <v>3</v>
      </c>
      <c r="N12" s="207">
        <v>45000</v>
      </c>
    </row>
    <row r="13" spans="1:14" x14ac:dyDescent="0.25">
      <c r="A13" s="227"/>
      <c r="B13" s="216" t="s">
        <v>31</v>
      </c>
      <c r="C13" s="215">
        <f>'Custos Nordeste'!N18</f>
        <v>36</v>
      </c>
      <c r="D13" s="200">
        <v>205500</v>
      </c>
      <c r="F13" s="225"/>
      <c r="G13" s="217" t="s">
        <v>31</v>
      </c>
      <c r="H13" s="218">
        <v>36</v>
      </c>
      <c r="I13" s="219">
        <v>2466000</v>
      </c>
      <c r="J13" s="169"/>
      <c r="K13" s="221"/>
      <c r="L13" s="220" t="s">
        <v>31</v>
      </c>
      <c r="M13" s="208">
        <v>36</v>
      </c>
      <c r="N13" s="207">
        <v>2466000</v>
      </c>
    </row>
    <row r="14" spans="1:14" x14ac:dyDescent="0.25">
      <c r="A14" s="227"/>
      <c r="B14" s="216" t="s">
        <v>32</v>
      </c>
      <c r="C14" s="215">
        <f>'Custos Nordeste'!N19</f>
        <v>5</v>
      </c>
      <c r="D14" s="200">
        <v>450000</v>
      </c>
      <c r="F14" s="225"/>
      <c r="G14" s="217" t="s">
        <v>32</v>
      </c>
      <c r="H14" s="218">
        <v>5</v>
      </c>
      <c r="I14" s="219">
        <v>450000</v>
      </c>
      <c r="J14" s="169"/>
      <c r="K14" s="221"/>
      <c r="L14" s="220" t="s">
        <v>32</v>
      </c>
      <c r="M14" s="208">
        <v>5</v>
      </c>
      <c r="N14" s="207">
        <v>450000</v>
      </c>
    </row>
    <row r="15" spans="1:14" x14ac:dyDescent="0.25">
      <c r="A15" s="227"/>
      <c r="B15" s="216" t="s">
        <v>33</v>
      </c>
      <c r="C15" s="215">
        <v>5</v>
      </c>
      <c r="D15" s="200">
        <v>80000</v>
      </c>
      <c r="F15" s="225"/>
      <c r="G15" s="217" t="s">
        <v>33</v>
      </c>
      <c r="H15" s="218">
        <v>5</v>
      </c>
      <c r="I15" s="219">
        <v>80000</v>
      </c>
      <c r="J15" s="169"/>
      <c r="K15" s="221"/>
      <c r="L15" s="220" t="s">
        <v>33</v>
      </c>
      <c r="M15" s="208">
        <v>5</v>
      </c>
      <c r="N15" s="207">
        <v>80000</v>
      </c>
    </row>
    <row r="16" spans="1:14" x14ac:dyDescent="0.25">
      <c r="A16" s="227"/>
      <c r="B16" s="216" t="s">
        <v>34</v>
      </c>
      <c r="C16" s="215">
        <f>'Custos Nordeste'!N21</f>
        <v>60</v>
      </c>
      <c r="D16" s="200">
        <v>392500</v>
      </c>
      <c r="F16" s="225"/>
      <c r="G16" s="217" t="s">
        <v>34</v>
      </c>
      <c r="H16" s="218">
        <v>60</v>
      </c>
      <c r="I16" s="219">
        <v>4710000</v>
      </c>
      <c r="J16" s="169"/>
      <c r="K16" s="221"/>
      <c r="L16" s="220" t="s">
        <v>34</v>
      </c>
      <c r="M16" s="208">
        <v>60</v>
      </c>
      <c r="N16" s="207">
        <v>4710000</v>
      </c>
    </row>
    <row r="17" spans="1:14" x14ac:dyDescent="0.25">
      <c r="A17" s="227"/>
      <c r="B17" s="216" t="s">
        <v>35</v>
      </c>
      <c r="C17" s="215">
        <v>40</v>
      </c>
      <c r="D17" s="200">
        <v>4000000</v>
      </c>
      <c r="F17" s="225"/>
      <c r="G17" s="217" t="s">
        <v>35</v>
      </c>
      <c r="H17" s="218">
        <v>40</v>
      </c>
      <c r="I17" s="219">
        <v>4000000</v>
      </c>
      <c r="J17" s="169"/>
      <c r="K17" s="221"/>
      <c r="L17" s="220" t="s">
        <v>35</v>
      </c>
      <c r="M17" s="208">
        <v>40</v>
      </c>
      <c r="N17" s="207">
        <v>4000000</v>
      </c>
    </row>
    <row r="18" spans="1:14" x14ac:dyDescent="0.25">
      <c r="A18" s="227"/>
      <c r="B18" s="216" t="s">
        <v>36</v>
      </c>
      <c r="C18" s="215">
        <v>40</v>
      </c>
      <c r="D18" s="200">
        <v>760000</v>
      </c>
      <c r="F18" s="225"/>
      <c r="G18" s="217" t="s">
        <v>36</v>
      </c>
      <c r="H18" s="218">
        <v>40</v>
      </c>
      <c r="I18" s="219">
        <v>760000</v>
      </c>
      <c r="J18" s="169"/>
      <c r="K18" s="221"/>
      <c r="L18" s="220" t="s">
        <v>36</v>
      </c>
      <c r="M18" s="208">
        <v>40</v>
      </c>
      <c r="N18" s="207">
        <v>760000</v>
      </c>
    </row>
    <row r="19" spans="1:14" x14ac:dyDescent="0.25">
      <c r="A19" s="227"/>
      <c r="B19" s="216" t="s">
        <v>37</v>
      </c>
      <c r="C19" s="215">
        <f>'Custos Nordeste'!N24</f>
        <v>388</v>
      </c>
      <c r="D19" s="200">
        <v>2970000</v>
      </c>
      <c r="F19" s="225"/>
      <c r="G19" s="217" t="s">
        <v>37</v>
      </c>
      <c r="H19" s="218">
        <v>388</v>
      </c>
      <c r="I19" s="219">
        <v>32010000</v>
      </c>
      <c r="J19" s="169"/>
      <c r="K19" s="221"/>
      <c r="L19" s="220" t="s">
        <v>37</v>
      </c>
      <c r="M19" s="208">
        <v>388</v>
      </c>
      <c r="N19" s="207">
        <v>32010000</v>
      </c>
    </row>
    <row r="20" spans="1:14" ht="4.5" customHeight="1" x14ac:dyDescent="0.25">
      <c r="A20" s="209"/>
      <c r="B20" s="209"/>
      <c r="C20" s="209"/>
      <c r="D20" s="209"/>
      <c r="F20" s="210"/>
      <c r="G20" s="210"/>
      <c r="H20" s="210"/>
      <c r="I20" s="210"/>
      <c r="K20" s="213"/>
      <c r="L20" s="213"/>
      <c r="M20" s="213"/>
      <c r="N20" s="213"/>
    </row>
    <row r="21" spans="1:14" x14ac:dyDescent="0.25">
      <c r="A21" s="227"/>
      <c r="B21" s="103" t="s">
        <v>158</v>
      </c>
      <c r="C21" s="153">
        <f>C30</f>
        <v>15305509069.223999</v>
      </c>
      <c r="F21" s="210"/>
      <c r="G21" s="103" t="s">
        <v>158</v>
      </c>
      <c r="H21" s="153">
        <f>H30</f>
        <v>15305509069.223999</v>
      </c>
      <c r="I21" s="98"/>
      <c r="K21" s="213"/>
      <c r="L21" s="103" t="s">
        <v>158</v>
      </c>
      <c r="M21" s="153">
        <f>M30</f>
        <v>45916527207.672005</v>
      </c>
    </row>
    <row r="22" spans="1:14" x14ac:dyDescent="0.25">
      <c r="A22" s="227"/>
      <c r="B22" s="103" t="s">
        <v>159</v>
      </c>
      <c r="C22" s="153">
        <f>C30-C29</f>
        <v>7347042795.9119987</v>
      </c>
      <c r="F22" s="210"/>
      <c r="G22" s="103" t="s">
        <v>159</v>
      </c>
      <c r="H22" s="153">
        <f>H30-H29</f>
        <v>7347042795.9119987</v>
      </c>
      <c r="I22" s="98"/>
      <c r="K22" s="213"/>
      <c r="L22" s="103" t="s">
        <v>159</v>
      </c>
      <c r="M22" s="153">
        <f>M30-M29</f>
        <v>22041128387.736008</v>
      </c>
    </row>
    <row r="23" spans="1:14" x14ac:dyDescent="0.25">
      <c r="A23" s="227"/>
      <c r="B23" s="103" t="s">
        <v>160</v>
      </c>
      <c r="C23" s="153">
        <f>C22-C31</f>
        <v>7007221870.9119987</v>
      </c>
      <c r="D23" s="234">
        <f>C23/C21*1</f>
        <v>0.45782350911816294</v>
      </c>
      <c r="F23" s="210"/>
      <c r="G23" s="103" t="s">
        <v>160</v>
      </c>
      <c r="H23" s="153">
        <f>H22-H31</f>
        <v>6908333695.9119987</v>
      </c>
      <c r="I23" s="235">
        <f>H23/H21*1</f>
        <v>0.45136255610100112</v>
      </c>
      <c r="K23" s="213"/>
      <c r="L23" s="103" t="s">
        <v>160</v>
      </c>
      <c r="M23" s="153">
        <f>M22-M31</f>
        <v>19452007197.486008</v>
      </c>
      <c r="N23" s="236">
        <f>M23/M21*1</f>
        <v>0.42363846702752928</v>
      </c>
    </row>
    <row r="29" spans="1:14" x14ac:dyDescent="0.25">
      <c r="B29" s="103" t="s">
        <v>162</v>
      </c>
      <c r="C29" s="153">
        <f>'Custos Nordeste'!N41</f>
        <v>7958466273.3120003</v>
      </c>
      <c r="G29" s="103" t="s">
        <v>162</v>
      </c>
      <c r="H29" s="153">
        <f>'Custos Sul e Sudeste'!N41</f>
        <v>7958466273.3120003</v>
      </c>
      <c r="L29" s="103" t="s">
        <v>162</v>
      </c>
      <c r="M29" s="153">
        <f>'Custos Norte e C.Oeste'!N41</f>
        <v>23875398819.935997</v>
      </c>
    </row>
    <row r="30" spans="1:14" x14ac:dyDescent="0.25">
      <c r="B30" s="103" t="s">
        <v>161</v>
      </c>
      <c r="C30" s="194">
        <f>'Receita Nordeste'!N3</f>
        <v>15305509069.223999</v>
      </c>
      <c r="G30" s="103" t="s">
        <v>161</v>
      </c>
      <c r="H30" s="194">
        <f>'Receita Sul e Suldeste'!N3</f>
        <v>15305509069.223999</v>
      </c>
      <c r="L30" s="103" t="s">
        <v>161</v>
      </c>
      <c r="M30" s="194">
        <f>'Receita Norte e C.Oeste'!N3</f>
        <v>45916527207.672005</v>
      </c>
    </row>
    <row r="31" spans="1:14" x14ac:dyDescent="0.25">
      <c r="B31" s="103" t="s">
        <v>163</v>
      </c>
      <c r="C31" s="159">
        <f>SUM(D4:D8,D11:D19)</f>
        <v>339820925</v>
      </c>
      <c r="G31" s="103" t="s">
        <v>163</v>
      </c>
      <c r="H31" s="159">
        <f>SUM(I4:I8,I11:I19)</f>
        <v>438709100</v>
      </c>
      <c r="L31" s="103" t="s">
        <v>163</v>
      </c>
      <c r="M31" s="159">
        <f>SUM(N3:N8,N11:N19)</f>
        <v>2589121190.25</v>
      </c>
    </row>
    <row r="32" spans="1:14" x14ac:dyDescent="0.25">
      <c r="B32" s="103" t="s">
        <v>170</v>
      </c>
      <c r="C32" s="194">
        <f>C23/C3</f>
        <v>5423.6840307648663</v>
      </c>
      <c r="G32" s="103" t="s">
        <v>170</v>
      </c>
      <c r="H32" s="194">
        <f>H23/H3</f>
        <v>5347.1432524850461</v>
      </c>
      <c r="L32" s="103" t="s">
        <v>170</v>
      </c>
      <c r="M32" s="194">
        <f>M23/M3</f>
        <v>5018.7051181810202</v>
      </c>
    </row>
  </sheetData>
  <mergeCells count="14">
    <mergeCell ref="K1:N1"/>
    <mergeCell ref="K2:K8"/>
    <mergeCell ref="L9:N9"/>
    <mergeCell ref="K11:K19"/>
    <mergeCell ref="A21:A23"/>
    <mergeCell ref="A20:D20"/>
    <mergeCell ref="B9:D9"/>
    <mergeCell ref="A2:A8"/>
    <mergeCell ref="A11:A19"/>
    <mergeCell ref="A1:D1"/>
    <mergeCell ref="F1:I1"/>
    <mergeCell ref="F2:F8"/>
    <mergeCell ref="G9:I9"/>
    <mergeCell ref="F11:F1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8FD1-6D19-4965-9452-4AE1B7789544}">
  <dimension ref="A1:R45"/>
  <sheetViews>
    <sheetView topLeftCell="A26" zoomScale="87" zoomScaleNormal="87" workbookViewId="0">
      <pane xSplit="1" topLeftCell="B1" activePane="topRight" state="frozen"/>
      <selection pane="topRight"/>
    </sheetView>
  </sheetViews>
  <sheetFormatPr defaultRowHeight="13.5" x14ac:dyDescent="0.25"/>
  <cols>
    <col min="1" max="1" width="23.7109375" style="299" customWidth="1"/>
    <col min="2" max="13" width="16" style="299" bestFit="1" customWidth="1"/>
    <col min="14" max="14" width="17.5703125" style="299" bestFit="1" customWidth="1"/>
    <col min="15" max="15" width="9.140625" style="299"/>
    <col min="16" max="16" width="19.85546875" style="299" bestFit="1" customWidth="1"/>
    <col min="17" max="17" width="18.7109375" style="299" bestFit="1" customWidth="1"/>
    <col min="18" max="18" width="4.7109375" style="299" bestFit="1" customWidth="1"/>
    <col min="19" max="16384" width="9.140625" style="299"/>
  </cols>
  <sheetData>
    <row r="1" spans="1:18" ht="30.75" customHeight="1" x14ac:dyDescent="0.25">
      <c r="A1" s="298" t="s">
        <v>125</v>
      </c>
      <c r="B1" s="298" t="s">
        <v>0</v>
      </c>
      <c r="C1" s="298" t="s">
        <v>1</v>
      </c>
      <c r="D1" s="298" t="s">
        <v>2</v>
      </c>
      <c r="E1" s="298" t="s">
        <v>3</v>
      </c>
      <c r="F1" s="298" t="s">
        <v>4</v>
      </c>
      <c r="G1" s="298" t="s">
        <v>5</v>
      </c>
      <c r="H1" s="298" t="s">
        <v>6</v>
      </c>
      <c r="I1" s="298" t="s">
        <v>7</v>
      </c>
      <c r="J1" s="298" t="s">
        <v>8</v>
      </c>
      <c r="K1" s="298" t="s">
        <v>9</v>
      </c>
      <c r="L1" s="298" t="s">
        <v>10</v>
      </c>
      <c r="M1" s="298" t="s">
        <v>11</v>
      </c>
      <c r="N1" s="298" t="s">
        <v>130</v>
      </c>
      <c r="P1" s="300">
        <v>1291967.2</v>
      </c>
      <c r="Q1" s="301" t="s">
        <v>14</v>
      </c>
      <c r="R1" s="302">
        <v>0.2</v>
      </c>
    </row>
    <row r="2" spans="1:18" x14ac:dyDescent="0.25">
      <c r="A2" s="303" t="s">
        <v>13</v>
      </c>
      <c r="B2" s="304">
        <v>9.2999999999999999E-2</v>
      </c>
      <c r="C2" s="304">
        <v>0.08</v>
      </c>
      <c r="D2" s="304">
        <v>8.5000000000000006E-2</v>
      </c>
      <c r="E2" s="304">
        <v>0.08</v>
      </c>
      <c r="F2" s="304">
        <v>0.09</v>
      </c>
      <c r="G2" s="304">
        <v>7.8E-2</v>
      </c>
      <c r="H2" s="304">
        <v>0.08</v>
      </c>
      <c r="I2" s="304">
        <v>0.08</v>
      </c>
      <c r="J2" s="304">
        <v>7.3999999999999996E-2</v>
      </c>
      <c r="K2" s="304">
        <v>7.3999999999999996E-2</v>
      </c>
      <c r="L2" s="304">
        <v>0.104</v>
      </c>
      <c r="M2" s="304">
        <v>8.2000000000000003E-2</v>
      </c>
      <c r="N2" s="305">
        <f>SUM(B2:M2)</f>
        <v>0.99999999999999978</v>
      </c>
      <c r="P2" s="306"/>
      <c r="Q2" s="307"/>
    </row>
    <row r="3" spans="1:18" x14ac:dyDescent="0.25">
      <c r="A3" s="308" t="s">
        <v>12</v>
      </c>
      <c r="B3" s="309">
        <f>P1*B2</f>
        <v>120152.94959999999</v>
      </c>
      <c r="C3" s="309">
        <f>P1*C2</f>
        <v>103357.376</v>
      </c>
      <c r="D3" s="309">
        <f>P1*D2</f>
        <v>109817.212</v>
      </c>
      <c r="E3" s="309">
        <f>P1*E2</f>
        <v>103357.376</v>
      </c>
      <c r="F3" s="309">
        <f>P1*F2</f>
        <v>116277.048</v>
      </c>
      <c r="G3" s="309">
        <f>P1*G2</f>
        <v>100773.44159999999</v>
      </c>
      <c r="H3" s="309">
        <f>P1*H2</f>
        <v>103357.376</v>
      </c>
      <c r="I3" s="309">
        <f>I2*P1</f>
        <v>103357.376</v>
      </c>
      <c r="J3" s="309">
        <f>J2*P1</f>
        <v>95605.572799999994</v>
      </c>
      <c r="K3" s="309">
        <f>K2*P1</f>
        <v>95605.572799999994</v>
      </c>
      <c r="L3" s="309">
        <f>L2*P1</f>
        <v>134364.5888</v>
      </c>
      <c r="M3" s="309">
        <f>M2*P1</f>
        <v>105941.3104</v>
      </c>
      <c r="N3" s="310">
        <f t="shared" ref="N3:N27" si="0">SUM(B3:M3)</f>
        <v>1291967.2000000002</v>
      </c>
      <c r="P3" s="306">
        <v>5000</v>
      </c>
      <c r="Q3" s="307" t="s">
        <v>16</v>
      </c>
    </row>
    <row r="4" spans="1:18" x14ac:dyDescent="0.25">
      <c r="A4" s="308" t="s">
        <v>15</v>
      </c>
      <c r="B4" s="311">
        <f>B3/$P$3</f>
        <v>24.030589919999997</v>
      </c>
      <c r="C4" s="311">
        <f>C3/$P$3</f>
        <v>20.6714752</v>
      </c>
      <c r="D4" s="311">
        <f>D3/$P$3</f>
        <v>21.963442399999998</v>
      </c>
      <c r="E4" s="311">
        <f>E3/$P$3</f>
        <v>20.6714752</v>
      </c>
      <c r="F4" s="311">
        <f t="shared" ref="F4:M4" si="1">F3/$P$3</f>
        <v>23.2554096</v>
      </c>
      <c r="G4" s="311">
        <f t="shared" si="1"/>
        <v>20.154688319999998</v>
      </c>
      <c r="H4" s="311">
        <f t="shared" si="1"/>
        <v>20.6714752</v>
      </c>
      <c r="I4" s="311">
        <f t="shared" si="1"/>
        <v>20.6714752</v>
      </c>
      <c r="J4" s="311">
        <f t="shared" si="1"/>
        <v>19.121114559999999</v>
      </c>
      <c r="K4" s="311">
        <f t="shared" si="1"/>
        <v>19.121114559999999</v>
      </c>
      <c r="L4" s="311">
        <f t="shared" si="1"/>
        <v>26.87291776</v>
      </c>
      <c r="M4" s="311">
        <f t="shared" si="1"/>
        <v>21.188262080000001</v>
      </c>
      <c r="N4" s="312">
        <f t="shared" si="0"/>
        <v>258.39344</v>
      </c>
      <c r="P4" s="306"/>
      <c r="Q4" s="307"/>
    </row>
    <row r="5" spans="1:18" x14ac:dyDescent="0.25">
      <c r="A5" s="308" t="s">
        <v>38</v>
      </c>
      <c r="B5" s="309">
        <v>25</v>
      </c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10">
        <f t="shared" si="0"/>
        <v>25</v>
      </c>
      <c r="P5" s="306"/>
      <c r="Q5" s="307"/>
    </row>
    <row r="6" spans="1:18" x14ac:dyDescent="0.25">
      <c r="A6" s="308" t="s">
        <v>39</v>
      </c>
      <c r="B6" s="311">
        <v>25</v>
      </c>
      <c r="C6" s="311">
        <v>25</v>
      </c>
      <c r="D6" s="311">
        <v>25</v>
      </c>
      <c r="E6" s="311">
        <v>25</v>
      </c>
      <c r="F6" s="311">
        <v>25</v>
      </c>
      <c r="G6" s="311">
        <v>25</v>
      </c>
      <c r="H6" s="311">
        <v>25</v>
      </c>
      <c r="I6" s="311">
        <v>25</v>
      </c>
      <c r="J6" s="311">
        <v>25</v>
      </c>
      <c r="K6" s="311">
        <v>25</v>
      </c>
      <c r="L6" s="311">
        <v>25</v>
      </c>
      <c r="M6" s="311">
        <v>25</v>
      </c>
      <c r="N6" s="312">
        <f t="shared" si="0"/>
        <v>300</v>
      </c>
      <c r="P6" s="306">
        <v>27000</v>
      </c>
      <c r="Q6" s="307" t="s">
        <v>17</v>
      </c>
    </row>
    <row r="7" spans="1:18" x14ac:dyDescent="0.25">
      <c r="A7" s="308" t="s">
        <v>18</v>
      </c>
      <c r="B7" s="309">
        <f t="shared" ref="B7:M7" si="2">B3/$P$6</f>
        <v>4.4501092444444446</v>
      </c>
      <c r="C7" s="309">
        <f t="shared" si="2"/>
        <v>3.8280509629629633</v>
      </c>
      <c r="D7" s="309">
        <f t="shared" si="2"/>
        <v>4.067304148148148</v>
      </c>
      <c r="E7" s="309">
        <f t="shared" si="2"/>
        <v>3.8280509629629633</v>
      </c>
      <c r="F7" s="309">
        <f t="shared" si="2"/>
        <v>4.3065573333333331</v>
      </c>
      <c r="G7" s="309">
        <f t="shared" si="2"/>
        <v>3.7323496888888887</v>
      </c>
      <c r="H7" s="309">
        <f t="shared" si="2"/>
        <v>3.8280509629629633</v>
      </c>
      <c r="I7" s="309">
        <f t="shared" si="2"/>
        <v>3.8280509629629633</v>
      </c>
      <c r="J7" s="309">
        <f t="shared" si="2"/>
        <v>3.5409471407407405</v>
      </c>
      <c r="K7" s="309">
        <f t="shared" si="2"/>
        <v>3.5409471407407405</v>
      </c>
      <c r="L7" s="309">
        <f t="shared" si="2"/>
        <v>4.9764662518518517</v>
      </c>
      <c r="M7" s="309">
        <f t="shared" si="2"/>
        <v>3.923752237037037</v>
      </c>
      <c r="N7" s="310">
        <f t="shared" si="0"/>
        <v>47.850637037037032</v>
      </c>
      <c r="P7" s="306"/>
      <c r="Q7" s="307"/>
    </row>
    <row r="8" spans="1:18" x14ac:dyDescent="0.25">
      <c r="A8" s="308" t="s">
        <v>19</v>
      </c>
      <c r="B8" s="311">
        <v>8</v>
      </c>
      <c r="C8" s="311">
        <v>6</v>
      </c>
      <c r="D8" s="311">
        <v>8</v>
      </c>
      <c r="E8" s="311">
        <v>6</v>
      </c>
      <c r="F8" s="311">
        <v>8</v>
      </c>
      <c r="G8" s="311">
        <v>6</v>
      </c>
      <c r="H8" s="311">
        <v>6</v>
      </c>
      <c r="I8" s="311">
        <v>6</v>
      </c>
      <c r="J8" s="311">
        <v>6</v>
      </c>
      <c r="K8" s="311">
        <v>3</v>
      </c>
      <c r="L8" s="311">
        <v>4</v>
      </c>
      <c r="M8" s="311">
        <v>3</v>
      </c>
      <c r="N8" s="312">
        <f t="shared" si="0"/>
        <v>70</v>
      </c>
      <c r="P8" s="306">
        <v>1307</v>
      </c>
      <c r="Q8" s="307" t="s">
        <v>20</v>
      </c>
    </row>
    <row r="9" spans="1:18" x14ac:dyDescent="0.25">
      <c r="A9" s="308" t="s">
        <v>21</v>
      </c>
      <c r="B9" s="309">
        <f t="shared" ref="B9:M9" si="3">B3/$P$8</f>
        <v>91.930336342769692</v>
      </c>
      <c r="C9" s="309">
        <f t="shared" si="3"/>
        <v>79.079859219586837</v>
      </c>
      <c r="D9" s="309">
        <f t="shared" si="3"/>
        <v>84.022350420811023</v>
      </c>
      <c r="E9" s="309">
        <f>E3/$P$8</f>
        <v>79.079859219586837</v>
      </c>
      <c r="F9" s="309">
        <f t="shared" si="3"/>
        <v>88.964841622035195</v>
      </c>
      <c r="G9" s="309">
        <f t="shared" si="3"/>
        <v>77.102862739097162</v>
      </c>
      <c r="H9" s="309">
        <f t="shared" si="3"/>
        <v>79.079859219586837</v>
      </c>
      <c r="I9" s="309">
        <f t="shared" si="3"/>
        <v>79.079859219586837</v>
      </c>
      <c r="J9" s="309">
        <f t="shared" si="3"/>
        <v>73.148869778117827</v>
      </c>
      <c r="K9" s="309">
        <f t="shared" si="3"/>
        <v>73.148869778117827</v>
      </c>
      <c r="L9" s="309">
        <f t="shared" si="3"/>
        <v>102.80381698546289</v>
      </c>
      <c r="M9" s="309">
        <f t="shared" si="3"/>
        <v>81.056855700076511</v>
      </c>
      <c r="N9" s="310">
        <f t="shared" si="0"/>
        <v>988.49824024483553</v>
      </c>
      <c r="P9" s="306"/>
      <c r="Q9" s="307"/>
    </row>
    <row r="10" spans="1:18" x14ac:dyDescent="0.25">
      <c r="A10" s="308" t="s">
        <v>22</v>
      </c>
      <c r="B10" s="313">
        <v>182</v>
      </c>
      <c r="C10" s="311">
        <v>158</v>
      </c>
      <c r="D10" s="311">
        <v>168</v>
      </c>
      <c r="E10" s="311">
        <v>158</v>
      </c>
      <c r="F10" s="311">
        <v>176</v>
      </c>
      <c r="G10" s="311">
        <v>154</v>
      </c>
      <c r="H10" s="311">
        <v>158</v>
      </c>
      <c r="I10" s="311">
        <v>158</v>
      </c>
      <c r="J10" s="311">
        <v>146</v>
      </c>
      <c r="K10" s="311">
        <v>146</v>
      </c>
      <c r="L10" s="311">
        <v>204</v>
      </c>
      <c r="M10" s="311">
        <v>162</v>
      </c>
      <c r="N10" s="312">
        <f t="shared" si="0"/>
        <v>1970</v>
      </c>
      <c r="P10" s="306">
        <v>5</v>
      </c>
      <c r="Q10" s="307" t="s">
        <v>25</v>
      </c>
    </row>
    <row r="11" spans="1:18" x14ac:dyDescent="0.25">
      <c r="A11" s="308" t="s">
        <v>23</v>
      </c>
      <c r="B11" s="309">
        <v>1</v>
      </c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10">
        <f t="shared" si="0"/>
        <v>1</v>
      </c>
    </row>
    <row r="12" spans="1:18" x14ac:dyDescent="0.25">
      <c r="A12" s="314" t="s">
        <v>28</v>
      </c>
      <c r="B12" s="311">
        <v>3</v>
      </c>
      <c r="C12" s="311">
        <v>3</v>
      </c>
      <c r="D12" s="311">
        <v>3</v>
      </c>
      <c r="E12" s="311">
        <v>3</v>
      </c>
      <c r="F12" s="311">
        <v>3</v>
      </c>
      <c r="G12" s="311">
        <v>3</v>
      </c>
      <c r="H12" s="311">
        <v>3</v>
      </c>
      <c r="I12" s="311">
        <v>3</v>
      </c>
      <c r="J12" s="311">
        <v>3</v>
      </c>
      <c r="K12" s="311">
        <v>3</v>
      </c>
      <c r="L12" s="311">
        <v>3</v>
      </c>
      <c r="M12" s="311">
        <v>3</v>
      </c>
      <c r="N12" s="312">
        <f t="shared" si="0"/>
        <v>36</v>
      </c>
      <c r="P12" s="315" t="s">
        <v>126</v>
      </c>
      <c r="Q12" s="316" t="s">
        <v>127</v>
      </c>
    </row>
    <row r="13" spans="1:18" x14ac:dyDescent="0.25">
      <c r="A13" s="317" t="s">
        <v>27</v>
      </c>
      <c r="B13" s="309">
        <v>5</v>
      </c>
      <c r="C13" s="309">
        <v>5</v>
      </c>
      <c r="D13" s="309">
        <v>5</v>
      </c>
      <c r="E13" s="309">
        <v>5</v>
      </c>
      <c r="F13" s="309">
        <v>5</v>
      </c>
      <c r="G13" s="309">
        <v>5</v>
      </c>
      <c r="H13" s="309">
        <v>5</v>
      </c>
      <c r="I13" s="309">
        <v>5</v>
      </c>
      <c r="J13" s="309">
        <v>5</v>
      </c>
      <c r="K13" s="309">
        <v>5</v>
      </c>
      <c r="L13" s="309">
        <v>5</v>
      </c>
      <c r="M13" s="309">
        <v>5</v>
      </c>
      <c r="N13" s="310">
        <f t="shared" si="0"/>
        <v>60</v>
      </c>
      <c r="P13" s="318" t="s">
        <v>121</v>
      </c>
      <c r="Q13" s="319">
        <v>491.26</v>
      </c>
    </row>
    <row r="14" spans="1:18" x14ac:dyDescent="0.25">
      <c r="A14" s="320" t="s">
        <v>24</v>
      </c>
      <c r="B14" s="311">
        <f>B10/$P$10</f>
        <v>36.4</v>
      </c>
      <c r="C14" s="311">
        <f t="shared" ref="C14:M14" si="4">C10/$P$10</f>
        <v>31.6</v>
      </c>
      <c r="D14" s="311">
        <f t="shared" si="4"/>
        <v>33.6</v>
      </c>
      <c r="E14" s="311">
        <f t="shared" si="4"/>
        <v>31.6</v>
      </c>
      <c r="F14" s="311">
        <f t="shared" si="4"/>
        <v>35.200000000000003</v>
      </c>
      <c r="G14" s="311">
        <f t="shared" si="4"/>
        <v>30.8</v>
      </c>
      <c r="H14" s="311">
        <f t="shared" si="4"/>
        <v>31.6</v>
      </c>
      <c r="I14" s="311">
        <f t="shared" si="4"/>
        <v>31.6</v>
      </c>
      <c r="J14" s="311">
        <f t="shared" si="4"/>
        <v>29.2</v>
      </c>
      <c r="K14" s="311">
        <f t="shared" si="4"/>
        <v>29.2</v>
      </c>
      <c r="L14" s="311">
        <f t="shared" si="4"/>
        <v>40.799999999999997</v>
      </c>
      <c r="M14" s="311">
        <f t="shared" si="4"/>
        <v>32.4</v>
      </c>
      <c r="N14" s="312">
        <f t="shared" si="0"/>
        <v>393.99999999999994</v>
      </c>
      <c r="P14" s="318" t="s">
        <v>122</v>
      </c>
      <c r="Q14" s="319">
        <v>2789.26</v>
      </c>
    </row>
    <row r="15" spans="1:18" x14ac:dyDescent="0.25">
      <c r="A15" s="321" t="s">
        <v>26</v>
      </c>
      <c r="B15" s="309">
        <v>36</v>
      </c>
      <c r="C15" s="309">
        <v>31</v>
      </c>
      <c r="D15" s="309">
        <v>33</v>
      </c>
      <c r="E15" s="309">
        <v>31</v>
      </c>
      <c r="F15" s="309">
        <v>35</v>
      </c>
      <c r="G15" s="309">
        <v>30</v>
      </c>
      <c r="H15" s="309">
        <v>31</v>
      </c>
      <c r="I15" s="309">
        <v>31</v>
      </c>
      <c r="J15" s="309">
        <v>29</v>
      </c>
      <c r="K15" s="309">
        <v>29</v>
      </c>
      <c r="L15" s="309">
        <v>40</v>
      </c>
      <c r="M15" s="309">
        <v>32</v>
      </c>
      <c r="N15" s="310">
        <f t="shared" si="0"/>
        <v>388</v>
      </c>
      <c r="P15" s="318" t="s">
        <v>123</v>
      </c>
      <c r="Q15" s="319">
        <v>891</v>
      </c>
    </row>
    <row r="16" spans="1:18" x14ac:dyDescent="0.25">
      <c r="A16" s="314" t="s">
        <v>29</v>
      </c>
      <c r="B16" s="311">
        <v>3</v>
      </c>
      <c r="C16" s="311"/>
      <c r="D16" s="311"/>
      <c r="E16" s="311"/>
      <c r="F16" s="311"/>
      <c r="G16" s="311"/>
      <c r="H16" s="311"/>
      <c r="I16" s="311"/>
      <c r="J16" s="311"/>
      <c r="K16" s="311"/>
      <c r="L16" s="311"/>
      <c r="M16" s="311"/>
      <c r="N16" s="312">
        <f t="shared" si="0"/>
        <v>3</v>
      </c>
      <c r="P16" s="322" t="s">
        <v>124</v>
      </c>
      <c r="Q16" s="323">
        <v>6159.96</v>
      </c>
    </row>
    <row r="17" spans="1:14" x14ac:dyDescent="0.25">
      <c r="A17" s="314" t="s">
        <v>30</v>
      </c>
      <c r="B17" s="309">
        <v>3</v>
      </c>
      <c r="C17" s="309"/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10">
        <f t="shared" si="0"/>
        <v>3</v>
      </c>
    </row>
    <row r="18" spans="1:14" x14ac:dyDescent="0.25">
      <c r="A18" s="314" t="s">
        <v>31</v>
      </c>
      <c r="B18" s="311">
        <v>3</v>
      </c>
      <c r="C18" s="311">
        <v>3</v>
      </c>
      <c r="D18" s="311">
        <v>3</v>
      </c>
      <c r="E18" s="311">
        <v>3</v>
      </c>
      <c r="F18" s="311">
        <v>3</v>
      </c>
      <c r="G18" s="311">
        <v>3</v>
      </c>
      <c r="H18" s="311">
        <v>3</v>
      </c>
      <c r="I18" s="311">
        <v>3</v>
      </c>
      <c r="J18" s="311">
        <v>3</v>
      </c>
      <c r="K18" s="311">
        <v>3</v>
      </c>
      <c r="L18" s="311">
        <v>3</v>
      </c>
      <c r="M18" s="311">
        <v>3</v>
      </c>
      <c r="N18" s="312">
        <f t="shared" si="0"/>
        <v>36</v>
      </c>
    </row>
    <row r="19" spans="1:14" x14ac:dyDescent="0.25">
      <c r="A19" s="317" t="s">
        <v>32</v>
      </c>
      <c r="B19" s="309">
        <v>5</v>
      </c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10">
        <f t="shared" si="0"/>
        <v>5</v>
      </c>
    </row>
    <row r="20" spans="1:14" x14ac:dyDescent="0.25">
      <c r="A20" s="317" t="s">
        <v>33</v>
      </c>
      <c r="B20" s="311">
        <v>5</v>
      </c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2">
        <f t="shared" si="0"/>
        <v>5</v>
      </c>
    </row>
    <row r="21" spans="1:14" x14ac:dyDescent="0.25">
      <c r="A21" s="317" t="s">
        <v>34</v>
      </c>
      <c r="B21" s="309">
        <v>5</v>
      </c>
      <c r="C21" s="309">
        <v>5</v>
      </c>
      <c r="D21" s="309">
        <v>5</v>
      </c>
      <c r="E21" s="309">
        <v>5</v>
      </c>
      <c r="F21" s="309">
        <v>5</v>
      </c>
      <c r="G21" s="309">
        <v>5</v>
      </c>
      <c r="H21" s="309">
        <v>5</v>
      </c>
      <c r="I21" s="309">
        <v>5</v>
      </c>
      <c r="J21" s="309">
        <v>5</v>
      </c>
      <c r="K21" s="309">
        <v>5</v>
      </c>
      <c r="L21" s="309">
        <v>5</v>
      </c>
      <c r="M21" s="309">
        <v>5</v>
      </c>
      <c r="N21" s="310">
        <f t="shared" si="0"/>
        <v>60</v>
      </c>
    </row>
    <row r="22" spans="1:14" x14ac:dyDescent="0.25">
      <c r="A22" s="321" t="s">
        <v>35</v>
      </c>
      <c r="B22" s="311">
        <v>36</v>
      </c>
      <c r="C22" s="311"/>
      <c r="D22" s="311"/>
      <c r="E22" s="311"/>
      <c r="F22" s="311"/>
      <c r="G22" s="311"/>
      <c r="H22" s="311"/>
      <c r="I22" s="311"/>
      <c r="J22" s="311"/>
      <c r="K22" s="311"/>
      <c r="L22" s="311">
        <v>4</v>
      </c>
      <c r="M22" s="311"/>
      <c r="N22" s="312">
        <f t="shared" si="0"/>
        <v>40</v>
      </c>
    </row>
    <row r="23" spans="1:14" x14ac:dyDescent="0.25">
      <c r="A23" s="321" t="s">
        <v>36</v>
      </c>
      <c r="B23" s="309">
        <v>36</v>
      </c>
      <c r="C23" s="309"/>
      <c r="D23" s="309"/>
      <c r="E23" s="309"/>
      <c r="F23" s="309"/>
      <c r="G23" s="309"/>
      <c r="H23" s="309"/>
      <c r="I23" s="309"/>
      <c r="J23" s="309"/>
      <c r="K23" s="309"/>
      <c r="L23" s="309">
        <v>4</v>
      </c>
      <c r="M23" s="309"/>
      <c r="N23" s="310">
        <f t="shared" si="0"/>
        <v>40</v>
      </c>
    </row>
    <row r="24" spans="1:14" x14ac:dyDescent="0.25">
      <c r="A24" s="321" t="s">
        <v>37</v>
      </c>
      <c r="B24" s="311">
        <v>36</v>
      </c>
      <c r="C24" s="311">
        <v>31</v>
      </c>
      <c r="D24" s="311">
        <v>33</v>
      </c>
      <c r="E24" s="311">
        <v>31</v>
      </c>
      <c r="F24" s="311">
        <v>35</v>
      </c>
      <c r="G24" s="311">
        <v>30</v>
      </c>
      <c r="H24" s="311">
        <v>31</v>
      </c>
      <c r="I24" s="311">
        <v>31</v>
      </c>
      <c r="J24" s="311">
        <v>29</v>
      </c>
      <c r="K24" s="311">
        <v>29</v>
      </c>
      <c r="L24" s="311">
        <v>40</v>
      </c>
      <c r="M24" s="311">
        <v>32</v>
      </c>
      <c r="N24" s="312">
        <f t="shared" si="0"/>
        <v>388</v>
      </c>
    </row>
    <row r="25" spans="1:14" x14ac:dyDescent="0.25">
      <c r="A25" s="324" t="s">
        <v>132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</row>
    <row r="26" spans="1:14" x14ac:dyDescent="0.25">
      <c r="A26" s="308" t="s">
        <v>38</v>
      </c>
      <c r="B26" s="326">
        <f>REFERENCIA!B15</f>
        <v>525000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8">
        <v>525000</v>
      </c>
    </row>
    <row r="27" spans="1:14" x14ac:dyDescent="0.25">
      <c r="A27" s="308" t="s">
        <v>39</v>
      </c>
      <c r="B27" s="329">
        <f>B6*REFERENCIA!$C$15</f>
        <v>360925</v>
      </c>
      <c r="C27" s="329">
        <f>C6*REFERENCIA!$C$15</f>
        <v>360925</v>
      </c>
      <c r="D27" s="329">
        <f>D6*REFERENCIA!$C$15</f>
        <v>360925</v>
      </c>
      <c r="E27" s="329">
        <f>E6*REFERENCIA!$C$15</f>
        <v>360925</v>
      </c>
      <c r="F27" s="329">
        <f>F6*REFERENCIA!$C$15</f>
        <v>360925</v>
      </c>
      <c r="G27" s="329">
        <f>G6*REFERENCIA!$C$15</f>
        <v>360925</v>
      </c>
      <c r="H27" s="329">
        <f>H6*REFERENCIA!$C$15</f>
        <v>360925</v>
      </c>
      <c r="I27" s="329">
        <f>I6*REFERENCIA!$C$15</f>
        <v>360925</v>
      </c>
      <c r="J27" s="329">
        <f>J6*REFERENCIA!$C$15</f>
        <v>360925</v>
      </c>
      <c r="K27" s="329">
        <f>K6*REFERENCIA!$C$15</f>
        <v>360925</v>
      </c>
      <c r="L27" s="329">
        <f>L6*REFERENCIA!$C$15</f>
        <v>360925</v>
      </c>
      <c r="M27" s="329">
        <f>M6*REFERENCIA!$C$15</f>
        <v>360925</v>
      </c>
      <c r="N27" s="330">
        <f>SUM(B27:M27)</f>
        <v>4331100</v>
      </c>
    </row>
    <row r="28" spans="1:14" x14ac:dyDescent="0.25">
      <c r="A28" s="308" t="s">
        <v>133</v>
      </c>
      <c r="B28" s="326">
        <f>B8*REFERENCIA!$F$29</f>
        <v>1200000</v>
      </c>
      <c r="C28" s="326">
        <f>C8*REFERENCIA!$F$29</f>
        <v>900000</v>
      </c>
      <c r="D28" s="326">
        <f>D8*REFERENCIA!$F$29</f>
        <v>1200000</v>
      </c>
      <c r="E28" s="326">
        <f>E8*REFERENCIA!$F$29</f>
        <v>900000</v>
      </c>
      <c r="F28" s="326">
        <f>F8*REFERENCIA!$F$29</f>
        <v>1200000</v>
      </c>
      <c r="G28" s="326">
        <f>G8*REFERENCIA!$F$29</f>
        <v>900000</v>
      </c>
      <c r="H28" s="326">
        <f>H8*REFERENCIA!$F$29</f>
        <v>900000</v>
      </c>
      <c r="I28" s="326">
        <f>I8*REFERENCIA!$F$29</f>
        <v>900000</v>
      </c>
      <c r="J28" s="326">
        <f>J8*REFERENCIA!$F$29</f>
        <v>900000</v>
      </c>
      <c r="K28" s="326">
        <f>K8*REFERENCIA!$F$29</f>
        <v>450000</v>
      </c>
      <c r="L28" s="326">
        <f>L8*REFERENCIA!$F$29</f>
        <v>600000</v>
      </c>
      <c r="M28" s="326">
        <f>M8*REFERENCIA!$F$29</f>
        <v>450000</v>
      </c>
      <c r="N28" s="331">
        <f>SUM(B28:M28)</f>
        <v>10500000</v>
      </c>
    </row>
    <row r="29" spans="1:14" x14ac:dyDescent="0.25">
      <c r="A29" s="308" t="s">
        <v>20</v>
      </c>
      <c r="B29" s="329">
        <f>B10*REFERENCIA!F34</f>
        <v>228592000</v>
      </c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30">
        <f>B29</f>
        <v>228592000</v>
      </c>
    </row>
    <row r="30" spans="1:14" x14ac:dyDescent="0.25">
      <c r="A30" s="308" t="s">
        <v>23</v>
      </c>
      <c r="B30" s="329">
        <f>REFERENCIA!B7</f>
        <v>150000000</v>
      </c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30">
        <f t="shared" ref="N30:N35" si="5">B30</f>
        <v>150000000</v>
      </c>
    </row>
    <row r="31" spans="1:14" x14ac:dyDescent="0.25">
      <c r="A31" s="314" t="s">
        <v>29</v>
      </c>
      <c r="B31" s="332">
        <f>B16*REFERENCIA!$G$18</f>
        <v>240000</v>
      </c>
      <c r="C31" s="309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30">
        <f t="shared" si="5"/>
        <v>240000</v>
      </c>
    </row>
    <row r="32" spans="1:14" x14ac:dyDescent="0.25">
      <c r="A32" s="314" t="s">
        <v>30</v>
      </c>
      <c r="B32" s="332">
        <f>B17*REFERENCIA!F18</f>
        <v>45000</v>
      </c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30">
        <f t="shared" si="5"/>
        <v>45000</v>
      </c>
    </row>
    <row r="33" spans="1:14" x14ac:dyDescent="0.25">
      <c r="A33" s="314" t="s">
        <v>31</v>
      </c>
      <c r="B33" s="333">
        <f>B18*REFERENCIA!$H$18</f>
        <v>205500</v>
      </c>
      <c r="C33" s="333">
        <f>C18*REFERENCIA!$H$18</f>
        <v>205500</v>
      </c>
      <c r="D33" s="333">
        <f>D18*REFERENCIA!$H$18</f>
        <v>205500</v>
      </c>
      <c r="E33" s="333">
        <f>E18*REFERENCIA!$H$18</f>
        <v>205500</v>
      </c>
      <c r="F33" s="333">
        <f>F18*REFERENCIA!$H$18</f>
        <v>205500</v>
      </c>
      <c r="G33" s="333">
        <f>G18*REFERENCIA!$H$18</f>
        <v>205500</v>
      </c>
      <c r="H33" s="333">
        <f>H18*REFERENCIA!$H$18</f>
        <v>205500</v>
      </c>
      <c r="I33" s="333">
        <f>I18*REFERENCIA!$H$18</f>
        <v>205500</v>
      </c>
      <c r="J33" s="333">
        <f>J18*REFERENCIA!$H$18</f>
        <v>205500</v>
      </c>
      <c r="K33" s="333">
        <f>K18*REFERENCIA!$H$18</f>
        <v>205500</v>
      </c>
      <c r="L33" s="333">
        <f>L18*REFERENCIA!$H$18</f>
        <v>205500</v>
      </c>
      <c r="M33" s="333">
        <f>M18*REFERENCIA!$H$18</f>
        <v>205500</v>
      </c>
      <c r="N33" s="334">
        <f t="shared" ref="N33" si="6">SUM(B33:M33)</f>
        <v>2466000</v>
      </c>
    </row>
    <row r="34" spans="1:14" x14ac:dyDescent="0.25">
      <c r="A34" s="317" t="s">
        <v>32</v>
      </c>
      <c r="B34" s="332">
        <f>B19*REFERENCIA!G19</f>
        <v>450000</v>
      </c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30">
        <f t="shared" si="5"/>
        <v>450000</v>
      </c>
    </row>
    <row r="35" spans="1:14" x14ac:dyDescent="0.25">
      <c r="A35" s="317" t="s">
        <v>33</v>
      </c>
      <c r="B35" s="332">
        <f>B20*REFERENCIA!F19</f>
        <v>80000</v>
      </c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30">
        <f t="shared" si="5"/>
        <v>80000</v>
      </c>
    </row>
    <row r="36" spans="1:14" x14ac:dyDescent="0.25">
      <c r="A36" s="317" t="s">
        <v>34</v>
      </c>
      <c r="B36" s="333">
        <f>B21*REFERENCIA!$H$19</f>
        <v>392500</v>
      </c>
      <c r="C36" s="333">
        <f>C21*REFERENCIA!$H$19</f>
        <v>392500</v>
      </c>
      <c r="D36" s="333">
        <f>D21*REFERENCIA!$H$19</f>
        <v>392500</v>
      </c>
      <c r="E36" s="333">
        <f>E21*REFERENCIA!$H$19</f>
        <v>392500</v>
      </c>
      <c r="F36" s="333">
        <f>F21*REFERENCIA!$H$19</f>
        <v>392500</v>
      </c>
      <c r="G36" s="333">
        <f>G21*REFERENCIA!$H$19</f>
        <v>392500</v>
      </c>
      <c r="H36" s="333">
        <f>H21*REFERENCIA!$H$19</f>
        <v>392500</v>
      </c>
      <c r="I36" s="333">
        <f>I21*REFERENCIA!$H$19</f>
        <v>392500</v>
      </c>
      <c r="J36" s="333">
        <f>J21*REFERENCIA!$H$19</f>
        <v>392500</v>
      </c>
      <c r="K36" s="333">
        <f>K21*REFERENCIA!$H$19</f>
        <v>392500</v>
      </c>
      <c r="L36" s="333">
        <f>L21*REFERENCIA!$H$19</f>
        <v>392500</v>
      </c>
      <c r="M36" s="333">
        <f>M21*REFERENCIA!$H$19</f>
        <v>392500</v>
      </c>
      <c r="N36" s="334">
        <f t="shared" ref="N36:N38" si="7">SUM(B36:M36)</f>
        <v>4710000</v>
      </c>
    </row>
    <row r="37" spans="1:14" x14ac:dyDescent="0.25">
      <c r="A37" s="321" t="s">
        <v>35</v>
      </c>
      <c r="B37" s="332">
        <f>B22*REFERENCIA!$G$20</f>
        <v>3600000</v>
      </c>
      <c r="C37" s="332">
        <f>C22*REFERENCIA!$G$20</f>
        <v>0</v>
      </c>
      <c r="D37" s="332">
        <f>D22*REFERENCIA!$G$20</f>
        <v>0</v>
      </c>
      <c r="E37" s="332">
        <f>E22*REFERENCIA!$G$20</f>
        <v>0</v>
      </c>
      <c r="F37" s="332">
        <f>F22*REFERENCIA!$G$20</f>
        <v>0</v>
      </c>
      <c r="G37" s="332">
        <f>G22*REFERENCIA!$G$20</f>
        <v>0</v>
      </c>
      <c r="H37" s="332">
        <f>H22*REFERENCIA!$G$20</f>
        <v>0</v>
      </c>
      <c r="I37" s="332">
        <f>I22*REFERENCIA!$G$20</f>
        <v>0</v>
      </c>
      <c r="J37" s="332">
        <f>J22*REFERENCIA!$G$20</f>
        <v>0</v>
      </c>
      <c r="K37" s="332">
        <f>K22*REFERENCIA!$G$20</f>
        <v>0</v>
      </c>
      <c r="L37" s="332">
        <f>L22*REFERENCIA!$G$20</f>
        <v>400000</v>
      </c>
      <c r="M37" s="332">
        <f>M22*REFERENCIA!$G$20</f>
        <v>0</v>
      </c>
      <c r="N37" s="334">
        <f t="shared" si="7"/>
        <v>4000000</v>
      </c>
    </row>
    <row r="38" spans="1:14" x14ac:dyDescent="0.25">
      <c r="A38" s="321" t="s">
        <v>36</v>
      </c>
      <c r="B38" s="332">
        <f>B23*REFERENCIA!$F$20</f>
        <v>684000</v>
      </c>
      <c r="C38" s="332">
        <f>C23*REFERENCIA!$F$20</f>
        <v>0</v>
      </c>
      <c r="D38" s="332">
        <f>D23*REFERENCIA!$F$20</f>
        <v>0</v>
      </c>
      <c r="E38" s="332">
        <f>E23*REFERENCIA!$F$20</f>
        <v>0</v>
      </c>
      <c r="F38" s="332">
        <f>F23*REFERENCIA!$F$20</f>
        <v>0</v>
      </c>
      <c r="G38" s="332">
        <f>G23*REFERENCIA!$F$20</f>
        <v>0</v>
      </c>
      <c r="H38" s="332">
        <f>H23*REFERENCIA!$F$20</f>
        <v>0</v>
      </c>
      <c r="I38" s="332">
        <f>I23*REFERENCIA!$F$20</f>
        <v>0</v>
      </c>
      <c r="J38" s="332">
        <f>J23*REFERENCIA!$F$20</f>
        <v>0</v>
      </c>
      <c r="K38" s="332">
        <f>K23*REFERENCIA!$F$20</f>
        <v>0</v>
      </c>
      <c r="L38" s="332">
        <f>L23*REFERENCIA!$F$20</f>
        <v>76000</v>
      </c>
      <c r="M38" s="332">
        <f>M23*REFERENCIA!$F$20</f>
        <v>0</v>
      </c>
      <c r="N38" s="334">
        <f t="shared" si="7"/>
        <v>760000</v>
      </c>
    </row>
    <row r="39" spans="1:14" x14ac:dyDescent="0.25">
      <c r="A39" s="321" t="s">
        <v>37</v>
      </c>
      <c r="B39" s="333">
        <f>B24*REFERENCIA!$H$20</f>
        <v>2970000</v>
      </c>
      <c r="C39" s="333">
        <f>C24*REFERENCIA!$H$20</f>
        <v>2557500</v>
      </c>
      <c r="D39" s="333">
        <f>D24*REFERENCIA!$H$20</f>
        <v>2722500</v>
      </c>
      <c r="E39" s="333">
        <f>E24*REFERENCIA!$H$20</f>
        <v>2557500</v>
      </c>
      <c r="F39" s="333">
        <f>F24*REFERENCIA!$H$20</f>
        <v>2887500</v>
      </c>
      <c r="G39" s="333">
        <f>G24*REFERENCIA!$H$20</f>
        <v>2475000</v>
      </c>
      <c r="H39" s="333">
        <f>H24*REFERENCIA!$H$20</f>
        <v>2557500</v>
      </c>
      <c r="I39" s="333">
        <f>I24*REFERENCIA!$H$20</f>
        <v>2557500</v>
      </c>
      <c r="J39" s="333">
        <f>J24*REFERENCIA!$H$20</f>
        <v>2392500</v>
      </c>
      <c r="K39" s="333">
        <f>K24*REFERENCIA!$H$20</f>
        <v>2392500</v>
      </c>
      <c r="L39" s="333">
        <f>L24*REFERENCIA!$H$20</f>
        <v>3300000</v>
      </c>
      <c r="M39" s="333">
        <f>M24*REFERENCIA!$H$20</f>
        <v>2640000</v>
      </c>
      <c r="N39" s="334">
        <f t="shared" ref="N39" si="8">SUM(B39:M39)</f>
        <v>32010000</v>
      </c>
    </row>
    <row r="40" spans="1:14" x14ac:dyDescent="0.25">
      <c r="A40" s="324" t="s">
        <v>134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</row>
    <row r="41" spans="1:14" ht="27" x14ac:dyDescent="0.25">
      <c r="A41" s="335" t="s">
        <v>129</v>
      </c>
      <c r="B41" s="336">
        <f>B3*$Q$16</f>
        <v>740137363.41801596</v>
      </c>
      <c r="C41" s="336">
        <f>C3*$Q$16</f>
        <v>636677301.86496007</v>
      </c>
      <c r="D41" s="336">
        <f>D3*$Q$16</f>
        <v>676469633.23152006</v>
      </c>
      <c r="E41" s="336">
        <f>E3*$Q$16</f>
        <v>636677301.86496007</v>
      </c>
      <c r="F41" s="336">
        <f>F3*$Q$16</f>
        <v>716261964.59807992</v>
      </c>
      <c r="G41" s="336">
        <f>G3*$Q$16</f>
        <v>620760369.31833589</v>
      </c>
      <c r="H41" s="336">
        <f>H3*$Q$16</f>
        <v>636677301.86496007</v>
      </c>
      <c r="I41" s="336">
        <f>I3*$Q$16</f>
        <v>636677301.86496007</v>
      </c>
      <c r="J41" s="336">
        <f>J3*$Q$16</f>
        <v>588926504.225088</v>
      </c>
      <c r="K41" s="336">
        <f>K3*$Q$16</f>
        <v>588926504.225088</v>
      </c>
      <c r="L41" s="336">
        <f>L3*$Q$16</f>
        <v>827680492.42444801</v>
      </c>
      <c r="M41" s="336">
        <f>M3*$Q$16</f>
        <v>652594234.41158402</v>
      </c>
      <c r="N41" s="337">
        <f t="shared" ref="N41:N45" si="9">SUM(B41:M41)</f>
        <v>7958466273.3120003</v>
      </c>
    </row>
    <row r="42" spans="1:14" ht="27" x14ac:dyDescent="0.25">
      <c r="A42" s="335" t="s">
        <v>128</v>
      </c>
      <c r="B42" s="338">
        <f>B3*$Q$14</f>
        <v>335137816.20129603</v>
      </c>
      <c r="C42" s="338">
        <f>C3*$Q$14</f>
        <v>288290594.58176005</v>
      </c>
      <c r="D42" s="338">
        <f>D3*$Q$14</f>
        <v>306308756.74312001</v>
      </c>
      <c r="E42" s="338">
        <f>E3*$Q$14</f>
        <v>288290594.58176005</v>
      </c>
      <c r="F42" s="338">
        <f>F3*$Q$14</f>
        <v>324326918.90448004</v>
      </c>
      <c r="G42" s="338">
        <f>G3*$Q$14</f>
        <v>281083329.71721601</v>
      </c>
      <c r="H42" s="338">
        <f>H3*$Q$14</f>
        <v>288290594.58176005</v>
      </c>
      <c r="I42" s="338">
        <f>I3*$Q$14</f>
        <v>288290594.58176005</v>
      </c>
      <c r="J42" s="338">
        <f>J3*$Q$14</f>
        <v>266668799.98812801</v>
      </c>
      <c r="K42" s="338">
        <f>K3*$Q$14</f>
        <v>266668799.98812801</v>
      </c>
      <c r="L42" s="338">
        <f>L3*$Q$14</f>
        <v>374777772.95628804</v>
      </c>
      <c r="M42" s="338">
        <f>M3*$Q$14</f>
        <v>295497859.44630402</v>
      </c>
      <c r="N42" s="339">
        <f t="shared" si="9"/>
        <v>3603632432.2719998</v>
      </c>
    </row>
    <row r="44" spans="1:14" x14ac:dyDescent="0.25">
      <c r="A44" s="340" t="s">
        <v>146</v>
      </c>
      <c r="B44" s="333">
        <f t="shared" ref="B44:D44" si="10">B3*0.4</f>
        <v>48061.179839999997</v>
      </c>
      <c r="C44" s="333">
        <f t="shared" si="10"/>
        <v>41342.950400000002</v>
      </c>
      <c r="D44" s="333">
        <f t="shared" si="10"/>
        <v>43926.8848</v>
      </c>
      <c r="E44" s="333">
        <f>E3*0.4</f>
        <v>41342.950400000002</v>
      </c>
      <c r="F44" s="333">
        <f t="shared" ref="F44:M44" si="11">F3*0.4</f>
        <v>46510.819199999998</v>
      </c>
      <c r="G44" s="333">
        <f t="shared" si="11"/>
        <v>40309.376640000002</v>
      </c>
      <c r="H44" s="333">
        <f t="shared" si="11"/>
        <v>41342.950400000002</v>
      </c>
      <c r="I44" s="333">
        <f t="shared" si="11"/>
        <v>41342.950400000002</v>
      </c>
      <c r="J44" s="333">
        <f t="shared" si="11"/>
        <v>38242.229119999996</v>
      </c>
      <c r="K44" s="333">
        <f t="shared" si="11"/>
        <v>38242.229119999996</v>
      </c>
      <c r="L44" s="333">
        <f t="shared" si="11"/>
        <v>53745.835520000001</v>
      </c>
      <c r="M44" s="333">
        <f t="shared" si="11"/>
        <v>42376.524160000001</v>
      </c>
      <c r="N44" s="339">
        <f t="shared" si="9"/>
        <v>516786.87999999989</v>
      </c>
    </row>
    <row r="45" spans="1:14" x14ac:dyDescent="0.25">
      <c r="A45" s="340" t="s">
        <v>147</v>
      </c>
      <c r="B45" s="341">
        <f t="shared" ref="B45:D45" si="12">B3*0.3</f>
        <v>36045.884879999998</v>
      </c>
      <c r="C45" s="341">
        <f t="shared" si="12"/>
        <v>31007.212800000001</v>
      </c>
      <c r="D45" s="341">
        <f t="shared" si="12"/>
        <v>32945.1636</v>
      </c>
      <c r="E45" s="341">
        <f>E3*0.3</f>
        <v>31007.212800000001</v>
      </c>
      <c r="F45" s="341">
        <f>F3*0.3</f>
        <v>34883.114399999999</v>
      </c>
      <c r="G45" s="341">
        <f>G3*0.3</f>
        <v>30232.032479999994</v>
      </c>
      <c r="H45" s="341">
        <f t="shared" ref="F45:M45" si="13">H3*0.3</f>
        <v>31007.212800000001</v>
      </c>
      <c r="I45" s="341">
        <f t="shared" si="13"/>
        <v>31007.212800000001</v>
      </c>
      <c r="J45" s="341">
        <f t="shared" si="13"/>
        <v>28681.671839999999</v>
      </c>
      <c r="K45" s="341">
        <f t="shared" si="13"/>
        <v>28681.671839999999</v>
      </c>
      <c r="L45" s="341">
        <f t="shared" si="13"/>
        <v>40309.376639999995</v>
      </c>
      <c r="M45" s="341">
        <f t="shared" si="13"/>
        <v>31782.393120000001</v>
      </c>
      <c r="N45" s="339">
        <f t="shared" si="9"/>
        <v>387590.16000000003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2522-3826-4CFC-B30E-1D98BEB53504}">
  <dimension ref="A1:R42"/>
  <sheetViews>
    <sheetView zoomScale="70" zoomScaleNormal="70" workbookViewId="0">
      <selection activeCell="C17" sqref="C17"/>
    </sheetView>
  </sheetViews>
  <sheetFormatPr defaultColWidth="29" defaultRowHeight="15.75" x14ac:dyDescent="0.25"/>
  <cols>
    <col min="1" max="14" width="29" style="257"/>
    <col min="15" max="15" width="29" style="297"/>
    <col min="16" max="16384" width="29" style="257"/>
  </cols>
  <sheetData>
    <row r="1" spans="1:18" ht="33" customHeight="1" x14ac:dyDescent="0.25">
      <c r="A1" s="252" t="s">
        <v>125</v>
      </c>
      <c r="B1" s="252" t="s">
        <v>0</v>
      </c>
      <c r="C1" s="252" t="s">
        <v>1</v>
      </c>
      <c r="D1" s="252" t="s">
        <v>2</v>
      </c>
      <c r="E1" s="252" t="s">
        <v>3</v>
      </c>
      <c r="F1" s="252" t="s">
        <v>4</v>
      </c>
      <c r="G1" s="252" t="s">
        <v>5</v>
      </c>
      <c r="H1" s="252" t="s">
        <v>6</v>
      </c>
      <c r="I1" s="252" t="s">
        <v>7</v>
      </c>
      <c r="J1" s="252" t="s">
        <v>8</v>
      </c>
      <c r="K1" s="252" t="s">
        <v>9</v>
      </c>
      <c r="L1" s="252" t="s">
        <v>10</v>
      </c>
      <c r="M1" s="252" t="s">
        <v>11</v>
      </c>
      <c r="N1" s="252" t="s">
        <v>130</v>
      </c>
      <c r="O1" s="253"/>
      <c r="P1" s="254">
        <v>3875901.6</v>
      </c>
      <c r="Q1" s="255" t="s">
        <v>14</v>
      </c>
      <c r="R1" s="256">
        <v>0.6</v>
      </c>
    </row>
    <row r="2" spans="1:18" x14ac:dyDescent="0.25">
      <c r="A2" s="258" t="s">
        <v>13</v>
      </c>
      <c r="B2" s="259">
        <v>9.2999999999999999E-2</v>
      </c>
      <c r="C2" s="259">
        <v>0.08</v>
      </c>
      <c r="D2" s="259">
        <v>8.5000000000000006E-2</v>
      </c>
      <c r="E2" s="259">
        <v>0.08</v>
      </c>
      <c r="F2" s="259">
        <v>0.09</v>
      </c>
      <c r="G2" s="259">
        <v>7.8E-2</v>
      </c>
      <c r="H2" s="259">
        <v>0.08</v>
      </c>
      <c r="I2" s="259">
        <v>0.08</v>
      </c>
      <c r="J2" s="259">
        <v>7.3999999999999996E-2</v>
      </c>
      <c r="K2" s="259">
        <v>7.3999999999999996E-2</v>
      </c>
      <c r="L2" s="259">
        <v>0.104</v>
      </c>
      <c r="M2" s="259">
        <v>8.2000000000000003E-2</v>
      </c>
      <c r="N2" s="260">
        <f t="shared" ref="N2:N24" si="0">SUM(B2:M2)</f>
        <v>0.99999999999999978</v>
      </c>
      <c r="O2" s="261"/>
      <c r="P2" s="262"/>
      <c r="Q2" s="263"/>
    </row>
    <row r="3" spans="1:18" x14ac:dyDescent="0.25">
      <c r="A3" s="264" t="s">
        <v>12</v>
      </c>
      <c r="B3" s="265">
        <f>P1*B2</f>
        <v>360458.84879999998</v>
      </c>
      <c r="C3" s="265">
        <f>P1*C2</f>
        <v>310072.12800000003</v>
      </c>
      <c r="D3" s="265">
        <f>P1*D2</f>
        <v>329451.63600000006</v>
      </c>
      <c r="E3" s="265">
        <f>P1*E2</f>
        <v>310072.12800000003</v>
      </c>
      <c r="F3" s="265">
        <f>P1*F2</f>
        <v>348831.14399999997</v>
      </c>
      <c r="G3" s="265">
        <f>P1*G2</f>
        <v>302320.3248</v>
      </c>
      <c r="H3" s="265">
        <f>P1*H2</f>
        <v>310072.12800000003</v>
      </c>
      <c r="I3" s="265">
        <f>I2*P1</f>
        <v>310072.12800000003</v>
      </c>
      <c r="J3" s="265">
        <f>J2*P1</f>
        <v>286816.71840000001</v>
      </c>
      <c r="K3" s="265">
        <f>K2*P1</f>
        <v>286816.71840000001</v>
      </c>
      <c r="L3" s="265">
        <f>L2*P1</f>
        <v>403093.76639999996</v>
      </c>
      <c r="M3" s="265">
        <f>M2*P1</f>
        <v>317823.93120000005</v>
      </c>
      <c r="N3" s="266">
        <f t="shared" si="0"/>
        <v>3875901.6000000006</v>
      </c>
      <c r="O3" s="266"/>
      <c r="P3" s="262">
        <v>5000</v>
      </c>
      <c r="Q3" s="263" t="s">
        <v>16</v>
      </c>
    </row>
    <row r="4" spans="1:18" x14ac:dyDescent="0.25">
      <c r="A4" s="264" t="s">
        <v>15</v>
      </c>
      <c r="B4" s="267">
        <f>B3/$P$3</f>
        <v>72.091769759999991</v>
      </c>
      <c r="C4" s="267">
        <f>C3/$P$3</f>
        <v>62.014425600000003</v>
      </c>
      <c r="D4" s="267">
        <f>D3/$P$3</f>
        <v>65.890327200000016</v>
      </c>
      <c r="E4" s="267">
        <f>E3/$P$3</f>
        <v>62.014425600000003</v>
      </c>
      <c r="F4" s="267">
        <f t="shared" ref="F4:M4" si="1">F3/$P$3</f>
        <v>69.766228799999993</v>
      </c>
      <c r="G4" s="267">
        <f t="shared" si="1"/>
        <v>60.464064960000002</v>
      </c>
      <c r="H4" s="267">
        <f t="shared" si="1"/>
        <v>62.014425600000003</v>
      </c>
      <c r="I4" s="267">
        <f t="shared" si="1"/>
        <v>62.014425600000003</v>
      </c>
      <c r="J4" s="267">
        <f t="shared" si="1"/>
        <v>57.36334368</v>
      </c>
      <c r="K4" s="267">
        <f t="shared" si="1"/>
        <v>57.36334368</v>
      </c>
      <c r="L4" s="267">
        <f t="shared" si="1"/>
        <v>80.618753279999993</v>
      </c>
      <c r="M4" s="267">
        <f t="shared" si="1"/>
        <v>63.564786240000011</v>
      </c>
      <c r="N4" s="268">
        <f t="shared" si="0"/>
        <v>775.18031999999982</v>
      </c>
      <c r="O4" s="266"/>
      <c r="P4" s="262"/>
      <c r="Q4" s="263"/>
    </row>
    <row r="5" spans="1:18" x14ac:dyDescent="0.25">
      <c r="A5" s="264" t="s">
        <v>38</v>
      </c>
      <c r="B5" s="265">
        <v>25</v>
      </c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6">
        <f t="shared" si="0"/>
        <v>25</v>
      </c>
      <c r="O5" s="266"/>
      <c r="P5" s="262"/>
      <c r="Q5" s="263"/>
    </row>
    <row r="6" spans="1:18" x14ac:dyDescent="0.25">
      <c r="A6" s="264" t="s">
        <v>39</v>
      </c>
      <c r="B6" s="267">
        <v>25</v>
      </c>
      <c r="C6" s="267">
        <v>25</v>
      </c>
      <c r="D6" s="267">
        <v>25</v>
      </c>
      <c r="E6" s="267">
        <v>25</v>
      </c>
      <c r="F6" s="267">
        <v>25</v>
      </c>
      <c r="G6" s="267">
        <v>25</v>
      </c>
      <c r="H6" s="267">
        <v>25</v>
      </c>
      <c r="I6" s="267">
        <v>25</v>
      </c>
      <c r="J6" s="267">
        <v>25</v>
      </c>
      <c r="K6" s="267">
        <v>25</v>
      </c>
      <c r="L6" s="267">
        <v>25</v>
      </c>
      <c r="M6" s="267">
        <v>25</v>
      </c>
      <c r="N6" s="268">
        <f t="shared" si="0"/>
        <v>300</v>
      </c>
      <c r="O6" s="266"/>
      <c r="P6" s="262">
        <v>27000</v>
      </c>
      <c r="Q6" s="263" t="s">
        <v>17</v>
      </c>
    </row>
    <row r="7" spans="1:18" x14ac:dyDescent="0.25">
      <c r="A7" s="264" t="s">
        <v>18</v>
      </c>
      <c r="B7" s="265">
        <f t="shared" ref="B7:M7" si="2">B3/$P$6</f>
        <v>13.350327733333332</v>
      </c>
      <c r="C7" s="265">
        <f t="shared" si="2"/>
        <v>11.48415288888889</v>
      </c>
      <c r="D7" s="265">
        <f t="shared" si="2"/>
        <v>12.201912444444446</v>
      </c>
      <c r="E7" s="265">
        <f t="shared" si="2"/>
        <v>11.48415288888889</v>
      </c>
      <c r="F7" s="265">
        <f t="shared" si="2"/>
        <v>12.919671999999998</v>
      </c>
      <c r="G7" s="265">
        <f t="shared" si="2"/>
        <v>11.197049066666667</v>
      </c>
      <c r="H7" s="265">
        <f t="shared" si="2"/>
        <v>11.48415288888889</v>
      </c>
      <c r="I7" s="265">
        <f t="shared" si="2"/>
        <v>11.48415288888889</v>
      </c>
      <c r="J7" s="265">
        <f t="shared" si="2"/>
        <v>10.622841422222223</v>
      </c>
      <c r="K7" s="265">
        <f t="shared" si="2"/>
        <v>10.622841422222223</v>
      </c>
      <c r="L7" s="265">
        <f t="shared" si="2"/>
        <v>14.929398755555555</v>
      </c>
      <c r="M7" s="265">
        <f t="shared" si="2"/>
        <v>11.771256711111112</v>
      </c>
      <c r="N7" s="266">
        <f t="shared" si="0"/>
        <v>143.55191111111111</v>
      </c>
      <c r="O7" s="266"/>
      <c r="P7" s="262"/>
      <c r="Q7" s="263"/>
    </row>
    <row r="8" spans="1:18" x14ac:dyDescent="0.25">
      <c r="A8" s="264" t="s">
        <v>19</v>
      </c>
      <c r="B8" s="267">
        <v>8</v>
      </c>
      <c r="C8" s="267">
        <v>6</v>
      </c>
      <c r="D8" s="267">
        <v>8</v>
      </c>
      <c r="E8" s="267">
        <v>6</v>
      </c>
      <c r="F8" s="267">
        <v>8</v>
      </c>
      <c r="G8" s="267">
        <v>6</v>
      </c>
      <c r="H8" s="267">
        <v>6</v>
      </c>
      <c r="I8" s="267">
        <v>6</v>
      </c>
      <c r="J8" s="267">
        <v>6</v>
      </c>
      <c r="K8" s="267">
        <v>3</v>
      </c>
      <c r="L8" s="267">
        <v>4</v>
      </c>
      <c r="M8" s="267">
        <v>3</v>
      </c>
      <c r="N8" s="268">
        <f t="shared" si="0"/>
        <v>70</v>
      </c>
      <c r="O8" s="266"/>
      <c r="P8" s="262">
        <v>2346</v>
      </c>
      <c r="Q8" s="263" t="s">
        <v>20</v>
      </c>
    </row>
    <row r="9" spans="1:18" x14ac:dyDescent="0.25">
      <c r="A9" s="264" t="s">
        <v>21</v>
      </c>
      <c r="B9" s="265">
        <f>B3/$P$8</f>
        <v>153.64827314578005</v>
      </c>
      <c r="C9" s="265">
        <f t="shared" ref="B9:M9" si="3">C3/$P$8</f>
        <v>132.17055754475703</v>
      </c>
      <c r="D9" s="265">
        <f t="shared" si="3"/>
        <v>140.43121739130436</v>
      </c>
      <c r="E9" s="265">
        <f t="shared" si="3"/>
        <v>132.17055754475703</v>
      </c>
      <c r="F9" s="265">
        <f t="shared" si="3"/>
        <v>148.69187723785166</v>
      </c>
      <c r="G9" s="265">
        <f t="shared" si="3"/>
        <v>128.8662936061381</v>
      </c>
      <c r="H9" s="265">
        <f t="shared" si="3"/>
        <v>132.17055754475703</v>
      </c>
      <c r="I9" s="265">
        <f t="shared" si="3"/>
        <v>132.17055754475703</v>
      </c>
      <c r="J9" s="265">
        <f t="shared" si="3"/>
        <v>122.25776572890027</v>
      </c>
      <c r="K9" s="265">
        <f t="shared" si="3"/>
        <v>122.25776572890027</v>
      </c>
      <c r="L9" s="265">
        <f t="shared" si="3"/>
        <v>171.82172480818411</v>
      </c>
      <c r="M9" s="265">
        <f t="shared" si="3"/>
        <v>135.47482148337599</v>
      </c>
      <c r="N9" s="266">
        <f t="shared" si="0"/>
        <v>1652.1319693094631</v>
      </c>
      <c r="O9" s="266"/>
      <c r="P9" s="262"/>
      <c r="Q9" s="263"/>
    </row>
    <row r="10" spans="1:18" x14ac:dyDescent="0.25">
      <c r="A10" s="264" t="s">
        <v>22</v>
      </c>
      <c r="B10" s="269">
        <v>182</v>
      </c>
      <c r="C10" s="267">
        <v>158</v>
      </c>
      <c r="D10" s="267">
        <v>168</v>
      </c>
      <c r="E10" s="267">
        <v>158</v>
      </c>
      <c r="F10" s="267">
        <v>176</v>
      </c>
      <c r="G10" s="267">
        <v>154</v>
      </c>
      <c r="H10" s="267">
        <v>158</v>
      </c>
      <c r="I10" s="267">
        <v>158</v>
      </c>
      <c r="J10" s="267">
        <v>146</v>
      </c>
      <c r="K10" s="267">
        <v>146</v>
      </c>
      <c r="L10" s="267">
        <v>204</v>
      </c>
      <c r="M10" s="267">
        <v>162</v>
      </c>
      <c r="N10" s="268">
        <f t="shared" si="0"/>
        <v>1970</v>
      </c>
      <c r="O10" s="266"/>
      <c r="P10" s="262">
        <v>5</v>
      </c>
      <c r="Q10" s="263" t="s">
        <v>25</v>
      </c>
    </row>
    <row r="11" spans="1:18" x14ac:dyDescent="0.25">
      <c r="A11" s="264" t="s">
        <v>23</v>
      </c>
      <c r="B11" s="265">
        <v>1</v>
      </c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6">
        <f t="shared" si="0"/>
        <v>1</v>
      </c>
      <c r="O11" s="266"/>
    </row>
    <row r="12" spans="1:18" x14ac:dyDescent="0.25">
      <c r="A12" s="270" t="s">
        <v>28</v>
      </c>
      <c r="B12" s="267">
        <v>3</v>
      </c>
      <c r="C12" s="267">
        <v>3</v>
      </c>
      <c r="D12" s="267">
        <v>3</v>
      </c>
      <c r="E12" s="267">
        <v>3</v>
      </c>
      <c r="F12" s="267">
        <v>3</v>
      </c>
      <c r="G12" s="267">
        <v>3</v>
      </c>
      <c r="H12" s="267">
        <v>3</v>
      </c>
      <c r="I12" s="267">
        <v>3</v>
      </c>
      <c r="J12" s="267">
        <v>3</v>
      </c>
      <c r="K12" s="267">
        <v>3</v>
      </c>
      <c r="L12" s="267">
        <v>3</v>
      </c>
      <c r="M12" s="267">
        <v>3</v>
      </c>
      <c r="N12" s="268">
        <f t="shared" si="0"/>
        <v>36</v>
      </c>
      <c r="O12" s="266"/>
      <c r="P12" s="271" t="s">
        <v>126</v>
      </c>
      <c r="Q12" s="272" t="s">
        <v>127</v>
      </c>
    </row>
    <row r="13" spans="1:18" x14ac:dyDescent="0.25">
      <c r="A13" s="273" t="s">
        <v>27</v>
      </c>
      <c r="B13" s="265">
        <v>5</v>
      </c>
      <c r="C13" s="265">
        <v>5</v>
      </c>
      <c r="D13" s="265">
        <v>5</v>
      </c>
      <c r="E13" s="265">
        <v>5</v>
      </c>
      <c r="F13" s="265">
        <v>5</v>
      </c>
      <c r="G13" s="265">
        <v>5</v>
      </c>
      <c r="H13" s="265">
        <v>5</v>
      </c>
      <c r="I13" s="265">
        <v>5</v>
      </c>
      <c r="J13" s="265">
        <v>5</v>
      </c>
      <c r="K13" s="265">
        <v>5</v>
      </c>
      <c r="L13" s="265">
        <v>5</v>
      </c>
      <c r="M13" s="265">
        <v>5</v>
      </c>
      <c r="N13" s="266">
        <f t="shared" si="0"/>
        <v>60</v>
      </c>
      <c r="O13" s="266"/>
      <c r="P13" s="274" t="s">
        <v>121</v>
      </c>
      <c r="Q13" s="275">
        <v>491.26</v>
      </c>
    </row>
    <row r="14" spans="1:18" x14ac:dyDescent="0.25">
      <c r="A14" s="276" t="s">
        <v>24</v>
      </c>
      <c r="B14" s="267">
        <f>B10/$P$10</f>
        <v>36.4</v>
      </c>
      <c r="C14" s="267">
        <f t="shared" ref="C14:M14" si="4">C10/$P$10</f>
        <v>31.6</v>
      </c>
      <c r="D14" s="267">
        <f t="shared" si="4"/>
        <v>33.6</v>
      </c>
      <c r="E14" s="267">
        <f t="shared" si="4"/>
        <v>31.6</v>
      </c>
      <c r="F14" s="267">
        <f t="shared" si="4"/>
        <v>35.200000000000003</v>
      </c>
      <c r="G14" s="267">
        <f t="shared" si="4"/>
        <v>30.8</v>
      </c>
      <c r="H14" s="267">
        <f t="shared" si="4"/>
        <v>31.6</v>
      </c>
      <c r="I14" s="267">
        <f t="shared" si="4"/>
        <v>31.6</v>
      </c>
      <c r="J14" s="267">
        <f t="shared" si="4"/>
        <v>29.2</v>
      </c>
      <c r="K14" s="267">
        <f t="shared" si="4"/>
        <v>29.2</v>
      </c>
      <c r="L14" s="267">
        <f t="shared" si="4"/>
        <v>40.799999999999997</v>
      </c>
      <c r="M14" s="267">
        <f t="shared" si="4"/>
        <v>32.4</v>
      </c>
      <c r="N14" s="268">
        <f t="shared" si="0"/>
        <v>393.99999999999994</v>
      </c>
      <c r="O14" s="266"/>
      <c r="P14" s="274" t="s">
        <v>122</v>
      </c>
      <c r="Q14" s="275">
        <v>2789.26</v>
      </c>
    </row>
    <row r="15" spans="1:18" x14ac:dyDescent="0.25">
      <c r="A15" s="277" t="s">
        <v>26</v>
      </c>
      <c r="B15" s="265">
        <v>36</v>
      </c>
      <c r="C15" s="265">
        <v>31</v>
      </c>
      <c r="D15" s="265">
        <v>33</v>
      </c>
      <c r="E15" s="265">
        <v>31</v>
      </c>
      <c r="F15" s="265">
        <v>35</v>
      </c>
      <c r="G15" s="265">
        <v>30</v>
      </c>
      <c r="H15" s="265">
        <v>31</v>
      </c>
      <c r="I15" s="265">
        <v>31</v>
      </c>
      <c r="J15" s="265">
        <v>29</v>
      </c>
      <c r="K15" s="265">
        <v>29</v>
      </c>
      <c r="L15" s="265">
        <v>40</v>
      </c>
      <c r="M15" s="265">
        <v>32</v>
      </c>
      <c r="N15" s="266">
        <f t="shared" si="0"/>
        <v>388</v>
      </c>
      <c r="O15" s="266"/>
      <c r="P15" s="274" t="s">
        <v>123</v>
      </c>
      <c r="Q15" s="275">
        <v>891</v>
      </c>
    </row>
    <row r="16" spans="1:18" x14ac:dyDescent="0.25">
      <c r="A16" s="270" t="s">
        <v>29</v>
      </c>
      <c r="B16" s="267">
        <v>3</v>
      </c>
      <c r="C16" s="267"/>
      <c r="D16" s="267"/>
      <c r="E16" s="267"/>
      <c r="F16" s="267"/>
      <c r="G16" s="267"/>
      <c r="H16" s="267"/>
      <c r="I16" s="267"/>
      <c r="J16" s="267"/>
      <c r="K16" s="267"/>
      <c r="L16" s="267"/>
      <c r="M16" s="267"/>
      <c r="N16" s="268">
        <f t="shared" si="0"/>
        <v>3</v>
      </c>
      <c r="O16" s="266"/>
      <c r="P16" s="278" t="s">
        <v>124</v>
      </c>
      <c r="Q16" s="279">
        <v>6159.96</v>
      </c>
    </row>
    <row r="17" spans="1:15" x14ac:dyDescent="0.25">
      <c r="A17" s="270" t="s">
        <v>30</v>
      </c>
      <c r="B17" s="265">
        <v>3</v>
      </c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6">
        <f t="shared" si="0"/>
        <v>3</v>
      </c>
      <c r="O17" s="266"/>
    </row>
    <row r="18" spans="1:15" x14ac:dyDescent="0.25">
      <c r="A18" s="270" t="s">
        <v>31</v>
      </c>
      <c r="B18" s="267">
        <v>3</v>
      </c>
      <c r="C18" s="267">
        <v>3</v>
      </c>
      <c r="D18" s="267">
        <v>3</v>
      </c>
      <c r="E18" s="267">
        <v>3</v>
      </c>
      <c r="F18" s="267">
        <v>3</v>
      </c>
      <c r="G18" s="267">
        <v>3</v>
      </c>
      <c r="H18" s="267">
        <v>3</v>
      </c>
      <c r="I18" s="267">
        <v>3</v>
      </c>
      <c r="J18" s="267">
        <v>3</v>
      </c>
      <c r="K18" s="267">
        <v>3</v>
      </c>
      <c r="L18" s="267">
        <v>3</v>
      </c>
      <c r="M18" s="267">
        <v>3</v>
      </c>
      <c r="N18" s="268">
        <f t="shared" si="0"/>
        <v>36</v>
      </c>
      <c r="O18" s="266"/>
    </row>
    <row r="19" spans="1:15" x14ac:dyDescent="0.25">
      <c r="A19" s="273" t="s">
        <v>32</v>
      </c>
      <c r="B19" s="265">
        <v>5</v>
      </c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6">
        <f t="shared" si="0"/>
        <v>5</v>
      </c>
      <c r="O19" s="266"/>
    </row>
    <row r="20" spans="1:15" x14ac:dyDescent="0.25">
      <c r="A20" s="273" t="s">
        <v>33</v>
      </c>
      <c r="B20" s="267">
        <v>5</v>
      </c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8">
        <f t="shared" si="0"/>
        <v>5</v>
      </c>
      <c r="O20" s="266"/>
    </row>
    <row r="21" spans="1:15" x14ac:dyDescent="0.25">
      <c r="A21" s="273" t="s">
        <v>34</v>
      </c>
      <c r="B21" s="265">
        <v>5</v>
      </c>
      <c r="C21" s="265">
        <v>5</v>
      </c>
      <c r="D21" s="265">
        <v>5</v>
      </c>
      <c r="E21" s="265">
        <v>5</v>
      </c>
      <c r="F21" s="265">
        <v>5</v>
      </c>
      <c r="G21" s="265">
        <v>5</v>
      </c>
      <c r="H21" s="265">
        <v>5</v>
      </c>
      <c r="I21" s="265">
        <v>5</v>
      </c>
      <c r="J21" s="265">
        <v>5</v>
      </c>
      <c r="K21" s="265">
        <v>5</v>
      </c>
      <c r="L21" s="265">
        <v>5</v>
      </c>
      <c r="M21" s="265">
        <v>5</v>
      </c>
      <c r="N21" s="266">
        <f t="shared" si="0"/>
        <v>60</v>
      </c>
      <c r="O21" s="266"/>
    </row>
    <row r="22" spans="1:15" x14ac:dyDescent="0.25">
      <c r="A22" s="277" t="s">
        <v>35</v>
      </c>
      <c r="B22" s="267">
        <v>36</v>
      </c>
      <c r="C22" s="267"/>
      <c r="D22" s="267"/>
      <c r="E22" s="267"/>
      <c r="F22" s="267"/>
      <c r="G22" s="267"/>
      <c r="H22" s="267"/>
      <c r="I22" s="267"/>
      <c r="J22" s="267"/>
      <c r="K22" s="267"/>
      <c r="L22" s="267">
        <v>4</v>
      </c>
      <c r="M22" s="267"/>
      <c r="N22" s="268">
        <f t="shared" si="0"/>
        <v>40</v>
      </c>
      <c r="O22" s="266"/>
    </row>
    <row r="23" spans="1:15" x14ac:dyDescent="0.25">
      <c r="A23" s="277" t="s">
        <v>36</v>
      </c>
      <c r="B23" s="265">
        <v>36</v>
      </c>
      <c r="C23" s="265"/>
      <c r="D23" s="265"/>
      <c r="E23" s="265"/>
      <c r="F23" s="265"/>
      <c r="G23" s="265"/>
      <c r="H23" s="265"/>
      <c r="I23" s="265"/>
      <c r="J23" s="265"/>
      <c r="K23" s="265"/>
      <c r="L23" s="265">
        <v>4</v>
      </c>
      <c r="M23" s="265"/>
      <c r="N23" s="266">
        <f t="shared" si="0"/>
        <v>40</v>
      </c>
      <c r="O23" s="266"/>
    </row>
    <row r="24" spans="1:15" x14ac:dyDescent="0.25">
      <c r="A24" s="277" t="s">
        <v>37</v>
      </c>
      <c r="B24" s="267">
        <v>36</v>
      </c>
      <c r="C24" s="267">
        <v>31</v>
      </c>
      <c r="D24" s="267">
        <v>33</v>
      </c>
      <c r="E24" s="267">
        <v>31</v>
      </c>
      <c r="F24" s="267">
        <v>35</v>
      </c>
      <c r="G24" s="267">
        <v>30</v>
      </c>
      <c r="H24" s="267">
        <v>31</v>
      </c>
      <c r="I24" s="267">
        <v>31</v>
      </c>
      <c r="J24" s="267">
        <v>29</v>
      </c>
      <c r="K24" s="267">
        <v>29</v>
      </c>
      <c r="L24" s="267">
        <v>40</v>
      </c>
      <c r="M24" s="267">
        <v>32</v>
      </c>
      <c r="N24" s="268">
        <f t="shared" si="0"/>
        <v>388</v>
      </c>
      <c r="O24" s="266"/>
    </row>
    <row r="25" spans="1:15" x14ac:dyDescent="0.25">
      <c r="A25" s="280" t="s">
        <v>132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66"/>
    </row>
    <row r="26" spans="1:15" x14ac:dyDescent="0.25">
      <c r="A26" s="264" t="s">
        <v>38</v>
      </c>
      <c r="B26" s="282">
        <f>REFERENCIA!B15</f>
        <v>525000</v>
      </c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4">
        <v>525000</v>
      </c>
      <c r="O26" s="266"/>
    </row>
    <row r="27" spans="1:15" x14ac:dyDescent="0.25">
      <c r="A27" s="264" t="s">
        <v>39</v>
      </c>
      <c r="B27" s="285">
        <f>B6*REFERENCIA!$C$15</f>
        <v>360925</v>
      </c>
      <c r="C27" s="285">
        <f>C6*REFERENCIA!$C$15</f>
        <v>360925</v>
      </c>
      <c r="D27" s="285">
        <f>D6*REFERENCIA!$C$15</f>
        <v>360925</v>
      </c>
      <c r="E27" s="285">
        <f>E6*REFERENCIA!$C$15</f>
        <v>360925</v>
      </c>
      <c r="F27" s="285">
        <f>F6*REFERENCIA!$C$15</f>
        <v>360925</v>
      </c>
      <c r="G27" s="285">
        <f>G6*REFERENCIA!$C$15</f>
        <v>360925</v>
      </c>
      <c r="H27" s="285">
        <f>H6*REFERENCIA!$C$15</f>
        <v>360925</v>
      </c>
      <c r="I27" s="285">
        <f>I6*REFERENCIA!$C$15</f>
        <v>360925</v>
      </c>
      <c r="J27" s="285">
        <f>J6*REFERENCIA!$C$15</f>
        <v>360925</v>
      </c>
      <c r="K27" s="285">
        <f>K6*REFERENCIA!$C$15</f>
        <v>360925</v>
      </c>
      <c r="L27" s="285">
        <f>L6*REFERENCIA!$C$15</f>
        <v>360925</v>
      </c>
      <c r="M27" s="285">
        <f>M6*REFERENCIA!$C$15</f>
        <v>360925</v>
      </c>
      <c r="N27" s="286">
        <f>SUM(B27:M27)</f>
        <v>4331100</v>
      </c>
      <c r="O27" s="266"/>
    </row>
    <row r="28" spans="1:15" x14ac:dyDescent="0.25">
      <c r="A28" s="264" t="s">
        <v>133</v>
      </c>
      <c r="B28" s="282">
        <f>B8*REFERENCIA!$F$29</f>
        <v>1200000</v>
      </c>
      <c r="C28" s="282">
        <f>C8*REFERENCIA!$F$29</f>
        <v>900000</v>
      </c>
      <c r="D28" s="282">
        <f>D8*REFERENCIA!$F$29</f>
        <v>1200000</v>
      </c>
      <c r="E28" s="282">
        <f>E8*REFERENCIA!$F$29</f>
        <v>900000</v>
      </c>
      <c r="F28" s="282">
        <f>F8*REFERENCIA!$F$29</f>
        <v>1200000</v>
      </c>
      <c r="G28" s="282">
        <f>G8*REFERENCIA!$F$29</f>
        <v>900000</v>
      </c>
      <c r="H28" s="282">
        <f>H8*REFERENCIA!$F$29</f>
        <v>900000</v>
      </c>
      <c r="I28" s="282">
        <f>I8*REFERENCIA!$F$29</f>
        <v>900000</v>
      </c>
      <c r="J28" s="282">
        <f>J8*REFERENCIA!$F$29</f>
        <v>900000</v>
      </c>
      <c r="K28" s="282">
        <f>K8*REFERENCIA!$F$29</f>
        <v>450000</v>
      </c>
      <c r="L28" s="282">
        <f>L8*REFERENCIA!$F$29</f>
        <v>600000</v>
      </c>
      <c r="M28" s="282">
        <f>M8*REFERENCIA!$F$29</f>
        <v>450000</v>
      </c>
      <c r="N28" s="287">
        <f>SUM(B28:M28)</f>
        <v>10500000</v>
      </c>
      <c r="O28" s="266"/>
    </row>
    <row r="29" spans="1:15" x14ac:dyDescent="0.25">
      <c r="A29" s="264" t="s">
        <v>20</v>
      </c>
      <c r="B29" s="285">
        <f>B10*REFERENCIA!F34</f>
        <v>228592000</v>
      </c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6">
        <f>B29</f>
        <v>228592000</v>
      </c>
      <c r="O29" s="266"/>
    </row>
    <row r="30" spans="1:15" x14ac:dyDescent="0.25">
      <c r="A30" s="264" t="s">
        <v>23</v>
      </c>
      <c r="B30" s="285">
        <f>REFERENCIA!B9</f>
        <v>80000000</v>
      </c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6">
        <f t="shared" ref="N30:N38" si="5">B30</f>
        <v>80000000</v>
      </c>
      <c r="O30" s="266"/>
    </row>
    <row r="31" spans="1:15" x14ac:dyDescent="0.25">
      <c r="A31" s="270" t="s">
        <v>29</v>
      </c>
      <c r="B31" s="288">
        <f>B16*REFERENCIA!$G$18</f>
        <v>240000</v>
      </c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86">
        <f t="shared" si="5"/>
        <v>240000</v>
      </c>
      <c r="O31" s="266"/>
    </row>
    <row r="32" spans="1:15" x14ac:dyDescent="0.25">
      <c r="A32" s="270" t="s">
        <v>30</v>
      </c>
      <c r="B32" s="288">
        <f>B17*REFERENCIA!F18</f>
        <v>45000</v>
      </c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86">
        <f t="shared" si="5"/>
        <v>45000</v>
      </c>
      <c r="O32" s="266"/>
    </row>
    <row r="33" spans="1:15" x14ac:dyDescent="0.25">
      <c r="A33" s="270" t="s">
        <v>31</v>
      </c>
      <c r="B33" s="289">
        <f>B18*REFERENCIA!$H$18</f>
        <v>205500</v>
      </c>
      <c r="C33" s="289">
        <f>C18*REFERENCIA!$H$18</f>
        <v>205500</v>
      </c>
      <c r="D33" s="289">
        <f>D18*REFERENCIA!$H$18</f>
        <v>205500</v>
      </c>
      <c r="E33" s="289">
        <f>E18*REFERENCIA!$H$18</f>
        <v>205500</v>
      </c>
      <c r="F33" s="289">
        <f>F18*REFERENCIA!$H$18</f>
        <v>205500</v>
      </c>
      <c r="G33" s="289">
        <f>G18*REFERENCIA!$H$18</f>
        <v>205500</v>
      </c>
      <c r="H33" s="289">
        <f>H18*REFERENCIA!$H$18</f>
        <v>205500</v>
      </c>
      <c r="I33" s="289">
        <f>I18*REFERENCIA!$H$18</f>
        <v>205500</v>
      </c>
      <c r="J33" s="289">
        <f>J18*REFERENCIA!$H$18</f>
        <v>205500</v>
      </c>
      <c r="K33" s="289">
        <f>K18*REFERENCIA!$H$18</f>
        <v>205500</v>
      </c>
      <c r="L33" s="289">
        <f>L18*REFERENCIA!$H$18</f>
        <v>205500</v>
      </c>
      <c r="M33" s="289">
        <f>M18*REFERENCIA!$H$18</f>
        <v>205500</v>
      </c>
      <c r="N33" s="290">
        <f t="shared" ref="N33" si="6">SUM(B33:M33)</f>
        <v>2466000</v>
      </c>
      <c r="O33" s="266"/>
    </row>
    <row r="34" spans="1:15" x14ac:dyDescent="0.25">
      <c r="A34" s="273" t="s">
        <v>32</v>
      </c>
      <c r="B34" s="288">
        <f>B19*REFERENCIA!G19</f>
        <v>450000</v>
      </c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86">
        <f t="shared" si="5"/>
        <v>450000</v>
      </c>
      <c r="O34" s="266"/>
    </row>
    <row r="35" spans="1:15" x14ac:dyDescent="0.25">
      <c r="A35" s="273" t="s">
        <v>33</v>
      </c>
      <c r="B35" s="288">
        <f>B20*REFERENCIA!F19</f>
        <v>80000</v>
      </c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86">
        <f t="shared" si="5"/>
        <v>80000</v>
      </c>
      <c r="O35" s="266"/>
    </row>
    <row r="36" spans="1:15" x14ac:dyDescent="0.25">
      <c r="A36" s="273" t="s">
        <v>34</v>
      </c>
      <c r="B36" s="289">
        <f>B21*REFERENCIA!$H$19</f>
        <v>392500</v>
      </c>
      <c r="C36" s="289">
        <f>C21*REFERENCIA!$H$19</f>
        <v>392500</v>
      </c>
      <c r="D36" s="289">
        <f>D21*REFERENCIA!$H$19</f>
        <v>392500</v>
      </c>
      <c r="E36" s="289">
        <f>E21*REFERENCIA!$H$19</f>
        <v>392500</v>
      </c>
      <c r="F36" s="289">
        <f>F21*REFERENCIA!$H$19</f>
        <v>392500</v>
      </c>
      <c r="G36" s="289">
        <f>G21*REFERENCIA!$H$19</f>
        <v>392500</v>
      </c>
      <c r="H36" s="289">
        <f>H21*REFERENCIA!$H$19</f>
        <v>392500</v>
      </c>
      <c r="I36" s="289">
        <f>I21*REFERENCIA!$H$19</f>
        <v>392500</v>
      </c>
      <c r="J36" s="289">
        <f>J21*REFERENCIA!$H$19</f>
        <v>392500</v>
      </c>
      <c r="K36" s="289">
        <f>K21*REFERENCIA!$H$19</f>
        <v>392500</v>
      </c>
      <c r="L36" s="289">
        <f>L21*REFERENCIA!$H$19</f>
        <v>392500</v>
      </c>
      <c r="M36" s="289">
        <f>M21*REFERENCIA!$H$19</f>
        <v>392500</v>
      </c>
      <c r="N36" s="290">
        <f t="shared" ref="N36:N38" si="7">SUM(B36:M36)</f>
        <v>4710000</v>
      </c>
      <c r="O36" s="266"/>
    </row>
    <row r="37" spans="1:15" x14ac:dyDescent="0.25">
      <c r="A37" s="277" t="s">
        <v>35</v>
      </c>
      <c r="B37" s="288">
        <f>B22*REFERENCIA!$G$20</f>
        <v>3600000</v>
      </c>
      <c r="C37" s="288">
        <f>C22*REFERENCIA!$G$20</f>
        <v>0</v>
      </c>
      <c r="D37" s="288">
        <f>D22*REFERENCIA!$G$20</f>
        <v>0</v>
      </c>
      <c r="E37" s="288">
        <f>E22*REFERENCIA!$G$20</f>
        <v>0</v>
      </c>
      <c r="F37" s="288">
        <f>F22*REFERENCIA!$G$20</f>
        <v>0</v>
      </c>
      <c r="G37" s="288">
        <f>G22*REFERENCIA!$G$20</f>
        <v>0</v>
      </c>
      <c r="H37" s="288">
        <f>H22*REFERENCIA!$G$20</f>
        <v>0</v>
      </c>
      <c r="I37" s="288">
        <f>I22*REFERENCIA!$G$20</f>
        <v>0</v>
      </c>
      <c r="J37" s="288">
        <f>J22*REFERENCIA!$G$20</f>
        <v>0</v>
      </c>
      <c r="K37" s="288">
        <f>K22*REFERENCIA!$G$20</f>
        <v>0</v>
      </c>
      <c r="L37" s="288">
        <f>L22*REFERENCIA!$G$20</f>
        <v>400000</v>
      </c>
      <c r="M37" s="288">
        <f>M22*REFERENCIA!$G$20</f>
        <v>0</v>
      </c>
      <c r="N37" s="291">
        <f t="shared" si="7"/>
        <v>4000000</v>
      </c>
      <c r="O37" s="266"/>
    </row>
    <row r="38" spans="1:15" x14ac:dyDescent="0.25">
      <c r="A38" s="277" t="s">
        <v>36</v>
      </c>
      <c r="B38" s="288">
        <f>B23*REFERENCIA!$F$20</f>
        <v>684000</v>
      </c>
      <c r="C38" s="288">
        <f>C23*REFERENCIA!$F$20</f>
        <v>0</v>
      </c>
      <c r="D38" s="288">
        <f>D23*REFERENCIA!$F$20</f>
        <v>0</v>
      </c>
      <c r="E38" s="288">
        <f>E23*REFERENCIA!$F$20</f>
        <v>0</v>
      </c>
      <c r="F38" s="288">
        <f>F23*REFERENCIA!$F$20</f>
        <v>0</v>
      </c>
      <c r="G38" s="288">
        <f>G23*REFERENCIA!$F$20</f>
        <v>0</v>
      </c>
      <c r="H38" s="288">
        <f>H23*REFERENCIA!$F$20</f>
        <v>0</v>
      </c>
      <c r="I38" s="288">
        <f>I23*REFERENCIA!$F$20</f>
        <v>0</v>
      </c>
      <c r="J38" s="288">
        <f>J23*REFERENCIA!$F$20</f>
        <v>0</v>
      </c>
      <c r="K38" s="288">
        <f>K23*REFERENCIA!$F$20</f>
        <v>0</v>
      </c>
      <c r="L38" s="288">
        <f>L23*REFERENCIA!$F$20</f>
        <v>76000</v>
      </c>
      <c r="M38" s="288">
        <f>M23*REFERENCIA!$F$20</f>
        <v>0</v>
      </c>
      <c r="N38" s="291">
        <f t="shared" si="7"/>
        <v>760000</v>
      </c>
      <c r="O38" s="266"/>
    </row>
    <row r="39" spans="1:15" x14ac:dyDescent="0.25">
      <c r="A39" s="277" t="s">
        <v>37</v>
      </c>
      <c r="B39" s="289">
        <f>B24*REFERENCIA!$H$20</f>
        <v>2970000</v>
      </c>
      <c r="C39" s="289">
        <f>C24*REFERENCIA!$H$20</f>
        <v>2557500</v>
      </c>
      <c r="D39" s="289">
        <f>D24*REFERENCIA!$H$20</f>
        <v>2722500</v>
      </c>
      <c r="E39" s="289">
        <f>E24*REFERENCIA!$H$20</f>
        <v>2557500</v>
      </c>
      <c r="F39" s="289">
        <f>F24*REFERENCIA!$H$20</f>
        <v>2887500</v>
      </c>
      <c r="G39" s="289">
        <f>G24*REFERENCIA!$H$20</f>
        <v>2475000</v>
      </c>
      <c r="H39" s="289">
        <f>H24*REFERENCIA!$H$20</f>
        <v>2557500</v>
      </c>
      <c r="I39" s="289">
        <f>I24*REFERENCIA!$H$20</f>
        <v>2557500</v>
      </c>
      <c r="J39" s="289">
        <f>J24*REFERENCIA!$H$20</f>
        <v>2392500</v>
      </c>
      <c r="K39" s="289">
        <f>K24*REFERENCIA!$H$20</f>
        <v>2392500</v>
      </c>
      <c r="L39" s="289">
        <f>L24*REFERENCIA!$H$20</f>
        <v>3300000</v>
      </c>
      <c r="M39" s="289">
        <f>M24*REFERENCIA!$H$20</f>
        <v>2640000</v>
      </c>
      <c r="N39" s="290">
        <f t="shared" ref="N39" si="8">SUM(B39:M39)</f>
        <v>32010000</v>
      </c>
      <c r="O39" s="266"/>
    </row>
    <row r="40" spans="1:15" x14ac:dyDescent="0.25">
      <c r="A40" s="280" t="s">
        <v>134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66"/>
    </row>
    <row r="41" spans="1:15" ht="31.5" x14ac:dyDescent="0.25">
      <c r="A41" s="292" t="s">
        <v>129</v>
      </c>
      <c r="B41" s="293">
        <f>B3*$Q$16</f>
        <v>2220412090.2540479</v>
      </c>
      <c r="C41" s="293">
        <f>C3*$Q$16</f>
        <v>1910031905.5948801</v>
      </c>
      <c r="D41" s="293">
        <f>D3*$Q$16</f>
        <v>2029408899.6945603</v>
      </c>
      <c r="E41" s="293">
        <f>E3*$Q$16</f>
        <v>1910031905.5948801</v>
      </c>
      <c r="F41" s="293">
        <f>F3*$Q$16</f>
        <v>2148785893.79424</v>
      </c>
      <c r="G41" s="293">
        <f>G3*$Q$16</f>
        <v>1862281107.955008</v>
      </c>
      <c r="H41" s="293">
        <f>H3*$Q$16</f>
        <v>1910031905.5948801</v>
      </c>
      <c r="I41" s="293">
        <f>I3*$Q$16</f>
        <v>1910031905.5948801</v>
      </c>
      <c r="J41" s="293">
        <f>J3*$Q$16</f>
        <v>1766779512.6752641</v>
      </c>
      <c r="K41" s="293">
        <f>K3*$Q$16</f>
        <v>1766779512.6752641</v>
      </c>
      <c r="L41" s="293">
        <f>L3*$Q$16</f>
        <v>2483041477.2733436</v>
      </c>
      <c r="M41" s="293">
        <f>M3*$Q$16</f>
        <v>1957782703.2347524</v>
      </c>
      <c r="N41" s="294">
        <f t="shared" ref="N41:N42" si="9">SUM(B41:M41)</f>
        <v>23875398819.935997</v>
      </c>
      <c r="O41" s="266"/>
    </row>
    <row r="42" spans="1:15" ht="31.5" x14ac:dyDescent="0.25">
      <c r="A42" s="292" t="s">
        <v>128</v>
      </c>
      <c r="B42" s="295">
        <f>B3*$Q$14</f>
        <v>1005413448.603888</v>
      </c>
      <c r="C42" s="295">
        <f>C3*$Q$14</f>
        <v>864871783.74528015</v>
      </c>
      <c r="D42" s="295">
        <f>D3*$Q$14</f>
        <v>918926270.22936022</v>
      </c>
      <c r="E42" s="295">
        <f>E3*$Q$14</f>
        <v>864871783.74528015</v>
      </c>
      <c r="F42" s="295">
        <f>F3*$Q$14</f>
        <v>972980756.71343994</v>
      </c>
      <c r="G42" s="295">
        <f>G3*$Q$14</f>
        <v>843249989.15164804</v>
      </c>
      <c r="H42" s="295">
        <f>H3*$Q$14</f>
        <v>864871783.74528015</v>
      </c>
      <c r="I42" s="295">
        <f>I3*$Q$14</f>
        <v>864871783.74528015</v>
      </c>
      <c r="J42" s="295">
        <f>J3*$Q$14</f>
        <v>800006399.96438408</v>
      </c>
      <c r="K42" s="295">
        <f>K3*$Q$14</f>
        <v>800006399.96438408</v>
      </c>
      <c r="L42" s="295">
        <f>L3*$Q$14</f>
        <v>1124333318.8688641</v>
      </c>
      <c r="M42" s="295">
        <f>M3*$Q$14</f>
        <v>886493578.33891225</v>
      </c>
      <c r="N42" s="296">
        <f t="shared" si="9"/>
        <v>10810897296.816002</v>
      </c>
      <c r="O42" s="266"/>
    </row>
  </sheetData>
  <mergeCells count="2">
    <mergeCell ref="A25:N25"/>
    <mergeCell ref="A40:N4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3741-231E-4C82-8A99-19CEB4FDDD3B}">
  <dimension ref="A1:R42"/>
  <sheetViews>
    <sheetView showGridLines="0" zoomScale="80" zoomScaleNormal="80" workbookViewId="0">
      <pane xSplit="1" topLeftCell="B1" activePane="topRight" state="frozen"/>
      <selection pane="topRight" activeCell="E18" sqref="E18"/>
    </sheetView>
  </sheetViews>
  <sheetFormatPr defaultRowHeight="15" x14ac:dyDescent="0.25"/>
  <cols>
    <col min="1" max="1" width="22.140625" style="169" bestFit="1" customWidth="1"/>
    <col min="2" max="3" width="17.42578125" style="170" customWidth="1"/>
    <col min="4" max="13" width="17.42578125" style="170" bestFit="1" customWidth="1"/>
    <col min="14" max="14" width="19.28515625" style="170" bestFit="1" customWidth="1"/>
    <col min="15" max="15" width="8.5703125" style="169" customWidth="1"/>
    <col min="16" max="16" width="24.28515625" style="169" bestFit="1" customWidth="1"/>
    <col min="17" max="17" width="19.7109375" style="250" bestFit="1" customWidth="1"/>
    <col min="18" max="18" width="5" style="169" bestFit="1" customWidth="1"/>
    <col min="19" max="16384" width="9.140625" style="169"/>
  </cols>
  <sheetData>
    <row r="1" spans="1:18" ht="32.25" customHeight="1" x14ac:dyDescent="0.25">
      <c r="A1" s="101" t="s">
        <v>125</v>
      </c>
      <c r="B1" s="101" t="s">
        <v>0</v>
      </c>
      <c r="C1" s="101" t="s">
        <v>1</v>
      </c>
      <c r="D1" s="101" t="s">
        <v>2</v>
      </c>
      <c r="E1" s="101" t="s">
        <v>3</v>
      </c>
      <c r="F1" s="101" t="s">
        <v>4</v>
      </c>
      <c r="G1" s="101" t="s">
        <v>5</v>
      </c>
      <c r="H1" s="101" t="s">
        <v>6</v>
      </c>
      <c r="I1" s="101" t="s">
        <v>7</v>
      </c>
      <c r="J1" s="101" t="s">
        <v>8</v>
      </c>
      <c r="K1" s="101" t="s">
        <v>9</v>
      </c>
      <c r="L1" s="101" t="s">
        <v>10</v>
      </c>
      <c r="M1" s="101" t="s">
        <v>11</v>
      </c>
      <c r="N1" s="101" t="s">
        <v>130</v>
      </c>
      <c r="O1" s="245"/>
      <c r="P1" s="246">
        <v>1291967.2</v>
      </c>
      <c r="Q1" s="247" t="s">
        <v>14</v>
      </c>
      <c r="R1" s="168">
        <v>0.2</v>
      </c>
    </row>
    <row r="2" spans="1:18" x14ac:dyDescent="0.25">
      <c r="A2" s="99" t="s">
        <v>13</v>
      </c>
      <c r="B2" s="102">
        <v>9.2999999999999999E-2</v>
      </c>
      <c r="C2" s="102">
        <v>0.08</v>
      </c>
      <c r="D2" s="102">
        <v>8.5000000000000006E-2</v>
      </c>
      <c r="E2" s="102">
        <v>0.08</v>
      </c>
      <c r="F2" s="102">
        <v>0.09</v>
      </c>
      <c r="G2" s="102">
        <v>7.8E-2</v>
      </c>
      <c r="H2" s="102">
        <v>0.08</v>
      </c>
      <c r="I2" s="102">
        <v>0.08</v>
      </c>
      <c r="J2" s="102">
        <v>7.3999999999999996E-2</v>
      </c>
      <c r="K2" s="102">
        <v>7.3999999999999996E-2</v>
      </c>
      <c r="L2" s="102">
        <v>0.104</v>
      </c>
      <c r="M2" s="102">
        <v>8.2000000000000003E-2</v>
      </c>
      <c r="N2" s="154">
        <f>SUM(B2:M2)</f>
        <v>0.99999999999999978</v>
      </c>
      <c r="P2" s="248"/>
      <c r="Q2" s="249"/>
    </row>
    <row r="3" spans="1:18" x14ac:dyDescent="0.25">
      <c r="A3" s="100" t="s">
        <v>12</v>
      </c>
      <c r="B3" s="170">
        <f>P1*B2</f>
        <v>120152.94959999999</v>
      </c>
      <c r="C3" s="170">
        <f>P1*C2</f>
        <v>103357.376</v>
      </c>
      <c r="D3" s="170">
        <f>P1*D2</f>
        <v>109817.212</v>
      </c>
      <c r="E3" s="170">
        <f>P1*E2</f>
        <v>103357.376</v>
      </c>
      <c r="F3" s="170">
        <f>P1*F2</f>
        <v>116277.048</v>
      </c>
      <c r="G3" s="170">
        <f>P1*G2</f>
        <v>100773.44159999999</v>
      </c>
      <c r="H3" s="170">
        <f>P1*H2</f>
        <v>103357.376</v>
      </c>
      <c r="I3" s="170">
        <f>I2*P1</f>
        <v>103357.376</v>
      </c>
      <c r="J3" s="170">
        <f>J2*P1</f>
        <v>95605.572799999994</v>
      </c>
      <c r="K3" s="170">
        <f>K2*P1</f>
        <v>95605.572799999994</v>
      </c>
      <c r="L3" s="170">
        <f>L2*P1</f>
        <v>134364.5888</v>
      </c>
      <c r="M3" s="170">
        <f>M2*P1</f>
        <v>105941.3104</v>
      </c>
      <c r="N3" s="157">
        <f>SUM(B3:M3)</f>
        <v>1291967.2000000002</v>
      </c>
      <c r="P3" s="248">
        <v>5000</v>
      </c>
      <c r="Q3" s="249" t="s">
        <v>16</v>
      </c>
    </row>
    <row r="4" spans="1:18" x14ac:dyDescent="0.25">
      <c r="A4" s="100" t="s">
        <v>15</v>
      </c>
      <c r="B4" s="171">
        <f>B3/$P$3</f>
        <v>24.030589919999997</v>
      </c>
      <c r="C4" s="171">
        <f>C3/$P$3</f>
        <v>20.6714752</v>
      </c>
      <c r="D4" s="171">
        <f>D3/$P$3</f>
        <v>21.963442399999998</v>
      </c>
      <c r="E4" s="171">
        <f>E3/$P$3</f>
        <v>20.6714752</v>
      </c>
      <c r="F4" s="171">
        <f t="shared" ref="F4:M4" si="0">F3/$P$3</f>
        <v>23.2554096</v>
      </c>
      <c r="G4" s="171">
        <f t="shared" si="0"/>
        <v>20.154688319999998</v>
      </c>
      <c r="H4" s="171">
        <f t="shared" si="0"/>
        <v>20.6714752</v>
      </c>
      <c r="I4" s="171">
        <f t="shared" si="0"/>
        <v>20.6714752</v>
      </c>
      <c r="J4" s="171">
        <f t="shared" si="0"/>
        <v>19.121114559999999</v>
      </c>
      <c r="K4" s="171">
        <f t="shared" si="0"/>
        <v>19.121114559999999</v>
      </c>
      <c r="L4" s="171">
        <f t="shared" si="0"/>
        <v>26.87291776</v>
      </c>
      <c r="M4" s="171">
        <f t="shared" si="0"/>
        <v>21.188262080000001</v>
      </c>
      <c r="N4" s="158">
        <f t="shared" ref="N4:N24" si="1">SUM(B4:M4)</f>
        <v>258.39344</v>
      </c>
      <c r="P4" s="248"/>
      <c r="Q4" s="249"/>
    </row>
    <row r="5" spans="1:18" x14ac:dyDescent="0.25">
      <c r="A5" s="100" t="s">
        <v>38</v>
      </c>
      <c r="B5" s="170">
        <v>25</v>
      </c>
      <c r="N5" s="157">
        <f t="shared" si="1"/>
        <v>25</v>
      </c>
      <c r="P5" s="248"/>
      <c r="Q5" s="249"/>
    </row>
    <row r="6" spans="1:18" x14ac:dyDescent="0.25">
      <c r="A6" s="100" t="s">
        <v>39</v>
      </c>
      <c r="B6" s="171">
        <v>25</v>
      </c>
      <c r="C6" s="171">
        <v>25</v>
      </c>
      <c r="D6" s="171">
        <v>25</v>
      </c>
      <c r="E6" s="171">
        <v>25</v>
      </c>
      <c r="F6" s="171">
        <v>25</v>
      </c>
      <c r="G6" s="171">
        <v>25</v>
      </c>
      <c r="H6" s="171">
        <v>25</v>
      </c>
      <c r="I6" s="171">
        <v>25</v>
      </c>
      <c r="J6" s="171">
        <v>25</v>
      </c>
      <c r="K6" s="171">
        <v>25</v>
      </c>
      <c r="L6" s="171">
        <v>25</v>
      </c>
      <c r="M6" s="171">
        <v>25</v>
      </c>
      <c r="N6" s="158">
        <f t="shared" si="1"/>
        <v>300</v>
      </c>
      <c r="P6" s="248">
        <v>27000</v>
      </c>
      <c r="Q6" s="249" t="s">
        <v>17</v>
      </c>
    </row>
    <row r="7" spans="1:18" x14ac:dyDescent="0.25">
      <c r="A7" s="100" t="s">
        <v>18</v>
      </c>
      <c r="B7" s="170">
        <f t="shared" ref="B7:M7" si="2">B3/$P$6</f>
        <v>4.4501092444444446</v>
      </c>
      <c r="C7" s="170">
        <f t="shared" si="2"/>
        <v>3.8280509629629633</v>
      </c>
      <c r="D7" s="170">
        <f t="shared" si="2"/>
        <v>4.067304148148148</v>
      </c>
      <c r="E7" s="170">
        <f t="shared" si="2"/>
        <v>3.8280509629629633</v>
      </c>
      <c r="F7" s="170">
        <f t="shared" si="2"/>
        <v>4.3065573333333331</v>
      </c>
      <c r="G7" s="170">
        <f t="shared" si="2"/>
        <v>3.7323496888888887</v>
      </c>
      <c r="H7" s="170">
        <f t="shared" si="2"/>
        <v>3.8280509629629633</v>
      </c>
      <c r="I7" s="170">
        <f t="shared" si="2"/>
        <v>3.8280509629629633</v>
      </c>
      <c r="J7" s="170">
        <f t="shared" si="2"/>
        <v>3.5409471407407405</v>
      </c>
      <c r="K7" s="170">
        <f t="shared" si="2"/>
        <v>3.5409471407407405</v>
      </c>
      <c r="L7" s="170">
        <f t="shared" si="2"/>
        <v>4.9764662518518517</v>
      </c>
      <c r="M7" s="170">
        <f t="shared" si="2"/>
        <v>3.923752237037037</v>
      </c>
      <c r="N7" s="157">
        <f t="shared" si="1"/>
        <v>47.850637037037032</v>
      </c>
      <c r="P7" s="248"/>
      <c r="Q7" s="249"/>
    </row>
    <row r="8" spans="1:18" x14ac:dyDescent="0.25">
      <c r="A8" s="100" t="s">
        <v>19</v>
      </c>
      <c r="B8" s="171">
        <v>8</v>
      </c>
      <c r="C8" s="171">
        <v>6</v>
      </c>
      <c r="D8" s="171">
        <v>8</v>
      </c>
      <c r="E8" s="171">
        <v>6</v>
      </c>
      <c r="F8" s="171">
        <v>8</v>
      </c>
      <c r="G8" s="171">
        <v>6</v>
      </c>
      <c r="H8" s="171">
        <v>6</v>
      </c>
      <c r="I8" s="171">
        <v>6</v>
      </c>
      <c r="J8" s="171">
        <v>6</v>
      </c>
      <c r="K8" s="171">
        <v>3</v>
      </c>
      <c r="L8" s="171">
        <v>4</v>
      </c>
      <c r="M8" s="171">
        <v>3</v>
      </c>
      <c r="N8" s="158">
        <f t="shared" si="1"/>
        <v>70</v>
      </c>
      <c r="P8" s="248">
        <v>1727</v>
      </c>
      <c r="Q8" s="249" t="s">
        <v>20</v>
      </c>
    </row>
    <row r="9" spans="1:18" x14ac:dyDescent="0.25">
      <c r="A9" s="100" t="s">
        <v>21</v>
      </c>
      <c r="B9" s="170">
        <f>B3/$P$8</f>
        <v>69.573219224088007</v>
      </c>
      <c r="C9" s="170">
        <f t="shared" ref="B9:M9" si="3">C3/$P$8</f>
        <v>59.84793051534453</v>
      </c>
      <c r="D9" s="170">
        <f t="shared" si="3"/>
        <v>63.588426172553561</v>
      </c>
      <c r="E9" s="170">
        <f t="shared" si="3"/>
        <v>59.84793051534453</v>
      </c>
      <c r="F9" s="170">
        <f t="shared" si="3"/>
        <v>67.328921829762592</v>
      </c>
      <c r="G9" s="170">
        <f t="shared" si="3"/>
        <v>58.351732252460913</v>
      </c>
      <c r="H9" s="170">
        <f t="shared" si="3"/>
        <v>59.84793051534453</v>
      </c>
      <c r="I9" s="170">
        <f t="shared" si="3"/>
        <v>59.84793051534453</v>
      </c>
      <c r="J9" s="170">
        <f t="shared" si="3"/>
        <v>55.359335726693686</v>
      </c>
      <c r="K9" s="170">
        <f t="shared" si="3"/>
        <v>55.359335726693686</v>
      </c>
      <c r="L9" s="170">
        <f t="shared" si="3"/>
        <v>77.802309669947888</v>
      </c>
      <c r="M9" s="170">
        <f t="shared" si="3"/>
        <v>61.344128778228139</v>
      </c>
      <c r="N9" s="157">
        <f t="shared" si="1"/>
        <v>748.09913144180655</v>
      </c>
      <c r="P9" s="248"/>
      <c r="Q9" s="249"/>
    </row>
    <row r="10" spans="1:18" x14ac:dyDescent="0.25">
      <c r="A10" s="100" t="s">
        <v>22</v>
      </c>
      <c r="B10" s="244">
        <v>182</v>
      </c>
      <c r="C10" s="171">
        <v>158</v>
      </c>
      <c r="D10" s="171">
        <v>168</v>
      </c>
      <c r="E10" s="171">
        <v>158</v>
      </c>
      <c r="F10" s="171">
        <v>176</v>
      </c>
      <c r="G10" s="171">
        <v>154</v>
      </c>
      <c r="H10" s="171">
        <v>158</v>
      </c>
      <c r="I10" s="171">
        <v>158</v>
      </c>
      <c r="J10" s="171">
        <v>146</v>
      </c>
      <c r="K10" s="171">
        <v>146</v>
      </c>
      <c r="L10" s="171">
        <v>204</v>
      </c>
      <c r="M10" s="171">
        <v>162</v>
      </c>
      <c r="N10" s="158">
        <f t="shared" si="1"/>
        <v>1970</v>
      </c>
      <c r="P10" s="248">
        <v>5</v>
      </c>
      <c r="Q10" s="249" t="s">
        <v>25</v>
      </c>
    </row>
    <row r="11" spans="1:18" x14ac:dyDescent="0.25">
      <c r="A11" s="100" t="s">
        <v>23</v>
      </c>
      <c r="B11" s="170">
        <v>1</v>
      </c>
      <c r="N11" s="157">
        <f t="shared" si="1"/>
        <v>1</v>
      </c>
    </row>
    <row r="12" spans="1:18" x14ac:dyDescent="0.25">
      <c r="A12" s="172" t="s">
        <v>28</v>
      </c>
      <c r="B12" s="171">
        <v>3</v>
      </c>
      <c r="C12" s="171">
        <v>3</v>
      </c>
      <c r="D12" s="171">
        <v>3</v>
      </c>
      <c r="E12" s="171">
        <v>3</v>
      </c>
      <c r="F12" s="171">
        <v>3</v>
      </c>
      <c r="G12" s="171">
        <v>3</v>
      </c>
      <c r="H12" s="171">
        <v>3</v>
      </c>
      <c r="I12" s="171">
        <v>3</v>
      </c>
      <c r="J12" s="171">
        <v>3</v>
      </c>
      <c r="K12" s="171">
        <v>3</v>
      </c>
      <c r="L12" s="171">
        <v>3</v>
      </c>
      <c r="M12" s="171">
        <v>3</v>
      </c>
      <c r="N12" s="158">
        <f t="shared" si="1"/>
        <v>36</v>
      </c>
      <c r="P12" s="150" t="s">
        <v>126</v>
      </c>
      <c r="Q12" s="151" t="s">
        <v>127</v>
      </c>
    </row>
    <row r="13" spans="1:18" x14ac:dyDescent="0.25">
      <c r="A13" s="173" t="s">
        <v>27</v>
      </c>
      <c r="B13" s="170">
        <v>5</v>
      </c>
      <c r="C13" s="170">
        <v>5</v>
      </c>
      <c r="D13" s="170">
        <v>5</v>
      </c>
      <c r="E13" s="170">
        <v>5</v>
      </c>
      <c r="F13" s="170">
        <v>5</v>
      </c>
      <c r="G13" s="170">
        <v>5</v>
      </c>
      <c r="H13" s="170">
        <v>5</v>
      </c>
      <c r="I13" s="170">
        <v>5</v>
      </c>
      <c r="J13" s="170">
        <v>5</v>
      </c>
      <c r="K13" s="170">
        <v>5</v>
      </c>
      <c r="L13" s="170">
        <v>5</v>
      </c>
      <c r="M13" s="170">
        <v>5</v>
      </c>
      <c r="N13" s="157">
        <f t="shared" si="1"/>
        <v>60</v>
      </c>
      <c r="P13" s="146" t="s">
        <v>121</v>
      </c>
      <c r="Q13" s="147">
        <v>491.26</v>
      </c>
    </row>
    <row r="14" spans="1:18" x14ac:dyDescent="0.25">
      <c r="A14" s="174" t="s">
        <v>24</v>
      </c>
      <c r="B14" s="171">
        <f>B10/$P$10</f>
        <v>36.4</v>
      </c>
      <c r="C14" s="171">
        <f t="shared" ref="C14:M14" si="4">C10/$P$10</f>
        <v>31.6</v>
      </c>
      <c r="D14" s="171">
        <f t="shared" si="4"/>
        <v>33.6</v>
      </c>
      <c r="E14" s="171">
        <f t="shared" si="4"/>
        <v>31.6</v>
      </c>
      <c r="F14" s="171">
        <f t="shared" si="4"/>
        <v>35.200000000000003</v>
      </c>
      <c r="G14" s="171">
        <f t="shared" si="4"/>
        <v>30.8</v>
      </c>
      <c r="H14" s="171">
        <f t="shared" si="4"/>
        <v>31.6</v>
      </c>
      <c r="I14" s="171">
        <f t="shared" si="4"/>
        <v>31.6</v>
      </c>
      <c r="J14" s="171">
        <f t="shared" si="4"/>
        <v>29.2</v>
      </c>
      <c r="K14" s="171">
        <f t="shared" si="4"/>
        <v>29.2</v>
      </c>
      <c r="L14" s="171">
        <f t="shared" si="4"/>
        <v>40.799999999999997</v>
      </c>
      <c r="M14" s="171">
        <f t="shared" si="4"/>
        <v>32.4</v>
      </c>
      <c r="N14" s="158">
        <f t="shared" si="1"/>
        <v>393.99999999999994</v>
      </c>
      <c r="P14" s="146" t="s">
        <v>122</v>
      </c>
      <c r="Q14" s="147">
        <v>2789.26</v>
      </c>
    </row>
    <row r="15" spans="1:18" x14ac:dyDescent="0.25">
      <c r="A15" s="175" t="s">
        <v>26</v>
      </c>
      <c r="B15" s="170">
        <v>36</v>
      </c>
      <c r="C15" s="170">
        <v>31</v>
      </c>
      <c r="D15" s="170">
        <v>33</v>
      </c>
      <c r="E15" s="170">
        <v>31</v>
      </c>
      <c r="F15" s="170">
        <v>35</v>
      </c>
      <c r="G15" s="170">
        <v>30</v>
      </c>
      <c r="H15" s="170">
        <v>31</v>
      </c>
      <c r="I15" s="170">
        <v>31</v>
      </c>
      <c r="J15" s="170">
        <v>29</v>
      </c>
      <c r="K15" s="170">
        <v>29</v>
      </c>
      <c r="L15" s="170">
        <v>40</v>
      </c>
      <c r="M15" s="170">
        <v>32</v>
      </c>
      <c r="N15" s="157">
        <f t="shared" si="1"/>
        <v>388</v>
      </c>
      <c r="P15" s="146" t="s">
        <v>123</v>
      </c>
      <c r="Q15" s="147">
        <v>891</v>
      </c>
    </row>
    <row r="16" spans="1:18" x14ac:dyDescent="0.25">
      <c r="A16" s="172" t="s">
        <v>29</v>
      </c>
      <c r="B16" s="171">
        <v>3</v>
      </c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58">
        <f t="shared" si="1"/>
        <v>3</v>
      </c>
      <c r="P16" s="148" t="s">
        <v>124</v>
      </c>
      <c r="Q16" s="149">
        <v>6159.96</v>
      </c>
    </row>
    <row r="17" spans="1:15" x14ac:dyDescent="0.25">
      <c r="A17" s="172" t="s">
        <v>30</v>
      </c>
      <c r="B17" s="170">
        <v>3</v>
      </c>
      <c r="N17" s="157">
        <f t="shared" si="1"/>
        <v>3</v>
      </c>
    </row>
    <row r="18" spans="1:15" x14ac:dyDescent="0.25">
      <c r="A18" s="172" t="s">
        <v>31</v>
      </c>
      <c r="B18" s="171">
        <v>3</v>
      </c>
      <c r="C18" s="171">
        <v>3</v>
      </c>
      <c r="D18" s="171">
        <v>3</v>
      </c>
      <c r="E18" s="171">
        <v>3</v>
      </c>
      <c r="F18" s="171">
        <v>3</v>
      </c>
      <c r="G18" s="171">
        <v>3</v>
      </c>
      <c r="H18" s="171">
        <v>3</v>
      </c>
      <c r="I18" s="171">
        <v>3</v>
      </c>
      <c r="J18" s="171">
        <v>3</v>
      </c>
      <c r="K18" s="171">
        <v>3</v>
      </c>
      <c r="L18" s="171">
        <v>3</v>
      </c>
      <c r="M18" s="171">
        <v>3</v>
      </c>
      <c r="N18" s="158">
        <f t="shared" si="1"/>
        <v>36</v>
      </c>
    </row>
    <row r="19" spans="1:15" x14ac:dyDescent="0.25">
      <c r="A19" s="173" t="s">
        <v>32</v>
      </c>
      <c r="B19" s="170">
        <v>5</v>
      </c>
      <c r="N19" s="157">
        <f t="shared" si="1"/>
        <v>5</v>
      </c>
    </row>
    <row r="20" spans="1:15" x14ac:dyDescent="0.25">
      <c r="A20" s="173" t="s">
        <v>33</v>
      </c>
      <c r="B20" s="171">
        <v>5</v>
      </c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58">
        <f t="shared" si="1"/>
        <v>5</v>
      </c>
    </row>
    <row r="21" spans="1:15" x14ac:dyDescent="0.25">
      <c r="A21" s="173" t="s">
        <v>34</v>
      </c>
      <c r="B21" s="170">
        <v>5</v>
      </c>
      <c r="C21" s="170">
        <v>5</v>
      </c>
      <c r="D21" s="170">
        <v>5</v>
      </c>
      <c r="E21" s="170">
        <v>5</v>
      </c>
      <c r="F21" s="170">
        <v>5</v>
      </c>
      <c r="G21" s="170">
        <v>5</v>
      </c>
      <c r="H21" s="170">
        <v>5</v>
      </c>
      <c r="I21" s="170">
        <v>5</v>
      </c>
      <c r="J21" s="170">
        <v>5</v>
      </c>
      <c r="K21" s="170">
        <v>5</v>
      </c>
      <c r="L21" s="170">
        <v>5</v>
      </c>
      <c r="M21" s="170">
        <v>5</v>
      </c>
      <c r="N21" s="157">
        <f t="shared" si="1"/>
        <v>60</v>
      </c>
    </row>
    <row r="22" spans="1:15" x14ac:dyDescent="0.25">
      <c r="A22" s="175" t="s">
        <v>35</v>
      </c>
      <c r="B22" s="171">
        <v>36</v>
      </c>
      <c r="C22" s="171"/>
      <c r="D22" s="171"/>
      <c r="E22" s="171"/>
      <c r="F22" s="171"/>
      <c r="G22" s="171"/>
      <c r="H22" s="171"/>
      <c r="I22" s="171"/>
      <c r="J22" s="171"/>
      <c r="K22" s="171"/>
      <c r="L22" s="171">
        <v>4</v>
      </c>
      <c r="M22" s="171"/>
      <c r="N22" s="158">
        <f t="shared" si="1"/>
        <v>40</v>
      </c>
    </row>
    <row r="23" spans="1:15" x14ac:dyDescent="0.25">
      <c r="A23" s="175" t="s">
        <v>36</v>
      </c>
      <c r="B23" s="170">
        <v>36</v>
      </c>
      <c r="L23" s="170">
        <v>4</v>
      </c>
      <c r="N23" s="157">
        <f t="shared" si="1"/>
        <v>40</v>
      </c>
    </row>
    <row r="24" spans="1:15" x14ac:dyDescent="0.25">
      <c r="A24" s="175" t="s">
        <v>37</v>
      </c>
      <c r="B24" s="171">
        <v>36</v>
      </c>
      <c r="C24" s="171">
        <v>31</v>
      </c>
      <c r="D24" s="171">
        <v>33</v>
      </c>
      <c r="E24" s="171">
        <v>31</v>
      </c>
      <c r="F24" s="171">
        <v>35</v>
      </c>
      <c r="G24" s="171">
        <v>30</v>
      </c>
      <c r="H24" s="171">
        <v>31</v>
      </c>
      <c r="I24" s="171">
        <v>31</v>
      </c>
      <c r="J24" s="171">
        <v>29</v>
      </c>
      <c r="K24" s="171">
        <v>29</v>
      </c>
      <c r="L24" s="171">
        <v>40</v>
      </c>
      <c r="M24" s="171">
        <v>32</v>
      </c>
      <c r="N24" s="158">
        <f t="shared" si="1"/>
        <v>388</v>
      </c>
    </row>
    <row r="25" spans="1:15" x14ac:dyDescent="0.25">
      <c r="A25" s="161" t="s">
        <v>132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80"/>
    </row>
    <row r="26" spans="1:15" x14ac:dyDescent="0.25">
      <c r="A26" s="100" t="s">
        <v>38</v>
      </c>
      <c r="B26" s="165">
        <f>REFERENCIA!B15</f>
        <v>525000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3">
        <f>B26</f>
        <v>525000</v>
      </c>
      <c r="O26" s="180"/>
    </row>
    <row r="27" spans="1:15" x14ac:dyDescent="0.25">
      <c r="A27" s="100" t="s">
        <v>39</v>
      </c>
      <c r="B27" s="167">
        <f>B6*REFERENCIA!$C$15</f>
        <v>360925</v>
      </c>
      <c r="C27" s="167">
        <f>C6*REFERENCIA!$C$15</f>
        <v>360925</v>
      </c>
      <c r="D27" s="167">
        <f>D6*REFERENCIA!$C$15</f>
        <v>360925</v>
      </c>
      <c r="E27" s="167">
        <f>E6*REFERENCIA!$C$15</f>
        <v>360925</v>
      </c>
      <c r="F27" s="167">
        <f>F6*REFERENCIA!$C$15</f>
        <v>360925</v>
      </c>
      <c r="G27" s="167">
        <f>G6*REFERENCIA!$C$15</f>
        <v>360925</v>
      </c>
      <c r="H27" s="167">
        <f>H6*REFERENCIA!$C$15</f>
        <v>360925</v>
      </c>
      <c r="I27" s="167">
        <f>I6*REFERENCIA!$C$15</f>
        <v>360925</v>
      </c>
      <c r="J27" s="167">
        <f>J6*REFERENCIA!$C$15</f>
        <v>360925</v>
      </c>
      <c r="K27" s="167">
        <f>K6*REFERENCIA!$C$15</f>
        <v>360925</v>
      </c>
      <c r="L27" s="167">
        <f>L6*REFERENCIA!$C$15</f>
        <v>360925</v>
      </c>
      <c r="M27" s="167">
        <f>M6*REFERENCIA!$C$15</f>
        <v>360925</v>
      </c>
      <c r="N27" s="164">
        <f>SUM(B27:M27)</f>
        <v>4331100</v>
      </c>
      <c r="O27" s="180"/>
    </row>
    <row r="28" spans="1:15" x14ac:dyDescent="0.25">
      <c r="A28" s="100" t="s">
        <v>133</v>
      </c>
      <c r="B28" s="165">
        <f>B8*REFERENCIA!$F$29</f>
        <v>1200000</v>
      </c>
      <c r="C28" s="165">
        <f>C8*REFERENCIA!$F$29</f>
        <v>900000</v>
      </c>
      <c r="D28" s="165">
        <f>D8*REFERENCIA!$F$29</f>
        <v>1200000</v>
      </c>
      <c r="E28" s="165">
        <f>E8*REFERENCIA!$F$29</f>
        <v>900000</v>
      </c>
      <c r="F28" s="165">
        <f>F8*REFERENCIA!$F$29</f>
        <v>1200000</v>
      </c>
      <c r="G28" s="165">
        <f>G8*REFERENCIA!$F$29</f>
        <v>900000</v>
      </c>
      <c r="H28" s="165">
        <f>H8*REFERENCIA!$F$29</f>
        <v>900000</v>
      </c>
      <c r="I28" s="165">
        <f>I8*REFERENCIA!$F$29</f>
        <v>900000</v>
      </c>
      <c r="J28" s="165">
        <f>J8*REFERENCIA!$F$29</f>
        <v>900000</v>
      </c>
      <c r="K28" s="165">
        <f>K8*REFERENCIA!$F$29</f>
        <v>450000</v>
      </c>
      <c r="L28" s="165">
        <f>L8*REFERENCIA!$F$29</f>
        <v>600000</v>
      </c>
      <c r="M28" s="165">
        <f>M8*REFERENCIA!$F$29</f>
        <v>450000</v>
      </c>
      <c r="N28" s="163">
        <f>SUM(B28:M28)</f>
        <v>10500000</v>
      </c>
      <c r="O28" s="180"/>
    </row>
    <row r="29" spans="1:15" x14ac:dyDescent="0.25">
      <c r="A29" s="100" t="s">
        <v>20</v>
      </c>
      <c r="B29" s="167">
        <f>B10*REFERENCIA!F34</f>
        <v>228592000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4">
        <v>228592000</v>
      </c>
      <c r="O29" s="180"/>
    </row>
    <row r="30" spans="1:15" x14ac:dyDescent="0.25">
      <c r="A30" s="100" t="s">
        <v>23</v>
      </c>
      <c r="B30" s="167">
        <f>REFERENCIA!B8</f>
        <v>100000000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97">
        <v>100000000</v>
      </c>
      <c r="O30" s="180"/>
    </row>
    <row r="31" spans="1:15" x14ac:dyDescent="0.25">
      <c r="A31" s="172" t="s">
        <v>29</v>
      </c>
      <c r="B31" s="176">
        <f>B16*REFERENCIA!$G$18</f>
        <v>240000</v>
      </c>
      <c r="N31" s="251">
        <v>240000</v>
      </c>
    </row>
    <row r="32" spans="1:15" x14ac:dyDescent="0.25">
      <c r="A32" s="172" t="s">
        <v>30</v>
      </c>
      <c r="B32" s="176">
        <f>B17*REFERENCIA!F18</f>
        <v>45000</v>
      </c>
      <c r="N32" s="251">
        <v>45000</v>
      </c>
    </row>
    <row r="33" spans="1:15" x14ac:dyDescent="0.25">
      <c r="A33" s="172" t="s">
        <v>31</v>
      </c>
      <c r="B33" s="177">
        <f>B18*REFERENCIA!$H$18</f>
        <v>205500</v>
      </c>
      <c r="C33" s="177">
        <f>C18*REFERENCIA!$H$18</f>
        <v>205500</v>
      </c>
      <c r="D33" s="177">
        <f>D18*REFERENCIA!$H$18</f>
        <v>205500</v>
      </c>
      <c r="E33" s="177">
        <f>E18*REFERENCIA!$H$18</f>
        <v>205500</v>
      </c>
      <c r="F33" s="177">
        <f>F18*REFERENCIA!$H$18</f>
        <v>205500</v>
      </c>
      <c r="G33" s="177">
        <f>G18*REFERENCIA!$H$18</f>
        <v>205500</v>
      </c>
      <c r="H33" s="177">
        <f>H18*REFERENCIA!$H$18</f>
        <v>205500</v>
      </c>
      <c r="I33" s="177">
        <f>I18*REFERENCIA!$H$18</f>
        <v>205500</v>
      </c>
      <c r="J33" s="177">
        <f>J18*REFERENCIA!$H$18</f>
        <v>205500</v>
      </c>
      <c r="K33" s="177">
        <f>K18*REFERENCIA!$H$18</f>
        <v>205500</v>
      </c>
      <c r="L33" s="177">
        <f>L18*REFERENCIA!$H$18</f>
        <v>205500</v>
      </c>
      <c r="M33" s="177">
        <f>M18*REFERENCIA!$H$18</f>
        <v>205500</v>
      </c>
      <c r="N33" s="160">
        <f t="shared" ref="N33" si="5">SUM(B33:M33)</f>
        <v>2466000</v>
      </c>
    </row>
    <row r="34" spans="1:15" x14ac:dyDescent="0.25">
      <c r="A34" s="173" t="s">
        <v>32</v>
      </c>
      <c r="B34" s="176">
        <f>B19*REFERENCIA!G19</f>
        <v>450000</v>
      </c>
      <c r="N34" s="251">
        <v>450000</v>
      </c>
    </row>
    <row r="35" spans="1:15" x14ac:dyDescent="0.25">
      <c r="A35" s="173" t="s">
        <v>33</v>
      </c>
      <c r="B35" s="176">
        <f>B20*REFERENCIA!F19</f>
        <v>80000</v>
      </c>
      <c r="N35" s="251">
        <v>80000</v>
      </c>
    </row>
    <row r="36" spans="1:15" x14ac:dyDescent="0.25">
      <c r="A36" s="173" t="s">
        <v>34</v>
      </c>
      <c r="B36" s="177">
        <f>B21*REFERENCIA!$H$19</f>
        <v>392500</v>
      </c>
      <c r="C36" s="177">
        <f>C21*REFERENCIA!$H$19</f>
        <v>392500</v>
      </c>
      <c r="D36" s="177">
        <f>D21*REFERENCIA!$H$19</f>
        <v>392500</v>
      </c>
      <c r="E36" s="177">
        <f>E21*REFERENCIA!$H$19</f>
        <v>392500</v>
      </c>
      <c r="F36" s="177">
        <f>F21*REFERENCIA!$H$19</f>
        <v>392500</v>
      </c>
      <c r="G36" s="177">
        <f>G21*REFERENCIA!$H$19</f>
        <v>392500</v>
      </c>
      <c r="H36" s="177">
        <f>H21*REFERENCIA!$H$19</f>
        <v>392500</v>
      </c>
      <c r="I36" s="177">
        <f>I21*REFERENCIA!$H$19</f>
        <v>392500</v>
      </c>
      <c r="J36" s="177">
        <f>J21*REFERENCIA!$H$19</f>
        <v>392500</v>
      </c>
      <c r="K36" s="177">
        <f>K21*REFERENCIA!$H$19</f>
        <v>392500</v>
      </c>
      <c r="L36" s="177">
        <f>L21*REFERENCIA!$H$19</f>
        <v>392500</v>
      </c>
      <c r="M36" s="177">
        <f>M21*REFERENCIA!$H$19</f>
        <v>392500</v>
      </c>
      <c r="N36" s="160">
        <f t="shared" ref="N36:N38" si="6">SUM(B36:M36)</f>
        <v>4710000</v>
      </c>
    </row>
    <row r="37" spans="1:15" x14ac:dyDescent="0.25">
      <c r="A37" s="175" t="s">
        <v>35</v>
      </c>
      <c r="B37" s="176">
        <f>B22*REFERENCIA!$G$20</f>
        <v>3600000</v>
      </c>
      <c r="C37" s="176">
        <f>C22*REFERENCIA!$G$20</f>
        <v>0</v>
      </c>
      <c r="D37" s="176">
        <f>D22*REFERENCIA!$G$20</f>
        <v>0</v>
      </c>
      <c r="E37" s="176">
        <f>E22*REFERENCIA!$G$20</f>
        <v>0</v>
      </c>
      <c r="F37" s="176">
        <f>F22*REFERENCIA!$G$20</f>
        <v>0</v>
      </c>
      <c r="G37" s="176">
        <f>G22*REFERENCIA!$G$20</f>
        <v>0</v>
      </c>
      <c r="H37" s="176">
        <f>H22*REFERENCIA!$G$20</f>
        <v>0</v>
      </c>
      <c r="I37" s="176">
        <f>I22*REFERENCIA!$G$20</f>
        <v>0</v>
      </c>
      <c r="J37" s="176">
        <f>J22*REFERENCIA!$G$20</f>
        <v>0</v>
      </c>
      <c r="K37" s="176">
        <f>K22*REFERENCIA!$G$20</f>
        <v>0</v>
      </c>
      <c r="L37" s="176">
        <f>L22*REFERENCIA!$G$20</f>
        <v>400000</v>
      </c>
      <c r="M37" s="176">
        <f>M22*REFERENCIA!$G$20</f>
        <v>0</v>
      </c>
      <c r="N37" s="196">
        <f t="shared" si="6"/>
        <v>4000000</v>
      </c>
    </row>
    <row r="38" spans="1:15" x14ac:dyDescent="0.25">
      <c r="A38" s="175" t="s">
        <v>36</v>
      </c>
      <c r="B38" s="176">
        <f>B23*REFERENCIA!$F$20</f>
        <v>684000</v>
      </c>
      <c r="C38" s="176">
        <f>C23*REFERENCIA!$F$20</f>
        <v>0</v>
      </c>
      <c r="D38" s="176">
        <f>D23*REFERENCIA!$F$20</f>
        <v>0</v>
      </c>
      <c r="E38" s="176">
        <f>E23*REFERENCIA!$F$20</f>
        <v>0</v>
      </c>
      <c r="F38" s="176">
        <f>F23*REFERENCIA!$F$20</f>
        <v>0</v>
      </c>
      <c r="G38" s="176">
        <f>G23*REFERENCIA!$F$20</f>
        <v>0</v>
      </c>
      <c r="H38" s="176">
        <f>H23*REFERENCIA!$F$20</f>
        <v>0</v>
      </c>
      <c r="I38" s="176">
        <f>I23*REFERENCIA!$F$20</f>
        <v>0</v>
      </c>
      <c r="J38" s="176">
        <f>J23*REFERENCIA!$F$20</f>
        <v>0</v>
      </c>
      <c r="K38" s="176">
        <f>K23*REFERENCIA!$F$20</f>
        <v>0</v>
      </c>
      <c r="L38" s="176">
        <f>L23*REFERENCIA!$F$20</f>
        <v>76000</v>
      </c>
      <c r="M38" s="176">
        <f>M23*REFERENCIA!$F$20</f>
        <v>0</v>
      </c>
      <c r="N38" s="196">
        <f t="shared" si="6"/>
        <v>760000</v>
      </c>
    </row>
    <row r="39" spans="1:15" x14ac:dyDescent="0.25">
      <c r="A39" s="175" t="s">
        <v>37</v>
      </c>
      <c r="B39" s="177">
        <f>B24*REFERENCIA!$H$20</f>
        <v>2970000</v>
      </c>
      <c r="C39" s="177">
        <f>C24*REFERENCIA!$H$20</f>
        <v>2557500</v>
      </c>
      <c r="D39" s="177">
        <f>D24*REFERENCIA!$H$20</f>
        <v>2722500</v>
      </c>
      <c r="E39" s="177">
        <f>E24*REFERENCIA!$H$20</f>
        <v>2557500</v>
      </c>
      <c r="F39" s="177">
        <f>F24*REFERENCIA!$H$20</f>
        <v>2887500</v>
      </c>
      <c r="G39" s="177">
        <f>G24*REFERENCIA!$H$20</f>
        <v>2475000</v>
      </c>
      <c r="H39" s="177">
        <f>H24*REFERENCIA!$H$20</f>
        <v>2557500</v>
      </c>
      <c r="I39" s="177">
        <f>I24*REFERENCIA!$H$20</f>
        <v>2557500</v>
      </c>
      <c r="J39" s="177">
        <f>J24*REFERENCIA!$H$20</f>
        <v>2392500</v>
      </c>
      <c r="K39" s="177">
        <f>K24*REFERENCIA!$H$20</f>
        <v>2392500</v>
      </c>
      <c r="L39" s="177">
        <f>L24*REFERENCIA!$H$20</f>
        <v>3300000</v>
      </c>
      <c r="M39" s="177">
        <f>M24*REFERENCIA!$H$20</f>
        <v>2640000</v>
      </c>
      <c r="N39" s="160">
        <f t="shared" ref="N39" si="7">SUM(B39:M39)</f>
        <v>32010000</v>
      </c>
    </row>
    <row r="40" spans="1:15" x14ac:dyDescent="0.25">
      <c r="A40" s="161" t="s">
        <v>134</v>
      </c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</row>
    <row r="41" spans="1:15" ht="30" x14ac:dyDescent="0.25">
      <c r="A41" s="152" t="s">
        <v>129</v>
      </c>
      <c r="B41" s="178">
        <f>B3*$Q$16</f>
        <v>740137363.41801596</v>
      </c>
      <c r="C41" s="178">
        <f>C3*$Q$16</f>
        <v>636677301.86496007</v>
      </c>
      <c r="D41" s="178">
        <f>D3*$Q$16</f>
        <v>676469633.23152006</v>
      </c>
      <c r="E41" s="178">
        <f>E3*$Q$16</f>
        <v>636677301.86496007</v>
      </c>
      <c r="F41" s="178">
        <f>F3*$Q$16</f>
        <v>716261964.59807992</v>
      </c>
      <c r="G41" s="178">
        <f>G3*$Q$16</f>
        <v>620760369.31833589</v>
      </c>
      <c r="H41" s="178">
        <f>H3*$Q$16</f>
        <v>636677301.86496007</v>
      </c>
      <c r="I41" s="178">
        <f>I3*$Q$16</f>
        <v>636677301.86496007</v>
      </c>
      <c r="J41" s="178">
        <f>J3*$Q$16</f>
        <v>588926504.225088</v>
      </c>
      <c r="K41" s="178">
        <f>K3*$Q$16</f>
        <v>588926504.225088</v>
      </c>
      <c r="L41" s="178">
        <f>L3*$Q$16</f>
        <v>827680492.42444801</v>
      </c>
      <c r="M41" s="178">
        <f>M3*$Q$16</f>
        <v>652594234.41158402</v>
      </c>
      <c r="N41" s="155">
        <f t="shared" ref="N41:N42" si="8">SUM(B41:M41)</f>
        <v>7958466273.3120003</v>
      </c>
      <c r="O41" s="156"/>
    </row>
    <row r="42" spans="1:15" ht="30" x14ac:dyDescent="0.25">
      <c r="A42" s="152" t="s">
        <v>128</v>
      </c>
      <c r="B42" s="179">
        <f>B3*$Q$14</f>
        <v>335137816.20129603</v>
      </c>
      <c r="C42" s="179">
        <f>C3*$Q$14</f>
        <v>288290594.58176005</v>
      </c>
      <c r="D42" s="179">
        <f>D3*$Q$14</f>
        <v>306308756.74312001</v>
      </c>
      <c r="E42" s="179">
        <f>E3*$Q$14</f>
        <v>288290594.58176005</v>
      </c>
      <c r="F42" s="179">
        <f>F3*$Q$14</f>
        <v>324326918.90448004</v>
      </c>
      <c r="G42" s="179">
        <f>G3*$Q$14</f>
        <v>281083329.71721601</v>
      </c>
      <c r="H42" s="179">
        <f>H3*$Q$14</f>
        <v>288290594.58176005</v>
      </c>
      <c r="I42" s="179">
        <f>I3*$Q$14</f>
        <v>288290594.58176005</v>
      </c>
      <c r="J42" s="179">
        <f>J3*$Q$14</f>
        <v>266668799.98812801</v>
      </c>
      <c r="K42" s="179">
        <f>K3*$Q$14</f>
        <v>266668799.98812801</v>
      </c>
      <c r="L42" s="179">
        <f>L3*$Q$14</f>
        <v>374777772.95628804</v>
      </c>
      <c r="M42" s="179">
        <f>M3*$Q$14</f>
        <v>295497859.44630402</v>
      </c>
      <c r="N42" s="156">
        <f t="shared" si="8"/>
        <v>3603632432.2719998</v>
      </c>
      <c r="O42" s="156"/>
    </row>
  </sheetData>
  <mergeCells count="2">
    <mergeCell ref="A25:N25"/>
    <mergeCell ref="A40:N4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D2BF-CB27-4644-B8F3-234907F17F88}">
  <dimension ref="A1:R11"/>
  <sheetViews>
    <sheetView workbookViewId="0">
      <selection activeCell="F8" sqref="F8"/>
    </sheetView>
  </sheetViews>
  <sheetFormatPr defaultRowHeight="12" x14ac:dyDescent="0.25"/>
  <cols>
    <col min="1" max="1" width="16.5703125" style="189" bestFit="1" customWidth="1"/>
    <col min="2" max="13" width="15.28515625" style="189" bestFit="1" customWidth="1"/>
    <col min="14" max="14" width="16.140625" style="189" bestFit="1" customWidth="1"/>
    <col min="15" max="15" width="9.140625" style="189"/>
    <col min="16" max="16" width="17.42578125" style="189" bestFit="1" customWidth="1"/>
    <col min="17" max="17" width="20.85546875" style="189" bestFit="1" customWidth="1"/>
    <col min="18" max="16384" width="9.140625" style="189"/>
  </cols>
  <sheetData>
    <row r="1" spans="1:18" x14ac:dyDescent="0.25">
      <c r="A1" s="181" t="s">
        <v>131</v>
      </c>
      <c r="B1" s="181" t="s">
        <v>0</v>
      </c>
      <c r="C1" s="181" t="s">
        <v>1</v>
      </c>
      <c r="D1" s="181" t="s">
        <v>2</v>
      </c>
      <c r="E1" s="181" t="s">
        <v>3</v>
      </c>
      <c r="F1" s="181" t="s">
        <v>4</v>
      </c>
      <c r="G1" s="181" t="s">
        <v>5</v>
      </c>
      <c r="H1" s="181" t="s">
        <v>6</v>
      </c>
      <c r="I1" s="181" t="s">
        <v>7</v>
      </c>
      <c r="J1" s="181" t="s">
        <v>8</v>
      </c>
      <c r="K1" s="181" t="s">
        <v>9</v>
      </c>
      <c r="L1" s="181" t="s">
        <v>10</v>
      </c>
      <c r="M1" s="181" t="s">
        <v>11</v>
      </c>
      <c r="N1" s="181" t="s">
        <v>130</v>
      </c>
      <c r="P1" s="182" t="s">
        <v>118</v>
      </c>
      <c r="Q1" s="183" t="s">
        <v>119</v>
      </c>
    </row>
    <row r="2" spans="1:18" x14ac:dyDescent="0.25">
      <c r="A2" s="342" t="s">
        <v>12</v>
      </c>
      <c r="B2" s="190">
        <v>120152.94960000001</v>
      </c>
      <c r="C2" s="190">
        <v>103357.376</v>
      </c>
      <c r="D2" s="190">
        <v>109817.212</v>
      </c>
      <c r="E2" s="190">
        <v>103357.376</v>
      </c>
      <c r="F2" s="190">
        <v>116277.048</v>
      </c>
      <c r="G2" s="190">
        <v>100773.44159999999</v>
      </c>
      <c r="H2" s="190">
        <v>103357.376</v>
      </c>
      <c r="I2" s="190">
        <v>103357.376</v>
      </c>
      <c r="J2" s="190">
        <v>95605.572799999994</v>
      </c>
      <c r="K2" s="190">
        <v>95605.572799999994</v>
      </c>
      <c r="L2" s="190">
        <v>134364.5888</v>
      </c>
      <c r="M2" s="190">
        <v>105941.3104</v>
      </c>
      <c r="N2" s="190">
        <f>SUM(B2:M2)</f>
        <v>1291967.2000000002</v>
      </c>
      <c r="P2" s="182" t="s">
        <v>124</v>
      </c>
      <c r="Q2" s="184">
        <v>11846.67</v>
      </c>
      <c r="R2" s="191">
        <f>Q2*0.3</f>
        <v>3554.0009999999997</v>
      </c>
    </row>
    <row r="3" spans="1:18" ht="24" x14ac:dyDescent="0.25">
      <c r="A3" s="343" t="s">
        <v>135</v>
      </c>
      <c r="B3" s="191">
        <f>B2*'Receita Sul e Suldeste'!$Q$2</f>
        <v>1423412343.4378321</v>
      </c>
      <c r="C3" s="191">
        <f>C2*'Receita Sul e Suldeste'!$Q$2</f>
        <v>1224440725.53792</v>
      </c>
      <c r="D3" s="191">
        <f>D2*'Receita Sul e Suldeste'!$Q$2</f>
        <v>1300968270.8840401</v>
      </c>
      <c r="E3" s="191">
        <f>E2*'Receita Sul e Suldeste'!$Q$2</f>
        <v>1224440725.53792</v>
      </c>
      <c r="F3" s="191">
        <f>F2*'Receita Sul e Suldeste'!$Q$2</f>
        <v>1377495816.23016</v>
      </c>
      <c r="G3" s="191">
        <f>G2*'Receita Sul e Suldeste'!$Q$2</f>
        <v>1193829707.399472</v>
      </c>
      <c r="H3" s="191">
        <f>H2*'Receita Sul e Suldeste'!$Q$2</f>
        <v>1224440725.53792</v>
      </c>
      <c r="I3" s="191">
        <f>I2*'Receita Sul e Suldeste'!$Q$2</f>
        <v>1224440725.53792</v>
      </c>
      <c r="J3" s="191">
        <f>J2*'Receita Sul e Suldeste'!$Q$2</f>
        <v>1132607671.122576</v>
      </c>
      <c r="K3" s="191">
        <f>K2*'Receita Sul e Suldeste'!$Q$2</f>
        <v>1132607671.122576</v>
      </c>
      <c r="L3" s="191">
        <f>L2*'Receita Sul e Suldeste'!$Q$2</f>
        <v>1591772943.199296</v>
      </c>
      <c r="M3" s="191">
        <f>M2*'Receita Sul e Suldeste'!$Q$2</f>
        <v>1255051743.676368</v>
      </c>
      <c r="N3" s="191">
        <f>SUM(B3:M3)</f>
        <v>15305509069.223999</v>
      </c>
      <c r="P3" s="182" t="s">
        <v>122</v>
      </c>
      <c r="Q3" s="184">
        <v>7459.33</v>
      </c>
      <c r="R3" s="191">
        <f>Q3*0.3</f>
        <v>2237.799</v>
      </c>
    </row>
    <row r="4" spans="1:18" ht="24" x14ac:dyDescent="0.25">
      <c r="A4" s="343" t="s">
        <v>136</v>
      </c>
      <c r="B4" s="349">
        <f>B2*'Receita Sul e Suldeste'!$Q$3</f>
        <v>896260501.5397681</v>
      </c>
      <c r="C4" s="349">
        <f>C2*'Receita Sul e Suldeste'!$Q$3</f>
        <v>770976775.51808</v>
      </c>
      <c r="D4" s="349">
        <f>D2*'Receita Sul e Suldeste'!$Q$3</f>
        <v>819162823.98795998</v>
      </c>
      <c r="E4" s="349">
        <f>E2*'Receita Sul e Suldeste'!$Q$3</f>
        <v>770976775.51808</v>
      </c>
      <c r="F4" s="349">
        <f>F2*'Receita Sul e Suldeste'!$Q$3</f>
        <v>867348872.45783997</v>
      </c>
      <c r="G4" s="349">
        <f>G2*'Receita Sul e Suldeste'!$Q$3</f>
        <v>751702356.13012791</v>
      </c>
      <c r="H4" s="349">
        <f>H2*'Receita Sul e Suldeste'!$Q$3</f>
        <v>770976775.51808</v>
      </c>
      <c r="I4" s="349">
        <f>I2*'Receita Sul e Suldeste'!$Q$3</f>
        <v>770976775.51808</v>
      </c>
      <c r="J4" s="349">
        <f>J2*'Receita Sul e Suldeste'!$Q$3</f>
        <v>713153517.35422397</v>
      </c>
      <c r="K4" s="349">
        <f>K2*'Receita Sul e Suldeste'!$Q$3</f>
        <v>713153517.35422397</v>
      </c>
      <c r="L4" s="349">
        <f>L2*'Receita Sul e Suldeste'!$Q$3</f>
        <v>1002269808.173504</v>
      </c>
      <c r="M4" s="349">
        <f>M2*'Receita Sul e Suldeste'!$Q$3</f>
        <v>790251194.90603197</v>
      </c>
      <c r="N4" s="349">
        <f t="shared" ref="N4:N10" si="0">SUM(B4:M4)</f>
        <v>9637209693.9759998</v>
      </c>
      <c r="P4" s="189" t="s">
        <v>137</v>
      </c>
    </row>
    <row r="5" spans="1:18" ht="17.25" customHeight="1" x14ac:dyDescent="0.25">
      <c r="A5" s="343" t="s">
        <v>142</v>
      </c>
      <c r="B5" s="192">
        <f>B3*0.3</f>
        <v>427023703.0313496</v>
      </c>
      <c r="C5" s="192">
        <f>C3*0.3</f>
        <v>367332217.661376</v>
      </c>
      <c r="D5" s="192">
        <f>D3*0.3</f>
        <v>390290481.265212</v>
      </c>
      <c r="E5" s="192">
        <f>E3*0.3</f>
        <v>367332217.661376</v>
      </c>
      <c r="F5" s="192">
        <f t="shared" ref="F4:N5" si="1">F3*0.3</f>
        <v>413248744.869048</v>
      </c>
      <c r="G5" s="192">
        <f t="shared" si="1"/>
        <v>358148912.2198416</v>
      </c>
      <c r="H5" s="192">
        <f t="shared" si="1"/>
        <v>367332217.661376</v>
      </c>
      <c r="I5" s="192">
        <f t="shared" si="1"/>
        <v>367332217.661376</v>
      </c>
      <c r="J5" s="192">
        <f t="shared" si="1"/>
        <v>339782301.3367728</v>
      </c>
      <c r="K5" s="192">
        <f t="shared" si="1"/>
        <v>339782301.3367728</v>
      </c>
      <c r="L5" s="192">
        <f t="shared" si="1"/>
        <v>477531882.9597888</v>
      </c>
      <c r="M5" s="192">
        <f t="shared" si="1"/>
        <v>376515523.1029104</v>
      </c>
      <c r="N5" s="191">
        <f t="shared" si="0"/>
        <v>4591652720.7672005</v>
      </c>
      <c r="P5" s="186" t="s">
        <v>73</v>
      </c>
      <c r="Q5" s="185" t="s">
        <v>74</v>
      </c>
    </row>
    <row r="6" spans="1:18" ht="17.25" customHeight="1" x14ac:dyDescent="0.25">
      <c r="A6" s="343" t="s">
        <v>143</v>
      </c>
      <c r="B6" s="350">
        <f>B4*0.3</f>
        <v>268878150.46193039</v>
      </c>
      <c r="C6" s="350">
        <f t="shared" ref="C5:N6" si="2">C4*0.3</f>
        <v>231293032.655424</v>
      </c>
      <c r="D6" s="350">
        <f t="shared" si="2"/>
        <v>245748847.19638798</v>
      </c>
      <c r="E6" s="350">
        <f t="shared" si="2"/>
        <v>231293032.655424</v>
      </c>
      <c r="F6" s="350">
        <f t="shared" si="2"/>
        <v>260204661.73735198</v>
      </c>
      <c r="G6" s="350">
        <f t="shared" si="2"/>
        <v>225510706.83903837</v>
      </c>
      <c r="H6" s="350">
        <f t="shared" si="2"/>
        <v>231293032.655424</v>
      </c>
      <c r="I6" s="350">
        <f t="shared" si="2"/>
        <v>231293032.655424</v>
      </c>
      <c r="J6" s="350">
        <f t="shared" si="2"/>
        <v>213946055.20626718</v>
      </c>
      <c r="K6" s="350">
        <f t="shared" si="2"/>
        <v>213946055.20626718</v>
      </c>
      <c r="L6" s="350">
        <f t="shared" si="2"/>
        <v>300680942.45205116</v>
      </c>
      <c r="M6" s="350">
        <f t="shared" si="2"/>
        <v>237075358.4718096</v>
      </c>
      <c r="N6" s="349">
        <f t="shared" si="0"/>
        <v>2891162908.1927996</v>
      </c>
      <c r="P6" s="187" t="s">
        <v>77</v>
      </c>
      <c r="Q6" s="344">
        <v>219.9</v>
      </c>
    </row>
    <row r="7" spans="1:18" ht="17.25" customHeight="1" x14ac:dyDescent="0.25">
      <c r="A7" s="345" t="s">
        <v>138</v>
      </c>
      <c r="B7" s="191">
        <f>'Custos Sul e Sudeste'!B3*('Receita Sul e Suldeste'!$Q$2+'Receita Sul e Suldeste'!$Q$6)</f>
        <v>1449833977.0548718</v>
      </c>
      <c r="C7" s="191">
        <f>'Custos Sul e Sudeste'!C3*('Receita Sul e Suldeste'!$Q$2+'Receita Sul e Suldeste'!$Q$6)</f>
        <v>1247169012.5203199</v>
      </c>
      <c r="D7" s="191">
        <f>'Custos Sul e Sudeste'!D3*('Receita Sul e Suldeste'!$Q$2+'Receita Sul e Suldeste'!$Q$6)</f>
        <v>1325117075.80284</v>
      </c>
      <c r="E7" s="191">
        <f>'Custos Sul e Sudeste'!E3*('Receita Sul e Suldeste'!$Q$2+'Receita Sul e Suldeste'!$Q$6)</f>
        <v>1247169012.5203199</v>
      </c>
      <c r="F7" s="191">
        <f>'Custos Sul e Sudeste'!F3*('Receita Sul e Suldeste'!$Q$2+'Receita Sul e Suldeste'!$Q$6)</f>
        <v>1403065139.0853598</v>
      </c>
      <c r="G7" s="191">
        <f>'Custos Sul e Sudeste'!G3*('Receita Sul e Suldeste'!$Q$2+'Receita Sul e Suldeste'!$Q$6)</f>
        <v>1215989787.2073119</v>
      </c>
      <c r="H7" s="191">
        <f>'Custos Sul e Sudeste'!H3*('Receita Sul e Suldeste'!$Q$2+'Receita Sul e Suldeste'!$Q$6)</f>
        <v>1247169012.5203199</v>
      </c>
      <c r="I7" s="191">
        <f>'Custos Sul e Sudeste'!I3*('Receita Sul e Suldeste'!$Q$2+'Receita Sul e Suldeste'!$Q$6)</f>
        <v>1247169012.5203199</v>
      </c>
      <c r="J7" s="191">
        <f>'Custos Sul e Sudeste'!J3*('Receita Sul e Suldeste'!$Q$2+'Receita Sul e Suldeste'!$Q$6)</f>
        <v>1153631336.581296</v>
      </c>
      <c r="K7" s="191">
        <f>'Custos Sul e Sudeste'!K3*('Receita Sul e Suldeste'!$Q$2+'Receita Sul e Suldeste'!$Q$6)</f>
        <v>1153631336.581296</v>
      </c>
      <c r="L7" s="191">
        <f>'Custos Sul e Sudeste'!L3*('Receita Sul e Suldeste'!$Q$2+'Receita Sul e Suldeste'!$Q$6)</f>
        <v>1621319716.2764158</v>
      </c>
      <c r="M7" s="191">
        <f>'Custos Sul e Sudeste'!M3*('Receita Sul e Suldeste'!$Q$2+'Receita Sul e Suldeste'!$Q$6)</f>
        <v>1278348237.833328</v>
      </c>
      <c r="N7" s="191">
        <f t="shared" si="0"/>
        <v>15589612656.503998</v>
      </c>
      <c r="P7" s="187" t="s">
        <v>81</v>
      </c>
      <c r="Q7" s="344">
        <v>149.9</v>
      </c>
    </row>
    <row r="8" spans="1:18" ht="17.25" customHeight="1" x14ac:dyDescent="0.25">
      <c r="A8" s="345" t="s">
        <v>139</v>
      </c>
      <c r="B8" s="349">
        <f>'Custos Sul e Sudeste'!B3*('Receita Sul e Suldeste'!$Q$3+'Receita Sul e Suldeste'!$Q$7)</f>
        <v>914271428.6848079</v>
      </c>
      <c r="C8" s="349">
        <f>'Custos Sul e Sudeste'!C3*('Receita Sul e Suldeste'!$Q$3+'Receita Sul e Suldeste'!$Q$7)</f>
        <v>786470046.18048</v>
      </c>
      <c r="D8" s="349">
        <f>'Custos Sul e Sudeste'!D3*('Receita Sul e Suldeste'!$Q$3+'Receita Sul e Suldeste'!$Q$7)</f>
        <v>835624424.06675994</v>
      </c>
      <c r="E8" s="349">
        <f>'Custos Sul e Sudeste'!E3*('Receita Sul e Suldeste'!$Q$3+'Receita Sul e Suldeste'!$Q$7)</f>
        <v>786470046.18048</v>
      </c>
      <c r="F8" s="349">
        <f>'Custos Sul e Sudeste'!F3*('Receita Sul e Suldeste'!$Q$3+'Receita Sul e Suldeste'!$Q$7)</f>
        <v>884778801.95303988</v>
      </c>
      <c r="G8" s="349">
        <f>'Custos Sul e Sudeste'!G3*('Receita Sul e Suldeste'!$Q$3+'Receita Sul e Suldeste'!$Q$7)</f>
        <v>766808295.02596784</v>
      </c>
      <c r="H8" s="349">
        <f>'Custos Sul e Sudeste'!H3*('Receita Sul e Suldeste'!$Q$3+'Receita Sul e Suldeste'!$Q$7)</f>
        <v>786470046.18048</v>
      </c>
      <c r="I8" s="349">
        <f>'Custos Sul e Sudeste'!I3*('Receita Sul e Suldeste'!$Q$3+'Receita Sul e Suldeste'!$Q$7)</f>
        <v>786470046.18048</v>
      </c>
      <c r="J8" s="349">
        <f>'Custos Sul e Sudeste'!J3*('Receita Sul e Suldeste'!$Q$3+'Receita Sul e Suldeste'!$Q$7)</f>
        <v>727484792.71694386</v>
      </c>
      <c r="K8" s="349">
        <f>'Custos Sul e Sudeste'!K3*('Receita Sul e Suldeste'!$Q$3+'Receita Sul e Suldeste'!$Q$7)</f>
        <v>727484792.71694386</v>
      </c>
      <c r="L8" s="349">
        <f>'Custos Sul e Sudeste'!L3*('Receita Sul e Suldeste'!$Q$3+'Receita Sul e Suldeste'!$Q$7)</f>
        <v>1022411060.034624</v>
      </c>
      <c r="M8" s="349">
        <f>'Custos Sul e Sudeste'!M3*('Receita Sul e Suldeste'!$Q$3+'Receita Sul e Suldeste'!$Q$7)</f>
        <v>806131797.33499193</v>
      </c>
      <c r="N8" s="349">
        <f t="shared" si="0"/>
        <v>9830875577.2559986</v>
      </c>
    </row>
    <row r="9" spans="1:18" ht="17.25" customHeight="1" x14ac:dyDescent="0.25">
      <c r="A9" s="346" t="s">
        <v>144</v>
      </c>
      <c r="B9" s="191">
        <f>B2*$Q$10</f>
        <v>1876857680.0862217</v>
      </c>
      <c r="C9" s="191">
        <f>C2*$Q$10</f>
        <v>1614501230.1816959</v>
      </c>
      <c r="D9" s="191">
        <f>D2*$Q$10</f>
        <v>1715407557.0680521</v>
      </c>
      <c r="E9" s="191">
        <f>E2*$Q$10</f>
        <v>1614501230.1816959</v>
      </c>
      <c r="F9" s="191">
        <f>F2*$Q$10</f>
        <v>1816313883.9544079</v>
      </c>
      <c r="G9" s="191">
        <f>G2*$Q$10</f>
        <v>1574138699.4271533</v>
      </c>
      <c r="H9" s="191">
        <f>H2*$Q$10</f>
        <v>1614501230.1816959</v>
      </c>
      <c r="I9" s="191">
        <f>I2*$Q$10</f>
        <v>1614501230.1816959</v>
      </c>
      <c r="J9" s="191">
        <f>J2*$Q$10</f>
        <v>1493413637.9180686</v>
      </c>
      <c r="K9" s="191">
        <f>K2*$Q$10</f>
        <v>1493413637.9180686</v>
      </c>
      <c r="L9" s="191">
        <f>L2*$Q$10</f>
        <v>2098851599.2362049</v>
      </c>
      <c r="M9" s="191">
        <f>M2*$Q$10</f>
        <v>1654863760.9362385</v>
      </c>
      <c r="N9" s="191">
        <f t="shared" si="0"/>
        <v>20181265377.271198</v>
      </c>
      <c r="P9" s="347" t="s">
        <v>140</v>
      </c>
      <c r="Q9" s="347" t="s">
        <v>141</v>
      </c>
    </row>
    <row r="10" spans="1:18" ht="17.25" customHeight="1" x14ac:dyDescent="0.25">
      <c r="A10" s="346" t="s">
        <v>145</v>
      </c>
      <c r="B10" s="349">
        <f>B2*$Q$11</f>
        <v>1183149579.1467385</v>
      </c>
      <c r="C10" s="349">
        <f>C2*$Q$11</f>
        <v>1017763078.8359041</v>
      </c>
      <c r="D10" s="349">
        <f>D2*$Q$11</f>
        <v>1081373271.2631481</v>
      </c>
      <c r="E10" s="349">
        <f>E2*$Q$11</f>
        <v>1017763078.8359041</v>
      </c>
      <c r="F10" s="349">
        <f>F2*$Q$11</f>
        <v>1144983463.690392</v>
      </c>
      <c r="G10" s="349">
        <f>G2*$Q$11</f>
        <v>992319001.86500633</v>
      </c>
      <c r="H10" s="349">
        <f>H2*$Q$11</f>
        <v>1017763078.8359041</v>
      </c>
      <c r="I10" s="349">
        <f>I2*$Q$11</f>
        <v>1017763078.8359041</v>
      </c>
      <c r="J10" s="349">
        <f>J2*$Q$11</f>
        <v>941430847.92321122</v>
      </c>
      <c r="K10" s="349">
        <f>K2*$Q$11</f>
        <v>941430847.92321122</v>
      </c>
      <c r="L10" s="349">
        <f>L2*$Q$11</f>
        <v>1323092002.4866753</v>
      </c>
      <c r="M10" s="349">
        <f>M2*$Q$11</f>
        <v>1043207155.8068017</v>
      </c>
      <c r="N10" s="349">
        <f t="shared" si="0"/>
        <v>12722038485.448801</v>
      </c>
      <c r="P10" s="188" t="s">
        <v>124</v>
      </c>
      <c r="Q10" s="348">
        <f>Q2+R2+Q6</f>
        <v>15620.571</v>
      </c>
    </row>
    <row r="11" spans="1:18" x14ac:dyDescent="0.25">
      <c r="P11" s="188" t="s">
        <v>122</v>
      </c>
      <c r="Q11" s="348">
        <f>Q3+R3+Q7</f>
        <v>9847.0290000000005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219A-D967-4239-96CC-CBA36B9BC3EB}">
  <dimension ref="A1:R13"/>
  <sheetViews>
    <sheetView topLeftCell="H1" workbookViewId="0">
      <selection activeCell="N12" sqref="N12"/>
    </sheetView>
  </sheetViews>
  <sheetFormatPr defaultRowHeight="15" x14ac:dyDescent="0.25"/>
  <cols>
    <col min="1" max="1" width="16" style="195" bestFit="1" customWidth="1"/>
    <col min="2" max="13" width="15.28515625" style="195" bestFit="1" customWidth="1"/>
    <col min="14" max="14" width="16.140625" style="195" bestFit="1" customWidth="1"/>
    <col min="15" max="15" width="9.140625" style="195"/>
    <col min="16" max="16" width="17.42578125" style="195" bestFit="1" customWidth="1"/>
    <col min="17" max="17" width="20.85546875" style="195" bestFit="1" customWidth="1"/>
    <col min="18" max="16384" width="9.140625" style="195"/>
  </cols>
  <sheetData>
    <row r="1" spans="1:18" x14ac:dyDescent="0.25">
      <c r="A1" s="181" t="s">
        <v>131</v>
      </c>
      <c r="B1" s="181" t="s">
        <v>0</v>
      </c>
      <c r="C1" s="181" t="s">
        <v>1</v>
      </c>
      <c r="D1" s="181" t="s">
        <v>2</v>
      </c>
      <c r="E1" s="181" t="s">
        <v>3</v>
      </c>
      <c r="F1" s="181" t="s">
        <v>4</v>
      </c>
      <c r="G1" s="181" t="s">
        <v>5</v>
      </c>
      <c r="H1" s="181" t="s">
        <v>6</v>
      </c>
      <c r="I1" s="181" t="s">
        <v>7</v>
      </c>
      <c r="J1" s="181" t="s">
        <v>8</v>
      </c>
      <c r="K1" s="181" t="s">
        <v>9</v>
      </c>
      <c r="L1" s="181" t="s">
        <v>10</v>
      </c>
      <c r="M1" s="181" t="s">
        <v>11</v>
      </c>
      <c r="N1" s="181" t="s">
        <v>130</v>
      </c>
      <c r="O1" s="189"/>
      <c r="P1" s="182" t="s">
        <v>118</v>
      </c>
      <c r="Q1" s="183" t="s">
        <v>119</v>
      </c>
      <c r="R1" s="189"/>
    </row>
    <row r="2" spans="1:18" x14ac:dyDescent="0.25">
      <c r="A2" s="342" t="s">
        <v>12</v>
      </c>
      <c r="B2" s="190">
        <v>360458.84879999998</v>
      </c>
      <c r="C2" s="190">
        <v>310072.12800000003</v>
      </c>
      <c r="D2" s="190">
        <v>329451.63600000006</v>
      </c>
      <c r="E2" s="190">
        <v>310072.12800000003</v>
      </c>
      <c r="F2" s="190">
        <v>348831.14399999997</v>
      </c>
      <c r="G2" s="190">
        <v>302320.3248</v>
      </c>
      <c r="H2" s="190">
        <v>310072.12800000003</v>
      </c>
      <c r="I2" s="190">
        <v>310072.12800000003</v>
      </c>
      <c r="J2" s="190">
        <v>286816.71840000001</v>
      </c>
      <c r="K2" s="190">
        <v>286816.71840000001</v>
      </c>
      <c r="L2" s="190">
        <v>403093.76639999996</v>
      </c>
      <c r="M2" s="190">
        <v>317823.93120000005</v>
      </c>
      <c r="N2" s="351">
        <f>SUM(B2:M2)</f>
        <v>3875901.6000000006</v>
      </c>
      <c r="O2" s="189"/>
      <c r="P2" s="182" t="s">
        <v>124</v>
      </c>
      <c r="Q2" s="184">
        <v>11846.67</v>
      </c>
      <c r="R2" s="191">
        <f>Q2*0.3</f>
        <v>3554.0009999999997</v>
      </c>
    </row>
    <row r="3" spans="1:18" ht="24" x14ac:dyDescent="0.25">
      <c r="A3" s="343" t="s">
        <v>135</v>
      </c>
      <c r="B3" s="191">
        <f>B2*$Q$2</f>
        <v>4270237030.3134956</v>
      </c>
      <c r="C3" s="191">
        <f t="shared" ref="C3:M3" si="0">C2*$Q$2</f>
        <v>3673322176.6137605</v>
      </c>
      <c r="D3" s="191">
        <f t="shared" si="0"/>
        <v>3902904812.6521206</v>
      </c>
      <c r="E3" s="191">
        <f t="shared" si="0"/>
        <v>3673322176.6137605</v>
      </c>
      <c r="F3" s="191">
        <f t="shared" si="0"/>
        <v>4132487448.6904798</v>
      </c>
      <c r="G3" s="191">
        <f t="shared" si="0"/>
        <v>3581489122.1984162</v>
      </c>
      <c r="H3" s="191">
        <f t="shared" si="0"/>
        <v>3673322176.6137605</v>
      </c>
      <c r="I3" s="191">
        <f t="shared" si="0"/>
        <v>3673322176.6137605</v>
      </c>
      <c r="J3" s="191">
        <f t="shared" si="0"/>
        <v>3397823013.3677282</v>
      </c>
      <c r="K3" s="191">
        <f t="shared" si="0"/>
        <v>3397823013.3677282</v>
      </c>
      <c r="L3" s="191">
        <f t="shared" si="0"/>
        <v>4775318829.597888</v>
      </c>
      <c r="M3" s="191">
        <f t="shared" si="0"/>
        <v>3765155231.0291047</v>
      </c>
      <c r="N3" s="191">
        <f>SUM(B3:M3)</f>
        <v>45916527207.672005</v>
      </c>
      <c r="O3" s="189"/>
      <c r="P3" s="182" t="s">
        <v>122</v>
      </c>
      <c r="Q3" s="184">
        <v>7459.33</v>
      </c>
      <c r="R3" s="191">
        <f>Q3*0.3</f>
        <v>2237.799</v>
      </c>
    </row>
    <row r="4" spans="1:18" ht="24" x14ac:dyDescent="0.25">
      <c r="A4" s="343" t="s">
        <v>136</v>
      </c>
      <c r="B4" s="349">
        <f>B2*$Q$3</f>
        <v>2688781504.6193037</v>
      </c>
      <c r="C4" s="349">
        <f t="shared" ref="C4:M4" si="1">C2*$Q$3</f>
        <v>2312930326.5542402</v>
      </c>
      <c r="D4" s="349">
        <f t="shared" si="1"/>
        <v>2457488471.9638805</v>
      </c>
      <c r="E4" s="349">
        <f t="shared" si="1"/>
        <v>2312930326.5542402</v>
      </c>
      <c r="F4" s="349">
        <f t="shared" si="1"/>
        <v>2602046617.3735199</v>
      </c>
      <c r="G4" s="349">
        <f t="shared" si="1"/>
        <v>2255107068.3903842</v>
      </c>
      <c r="H4" s="349">
        <f t="shared" si="1"/>
        <v>2312930326.5542402</v>
      </c>
      <c r="I4" s="349">
        <f t="shared" si="1"/>
        <v>2312930326.5542402</v>
      </c>
      <c r="J4" s="349">
        <f t="shared" si="1"/>
        <v>2139460552.0626721</v>
      </c>
      <c r="K4" s="349">
        <f t="shared" si="1"/>
        <v>2139460552.0626721</v>
      </c>
      <c r="L4" s="349">
        <f t="shared" si="1"/>
        <v>3006809424.5205116</v>
      </c>
      <c r="M4" s="349">
        <f>M2*$Q$3</f>
        <v>2370753584.7180963</v>
      </c>
      <c r="N4" s="349">
        <f>SUM(B4:M4)</f>
        <v>28911629081.928005</v>
      </c>
      <c r="O4" s="189"/>
      <c r="P4" s="189" t="s">
        <v>137</v>
      </c>
      <c r="Q4" s="189"/>
      <c r="R4" s="189"/>
    </row>
    <row r="5" spans="1:18" x14ac:dyDescent="0.25">
      <c r="A5" s="343" t="s">
        <v>142</v>
      </c>
      <c r="B5" s="192">
        <f>B3*0.3</f>
        <v>1281071109.0940487</v>
      </c>
      <c r="C5" s="192">
        <f>C3*0.3</f>
        <v>1101996652.984128</v>
      </c>
      <c r="D5" s="192">
        <f>D3*0.3</f>
        <v>1170871443.7956362</v>
      </c>
      <c r="E5" s="192">
        <f>E3*0.3</f>
        <v>1101996652.984128</v>
      </c>
      <c r="F5" s="192">
        <f t="shared" ref="C4:R6" si="2">F3*0.3</f>
        <v>1239746234.6071439</v>
      </c>
      <c r="G5" s="192">
        <f t="shared" si="2"/>
        <v>1074446736.6595249</v>
      </c>
      <c r="H5" s="192">
        <f t="shared" si="2"/>
        <v>1101996652.984128</v>
      </c>
      <c r="I5" s="192">
        <f t="shared" si="2"/>
        <v>1101996652.984128</v>
      </c>
      <c r="J5" s="192">
        <f t="shared" si="2"/>
        <v>1019346904.0103184</v>
      </c>
      <c r="K5" s="192">
        <f t="shared" si="2"/>
        <v>1019346904.0103184</v>
      </c>
      <c r="L5" s="192">
        <f t="shared" si="2"/>
        <v>1432595648.8793664</v>
      </c>
      <c r="M5" s="192">
        <f t="shared" si="2"/>
        <v>1129546569.3087313</v>
      </c>
      <c r="N5" s="192">
        <f t="shared" si="2"/>
        <v>13774958162.301601</v>
      </c>
      <c r="O5" s="189"/>
      <c r="P5" s="186" t="s">
        <v>73</v>
      </c>
      <c r="Q5" s="185" t="s">
        <v>74</v>
      </c>
      <c r="R5" s="189"/>
    </row>
    <row r="6" spans="1:18" x14ac:dyDescent="0.25">
      <c r="A6" s="343" t="s">
        <v>143</v>
      </c>
      <c r="B6" s="350">
        <f>B4*0.3</f>
        <v>806634451.38579106</v>
      </c>
      <c r="C6" s="350">
        <f t="shared" si="2"/>
        <v>693879097.966272</v>
      </c>
      <c r="D6" s="350">
        <f t="shared" si="2"/>
        <v>737246541.58916414</v>
      </c>
      <c r="E6" s="350">
        <f t="shared" si="2"/>
        <v>693879097.966272</v>
      </c>
      <c r="F6" s="350">
        <f t="shared" si="2"/>
        <v>780613985.21205592</v>
      </c>
      <c r="G6" s="350">
        <f t="shared" si="2"/>
        <v>676532120.51711524</v>
      </c>
      <c r="H6" s="350">
        <f t="shared" si="2"/>
        <v>693879097.966272</v>
      </c>
      <c r="I6" s="350">
        <f t="shared" si="2"/>
        <v>693879097.966272</v>
      </c>
      <c r="J6" s="350">
        <f t="shared" si="2"/>
        <v>641838165.61880159</v>
      </c>
      <c r="K6" s="350">
        <f t="shared" si="2"/>
        <v>641838165.61880159</v>
      </c>
      <c r="L6" s="350">
        <f t="shared" si="2"/>
        <v>902042827.35615349</v>
      </c>
      <c r="M6" s="350">
        <f t="shared" si="2"/>
        <v>711226075.41542888</v>
      </c>
      <c r="N6" s="349">
        <f>'Custos Sul e Sudeste'!N3*('Receita Sul e Suldeste'!$Q$2+'Receita Sul e Suldeste'!$Q$6)</f>
        <v>15589612656.504002</v>
      </c>
      <c r="O6" s="189"/>
      <c r="P6" s="187" t="s">
        <v>77</v>
      </c>
      <c r="Q6" s="344">
        <v>219.9</v>
      </c>
      <c r="R6" s="189"/>
    </row>
    <row r="7" spans="1:18" x14ac:dyDescent="0.25">
      <c r="A7" s="345" t="s">
        <v>138</v>
      </c>
      <c r="B7" s="191">
        <f>B2*$Q$6</f>
        <v>79264900.851119995</v>
      </c>
      <c r="C7" s="191">
        <f t="shared" ref="C7:N7" si="3">C2*$Q$6</f>
        <v>68184860.9472</v>
      </c>
      <c r="D7" s="191">
        <f t="shared" si="3"/>
        <v>72446414.756400019</v>
      </c>
      <c r="E7" s="191">
        <f t="shared" si="3"/>
        <v>68184860.9472</v>
      </c>
      <c r="F7" s="191">
        <f t="shared" si="3"/>
        <v>76707968.565599993</v>
      </c>
      <c r="G7" s="191">
        <f t="shared" si="3"/>
        <v>66480239.423519999</v>
      </c>
      <c r="H7" s="191">
        <f t="shared" si="3"/>
        <v>68184860.9472</v>
      </c>
      <c r="I7" s="191">
        <f t="shared" si="3"/>
        <v>68184860.9472</v>
      </c>
      <c r="J7" s="191">
        <f t="shared" si="3"/>
        <v>63070996.376160003</v>
      </c>
      <c r="K7" s="191">
        <f t="shared" si="3"/>
        <v>63070996.376160003</v>
      </c>
      <c r="L7" s="191">
        <f t="shared" si="3"/>
        <v>88640319.231359988</v>
      </c>
      <c r="M7" s="191">
        <f t="shared" si="3"/>
        <v>69889482.470880017</v>
      </c>
      <c r="N7" s="191">
        <f t="shared" si="3"/>
        <v>852310761.84000015</v>
      </c>
      <c r="O7" s="189"/>
      <c r="P7" s="187" t="s">
        <v>81</v>
      </c>
      <c r="Q7" s="344">
        <v>149.9</v>
      </c>
      <c r="R7" s="189"/>
    </row>
    <row r="8" spans="1:18" x14ac:dyDescent="0.25">
      <c r="A8" s="345" t="s">
        <v>139</v>
      </c>
      <c r="B8" s="349">
        <f>B2*$Q$7</f>
        <v>54032781.435120001</v>
      </c>
      <c r="C8" s="349">
        <f t="shared" ref="C8:N8" si="4">C2*$Q$7</f>
        <v>46479811.987200007</v>
      </c>
      <c r="D8" s="349">
        <f t="shared" si="4"/>
        <v>49384800.236400008</v>
      </c>
      <c r="E8" s="349">
        <f t="shared" si="4"/>
        <v>46479811.987200007</v>
      </c>
      <c r="F8" s="349">
        <f t="shared" si="4"/>
        <v>52289788.485599995</v>
      </c>
      <c r="G8" s="349">
        <f t="shared" si="4"/>
        <v>45317816.687520005</v>
      </c>
      <c r="H8" s="349">
        <f t="shared" si="4"/>
        <v>46479811.987200007</v>
      </c>
      <c r="I8" s="349">
        <f t="shared" si="4"/>
        <v>46479811.987200007</v>
      </c>
      <c r="J8" s="349">
        <f t="shared" si="4"/>
        <v>42993826.088160001</v>
      </c>
      <c r="K8" s="349">
        <f t="shared" si="4"/>
        <v>42993826.088160001</v>
      </c>
      <c r="L8" s="349">
        <f t="shared" si="4"/>
        <v>60423755.583359994</v>
      </c>
      <c r="M8" s="349">
        <f t="shared" si="4"/>
        <v>47641807.286880009</v>
      </c>
      <c r="N8" s="349">
        <f t="shared" si="4"/>
        <v>580997649.84000015</v>
      </c>
      <c r="O8" s="189"/>
      <c r="P8" s="189"/>
      <c r="Q8" s="189"/>
      <c r="R8" s="189"/>
    </row>
    <row r="9" spans="1:18" x14ac:dyDescent="0.25">
      <c r="A9" s="346" t="s">
        <v>144</v>
      </c>
      <c r="B9" s="191">
        <f>B2*$Q$10</f>
        <v>5630573040.2586641</v>
      </c>
      <c r="C9" s="191">
        <f>C2*$Q$10</f>
        <v>4843503690.5450888</v>
      </c>
      <c r="D9" s="191">
        <f>D2*$Q$10</f>
        <v>5146222671.2041569</v>
      </c>
      <c r="E9" s="191">
        <f>E2*$Q$10</f>
        <v>4843503690.5450888</v>
      </c>
      <c r="F9" s="191">
        <f>F2*$Q$10</f>
        <v>5448941651.8632231</v>
      </c>
      <c r="G9" s="191">
        <f>G2*$Q$10</f>
        <v>4722416098.2814608</v>
      </c>
      <c r="H9" s="191">
        <f>H2*$Q$10</f>
        <v>4843503690.5450888</v>
      </c>
      <c r="I9" s="191">
        <f>I2*$Q$10</f>
        <v>4843503690.5450888</v>
      </c>
      <c r="J9" s="191">
        <f>J2*$Q$10</f>
        <v>4480240913.7542067</v>
      </c>
      <c r="K9" s="191">
        <f>K2*$Q$10</f>
        <v>4480240913.7542067</v>
      </c>
      <c r="L9" s="191">
        <f>L2*$Q$10</f>
        <v>6296554797.7086134</v>
      </c>
      <c r="M9" s="191">
        <f>M2*$Q$10</f>
        <v>4964591282.8087158</v>
      </c>
      <c r="N9" s="189"/>
      <c r="O9" s="189"/>
      <c r="P9" s="347" t="s">
        <v>140</v>
      </c>
      <c r="Q9" s="347" t="s">
        <v>141</v>
      </c>
      <c r="R9" s="189"/>
    </row>
    <row r="10" spans="1:18" x14ac:dyDescent="0.25">
      <c r="A10" s="346" t="s">
        <v>145</v>
      </c>
      <c r="B10" s="349">
        <f>B2*$Q$11</f>
        <v>3549448737.4402151</v>
      </c>
      <c r="C10" s="349">
        <f>C2*$Q$11</f>
        <v>3053289236.5077124</v>
      </c>
      <c r="D10" s="349">
        <f>D2*$Q$11</f>
        <v>3244119813.7894449</v>
      </c>
      <c r="E10" s="349">
        <f>E2*$Q$11</f>
        <v>3053289236.5077124</v>
      </c>
      <c r="F10" s="349">
        <f>F2*$Q$11</f>
        <v>3434950391.0711761</v>
      </c>
      <c r="G10" s="349">
        <f>G2*$Q$11</f>
        <v>2976957005.5950193</v>
      </c>
      <c r="H10" s="349">
        <f>H2*$Q$11</f>
        <v>3053289236.5077124</v>
      </c>
      <c r="I10" s="349">
        <f>I2*$Q$11</f>
        <v>3053289236.5077124</v>
      </c>
      <c r="J10" s="349">
        <f>J2*$Q$11</f>
        <v>2824292543.7696338</v>
      </c>
      <c r="K10" s="349">
        <f>K2*$Q$11</f>
        <v>2824292543.7696338</v>
      </c>
      <c r="L10" s="349">
        <f>L2*$Q$11</f>
        <v>3969276007.4600253</v>
      </c>
      <c r="M10" s="349">
        <f>M2*$Q$11</f>
        <v>3129621467.4204054</v>
      </c>
      <c r="N10" s="190"/>
      <c r="O10" s="189"/>
      <c r="P10" s="188" t="s">
        <v>124</v>
      </c>
      <c r="Q10" s="348">
        <f>Q2+R2+Q6</f>
        <v>15620.571</v>
      </c>
      <c r="R10" s="189"/>
    </row>
    <row r="11" spans="1:18" x14ac:dyDescent="0.25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8" t="s">
        <v>122</v>
      </c>
      <c r="Q11" s="348">
        <f>Q3+R3+Q7</f>
        <v>9847.0290000000005</v>
      </c>
      <c r="R11" s="189"/>
    </row>
    <row r="12" spans="1:18" x14ac:dyDescent="0.25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</row>
    <row r="13" spans="1:18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6362-0AAE-4C31-B528-C577DAD278B5}">
  <dimension ref="A1:R13"/>
  <sheetViews>
    <sheetView workbookViewId="0">
      <selection activeCell="F14" sqref="F14"/>
    </sheetView>
  </sheetViews>
  <sheetFormatPr defaultRowHeight="15" x14ac:dyDescent="0.25"/>
  <cols>
    <col min="1" max="1" width="16" style="195" bestFit="1" customWidth="1"/>
    <col min="2" max="13" width="15.28515625" style="195" bestFit="1" customWidth="1"/>
    <col min="14" max="14" width="16.140625" style="195" bestFit="1" customWidth="1"/>
    <col min="15" max="15" width="9.140625" style="195"/>
    <col min="16" max="16" width="17.42578125" style="195" bestFit="1" customWidth="1"/>
    <col min="17" max="17" width="20.85546875" style="195" bestFit="1" customWidth="1"/>
    <col min="18" max="16384" width="9.140625" style="195"/>
  </cols>
  <sheetData>
    <row r="1" spans="1:18" x14ac:dyDescent="0.25">
      <c r="A1" s="181" t="s">
        <v>131</v>
      </c>
      <c r="B1" s="181" t="s">
        <v>0</v>
      </c>
      <c r="C1" s="181" t="s">
        <v>1</v>
      </c>
      <c r="D1" s="181" t="s">
        <v>2</v>
      </c>
      <c r="E1" s="181" t="s">
        <v>3</v>
      </c>
      <c r="F1" s="181" t="s">
        <v>4</v>
      </c>
      <c r="G1" s="181" t="s">
        <v>5</v>
      </c>
      <c r="H1" s="181" t="s">
        <v>6</v>
      </c>
      <c r="I1" s="181" t="s">
        <v>7</v>
      </c>
      <c r="J1" s="181" t="s">
        <v>8</v>
      </c>
      <c r="K1" s="181" t="s">
        <v>9</v>
      </c>
      <c r="L1" s="181" t="s">
        <v>10</v>
      </c>
      <c r="M1" s="181" t="s">
        <v>11</v>
      </c>
      <c r="N1" s="181" t="s">
        <v>130</v>
      </c>
      <c r="O1" s="189"/>
      <c r="P1" s="182" t="s">
        <v>118</v>
      </c>
      <c r="Q1" s="183" t="s">
        <v>119</v>
      </c>
      <c r="R1" s="189"/>
    </row>
    <row r="2" spans="1:18" x14ac:dyDescent="0.25">
      <c r="A2" s="342" t="s">
        <v>12</v>
      </c>
      <c r="B2" s="190">
        <v>120152.94960000001</v>
      </c>
      <c r="C2" s="190">
        <v>103357.376</v>
      </c>
      <c r="D2" s="190">
        <v>109817.212</v>
      </c>
      <c r="E2" s="190">
        <v>103357.376</v>
      </c>
      <c r="F2" s="190">
        <v>116277.048</v>
      </c>
      <c r="G2" s="190">
        <v>100773.44159999999</v>
      </c>
      <c r="H2" s="190">
        <v>103357.376</v>
      </c>
      <c r="I2" s="190">
        <v>103357.376</v>
      </c>
      <c r="J2" s="190">
        <v>95605.572799999994</v>
      </c>
      <c r="K2" s="190">
        <v>95605.572799999994</v>
      </c>
      <c r="L2" s="190">
        <v>134364.5888</v>
      </c>
      <c r="M2" s="190">
        <v>105941.3104</v>
      </c>
      <c r="N2" s="193">
        <f>SUM(B2:M2)</f>
        <v>1291967.2000000002</v>
      </c>
      <c r="O2" s="189"/>
      <c r="P2" s="182" t="s">
        <v>124</v>
      </c>
      <c r="Q2" s="184">
        <v>11846.67</v>
      </c>
      <c r="R2" s="191">
        <f>Q2*0.3</f>
        <v>3554.0009999999997</v>
      </c>
    </row>
    <row r="3" spans="1:18" ht="24" x14ac:dyDescent="0.25">
      <c r="A3" s="343" t="s">
        <v>135</v>
      </c>
      <c r="B3" s="191">
        <f>B2*'Receita Sul e Suldeste'!$Q$2</f>
        <v>1423412343.4378321</v>
      </c>
      <c r="C3" s="191">
        <f>C2*'Receita Sul e Suldeste'!$Q$2</f>
        <v>1224440725.53792</v>
      </c>
      <c r="D3" s="191">
        <f>D2*'Receita Sul e Suldeste'!$Q$2</f>
        <v>1300968270.8840401</v>
      </c>
      <c r="E3" s="191">
        <f>E2*'Receita Sul e Suldeste'!$Q$2</f>
        <v>1224440725.53792</v>
      </c>
      <c r="F3" s="191">
        <f>F2*'Receita Sul e Suldeste'!$Q$2</f>
        <v>1377495816.23016</v>
      </c>
      <c r="G3" s="191">
        <f>G2*'Receita Sul e Suldeste'!$Q$2</f>
        <v>1193829707.399472</v>
      </c>
      <c r="H3" s="191">
        <f>H2*'Receita Sul e Suldeste'!$Q$2</f>
        <v>1224440725.53792</v>
      </c>
      <c r="I3" s="191">
        <f>I2*'Receita Sul e Suldeste'!$Q$2</f>
        <v>1224440725.53792</v>
      </c>
      <c r="J3" s="191">
        <f>J2*'Receita Sul e Suldeste'!$Q$2</f>
        <v>1132607671.122576</v>
      </c>
      <c r="K3" s="191">
        <f>K2*'Receita Sul e Suldeste'!$Q$2</f>
        <v>1132607671.122576</v>
      </c>
      <c r="L3" s="191">
        <f>L2*'Receita Sul e Suldeste'!$Q$2</f>
        <v>1591772943.199296</v>
      </c>
      <c r="M3" s="191">
        <f>M2*'Receita Sul e Suldeste'!$Q$2</f>
        <v>1255051743.676368</v>
      </c>
      <c r="N3" s="191">
        <f>SUM(B3:M3)</f>
        <v>15305509069.223999</v>
      </c>
      <c r="O3" s="189"/>
      <c r="P3" s="182" t="s">
        <v>122</v>
      </c>
      <c r="Q3" s="184">
        <v>7459.33</v>
      </c>
      <c r="R3" s="191">
        <f>Q3*0.3</f>
        <v>2237.799</v>
      </c>
    </row>
    <row r="4" spans="1:18" ht="24" x14ac:dyDescent="0.25">
      <c r="A4" s="343" t="s">
        <v>136</v>
      </c>
      <c r="B4" s="349">
        <f>B2*'Receita Sul e Suldeste'!$Q$3</f>
        <v>896260501.5397681</v>
      </c>
      <c r="C4" s="349">
        <f>C2*'Receita Sul e Suldeste'!$Q$3</f>
        <v>770976775.51808</v>
      </c>
      <c r="D4" s="349">
        <f>D2*'Receita Sul e Suldeste'!$Q$3</f>
        <v>819162823.98795998</v>
      </c>
      <c r="E4" s="349">
        <f>E2*'Receita Sul e Suldeste'!$Q$3</f>
        <v>770976775.51808</v>
      </c>
      <c r="F4" s="349">
        <f>F2*'Receita Sul e Suldeste'!$Q$3</f>
        <v>867348872.45783997</v>
      </c>
      <c r="G4" s="349">
        <f>G2*'Receita Sul e Suldeste'!$Q$3</f>
        <v>751702356.13012791</v>
      </c>
      <c r="H4" s="349">
        <f>H2*'Receita Sul e Suldeste'!$Q$3</f>
        <v>770976775.51808</v>
      </c>
      <c r="I4" s="349">
        <f>I2*'Receita Sul e Suldeste'!$Q$3</f>
        <v>770976775.51808</v>
      </c>
      <c r="J4" s="349">
        <f>J2*'Receita Sul e Suldeste'!$Q$3</f>
        <v>713153517.35422397</v>
      </c>
      <c r="K4" s="349">
        <f>K2*'Receita Sul e Suldeste'!$Q$3</f>
        <v>713153517.35422397</v>
      </c>
      <c r="L4" s="349">
        <f>L2*'Receita Sul e Suldeste'!$Q$3</f>
        <v>1002269808.173504</v>
      </c>
      <c r="M4" s="349">
        <f>M2*'Receita Sul e Suldeste'!$Q$3</f>
        <v>790251194.90603197</v>
      </c>
      <c r="N4" s="349">
        <f>SUM(B4:M4)</f>
        <v>9637209693.9759998</v>
      </c>
      <c r="O4" s="189"/>
      <c r="P4" s="189" t="s">
        <v>137</v>
      </c>
      <c r="Q4" s="189"/>
      <c r="R4" s="189"/>
    </row>
    <row r="5" spans="1:18" x14ac:dyDescent="0.25">
      <c r="A5" s="343" t="s">
        <v>142</v>
      </c>
      <c r="B5" s="192">
        <f>B3*0.3</f>
        <v>427023703.0313496</v>
      </c>
      <c r="C5" s="192">
        <f>C3*0.3</f>
        <v>367332217.661376</v>
      </c>
      <c r="D5" s="192">
        <f>D3*0.3</f>
        <v>390290481.265212</v>
      </c>
      <c r="E5" s="192">
        <f>E3*0.3</f>
        <v>367332217.661376</v>
      </c>
      <c r="F5" s="192">
        <f t="shared" ref="C4:R6" si="0">F3*0.3</f>
        <v>413248744.869048</v>
      </c>
      <c r="G5" s="192">
        <f t="shared" si="0"/>
        <v>358148912.2198416</v>
      </c>
      <c r="H5" s="192">
        <f t="shared" si="0"/>
        <v>367332217.661376</v>
      </c>
      <c r="I5" s="192">
        <f t="shared" si="0"/>
        <v>367332217.661376</v>
      </c>
      <c r="J5" s="192">
        <f t="shared" si="0"/>
        <v>339782301.3367728</v>
      </c>
      <c r="K5" s="192">
        <f t="shared" si="0"/>
        <v>339782301.3367728</v>
      </c>
      <c r="L5" s="192">
        <f t="shared" si="0"/>
        <v>477531882.9597888</v>
      </c>
      <c r="M5" s="192">
        <f t="shared" si="0"/>
        <v>376515523.1029104</v>
      </c>
      <c r="N5" s="191">
        <f t="shared" ref="N5:N10" si="1">SUM(B5:M5)</f>
        <v>4591652720.7672005</v>
      </c>
      <c r="O5" s="189"/>
      <c r="P5" s="186" t="s">
        <v>73</v>
      </c>
      <c r="Q5" s="185" t="s">
        <v>74</v>
      </c>
      <c r="R5" s="189"/>
    </row>
    <row r="6" spans="1:18" x14ac:dyDescent="0.25">
      <c r="A6" s="343" t="s">
        <v>143</v>
      </c>
      <c r="B6" s="350">
        <f>B4*0.3</f>
        <v>268878150.46193039</v>
      </c>
      <c r="C6" s="350">
        <f t="shared" si="0"/>
        <v>231293032.655424</v>
      </c>
      <c r="D6" s="350">
        <f t="shared" si="0"/>
        <v>245748847.19638798</v>
      </c>
      <c r="E6" s="350">
        <f t="shared" si="0"/>
        <v>231293032.655424</v>
      </c>
      <c r="F6" s="350">
        <f t="shared" si="0"/>
        <v>260204661.73735198</v>
      </c>
      <c r="G6" s="350">
        <f t="shared" si="0"/>
        <v>225510706.83903837</v>
      </c>
      <c r="H6" s="350">
        <f t="shared" si="0"/>
        <v>231293032.655424</v>
      </c>
      <c r="I6" s="350">
        <f t="shared" si="0"/>
        <v>231293032.655424</v>
      </c>
      <c r="J6" s="350">
        <f t="shared" si="0"/>
        <v>213946055.20626718</v>
      </c>
      <c r="K6" s="350">
        <f t="shared" si="0"/>
        <v>213946055.20626718</v>
      </c>
      <c r="L6" s="350">
        <f t="shared" si="0"/>
        <v>300680942.45205116</v>
      </c>
      <c r="M6" s="350">
        <f t="shared" si="0"/>
        <v>237075358.4718096</v>
      </c>
      <c r="N6" s="349">
        <f t="shared" si="1"/>
        <v>2891162908.1927996</v>
      </c>
      <c r="O6" s="189"/>
      <c r="P6" s="187" t="s">
        <v>77</v>
      </c>
      <c r="Q6" s="344">
        <v>219.9</v>
      </c>
      <c r="R6" s="189"/>
    </row>
    <row r="7" spans="1:18" x14ac:dyDescent="0.25">
      <c r="A7" s="345" t="s">
        <v>138</v>
      </c>
      <c r="B7" s="191">
        <f>'Custos Sul e Sudeste'!B3*('Receita Sul e Suldeste'!$Q$2+'Receita Sul e Suldeste'!$Q$6)</f>
        <v>1449833977.0548718</v>
      </c>
      <c r="C7" s="191">
        <f>'Custos Sul e Sudeste'!C3*('Receita Sul e Suldeste'!$Q$2+'Receita Sul e Suldeste'!$Q$6)</f>
        <v>1247169012.5203199</v>
      </c>
      <c r="D7" s="191">
        <f>'Custos Sul e Sudeste'!D3*('Receita Sul e Suldeste'!$Q$2+'Receita Sul e Suldeste'!$Q$6)</f>
        <v>1325117075.80284</v>
      </c>
      <c r="E7" s="191">
        <f>'Custos Sul e Sudeste'!E3*('Receita Sul e Suldeste'!$Q$2+'Receita Sul e Suldeste'!$Q$6)</f>
        <v>1247169012.5203199</v>
      </c>
      <c r="F7" s="191">
        <f>'Custos Sul e Sudeste'!F3*('Receita Sul e Suldeste'!$Q$2+'Receita Sul e Suldeste'!$Q$6)</f>
        <v>1403065139.0853598</v>
      </c>
      <c r="G7" s="191">
        <f>'Custos Sul e Sudeste'!G3*('Receita Sul e Suldeste'!$Q$2+'Receita Sul e Suldeste'!$Q$6)</f>
        <v>1215989787.2073119</v>
      </c>
      <c r="H7" s="191">
        <f>'Custos Sul e Sudeste'!H3*('Receita Sul e Suldeste'!$Q$2+'Receita Sul e Suldeste'!$Q$6)</f>
        <v>1247169012.5203199</v>
      </c>
      <c r="I7" s="191">
        <f>'Custos Sul e Sudeste'!I3*('Receita Sul e Suldeste'!$Q$2+'Receita Sul e Suldeste'!$Q$6)</f>
        <v>1247169012.5203199</v>
      </c>
      <c r="J7" s="191">
        <f>'Custos Sul e Sudeste'!J3*('Receita Sul e Suldeste'!$Q$2+'Receita Sul e Suldeste'!$Q$6)</f>
        <v>1153631336.581296</v>
      </c>
      <c r="K7" s="191">
        <f>'Custos Sul e Sudeste'!K3*('Receita Sul e Suldeste'!$Q$2+'Receita Sul e Suldeste'!$Q$6)</f>
        <v>1153631336.581296</v>
      </c>
      <c r="L7" s="191">
        <f>'Custos Sul e Sudeste'!L3*('Receita Sul e Suldeste'!$Q$2+'Receita Sul e Suldeste'!$Q$6)</f>
        <v>1621319716.2764158</v>
      </c>
      <c r="M7" s="191">
        <f>'Custos Sul e Sudeste'!M3*('Receita Sul e Suldeste'!$Q$2+'Receita Sul e Suldeste'!$Q$6)</f>
        <v>1278348237.833328</v>
      </c>
      <c r="N7" s="191">
        <f t="shared" si="1"/>
        <v>15589612656.503998</v>
      </c>
      <c r="O7" s="189"/>
      <c r="P7" s="187" t="s">
        <v>81</v>
      </c>
      <c r="Q7" s="344">
        <v>149.9</v>
      </c>
      <c r="R7" s="189"/>
    </row>
    <row r="8" spans="1:18" x14ac:dyDescent="0.25">
      <c r="A8" s="345" t="s">
        <v>139</v>
      </c>
      <c r="B8" s="349">
        <f>'Custos Sul e Sudeste'!B3*('Receita Sul e Suldeste'!$Q$3+'Receita Sul e Suldeste'!$Q$7)</f>
        <v>914271428.6848079</v>
      </c>
      <c r="C8" s="349">
        <f>'Custos Sul e Sudeste'!C3*('Receita Sul e Suldeste'!$Q$3+'Receita Sul e Suldeste'!$Q$7)</f>
        <v>786470046.18048</v>
      </c>
      <c r="D8" s="349">
        <f>'Custos Sul e Sudeste'!D3*('Receita Sul e Suldeste'!$Q$3+'Receita Sul e Suldeste'!$Q$7)</f>
        <v>835624424.06675994</v>
      </c>
      <c r="E8" s="349">
        <f>'Custos Sul e Sudeste'!E3*('Receita Sul e Suldeste'!$Q$3+'Receita Sul e Suldeste'!$Q$7)</f>
        <v>786470046.18048</v>
      </c>
      <c r="F8" s="349">
        <f>'Custos Sul e Sudeste'!F3*('Receita Sul e Suldeste'!$Q$3+'Receita Sul e Suldeste'!$Q$7)</f>
        <v>884778801.95303988</v>
      </c>
      <c r="G8" s="349">
        <f>'Custos Sul e Sudeste'!G3*('Receita Sul e Suldeste'!$Q$3+'Receita Sul e Suldeste'!$Q$7)</f>
        <v>766808295.02596784</v>
      </c>
      <c r="H8" s="349">
        <f>'Custos Sul e Sudeste'!H3*('Receita Sul e Suldeste'!$Q$3+'Receita Sul e Suldeste'!$Q$7)</f>
        <v>786470046.18048</v>
      </c>
      <c r="I8" s="349">
        <f>'Custos Sul e Sudeste'!I3*('Receita Sul e Suldeste'!$Q$3+'Receita Sul e Suldeste'!$Q$7)</f>
        <v>786470046.18048</v>
      </c>
      <c r="J8" s="349">
        <f>'Custos Sul e Sudeste'!J3*('Receita Sul e Suldeste'!$Q$3+'Receita Sul e Suldeste'!$Q$7)</f>
        <v>727484792.71694386</v>
      </c>
      <c r="K8" s="349">
        <f>'Custos Sul e Sudeste'!K3*('Receita Sul e Suldeste'!$Q$3+'Receita Sul e Suldeste'!$Q$7)</f>
        <v>727484792.71694386</v>
      </c>
      <c r="L8" s="349">
        <f>'Custos Sul e Sudeste'!L3*('Receita Sul e Suldeste'!$Q$3+'Receita Sul e Suldeste'!$Q$7)</f>
        <v>1022411060.034624</v>
      </c>
      <c r="M8" s="349">
        <f>'Custos Sul e Sudeste'!M3*('Receita Sul e Suldeste'!$Q$3+'Receita Sul e Suldeste'!$Q$7)</f>
        <v>806131797.33499193</v>
      </c>
      <c r="N8" s="349">
        <f>SUM(B8:M8)</f>
        <v>9830875577.2559986</v>
      </c>
      <c r="O8" s="189"/>
      <c r="P8" s="189"/>
      <c r="Q8" s="189"/>
      <c r="R8" s="189"/>
    </row>
    <row r="9" spans="1:18" x14ac:dyDescent="0.25">
      <c r="A9" s="346" t="s">
        <v>144</v>
      </c>
      <c r="B9" s="191">
        <f>B2*$Q$10</f>
        <v>1876857680.0862217</v>
      </c>
      <c r="C9" s="191">
        <f>C2*$Q$10</f>
        <v>1614501230.1816959</v>
      </c>
      <c r="D9" s="191">
        <f>D2*$Q$10</f>
        <v>1715407557.0680521</v>
      </c>
      <c r="E9" s="191">
        <f>E2*$Q$10</f>
        <v>1614501230.1816959</v>
      </c>
      <c r="F9" s="191">
        <f>F2*$Q$10</f>
        <v>1816313883.9544079</v>
      </c>
      <c r="G9" s="191">
        <f>G2*$Q$10</f>
        <v>1574138699.4271533</v>
      </c>
      <c r="H9" s="191">
        <f>H2*$Q$10</f>
        <v>1614501230.1816959</v>
      </c>
      <c r="I9" s="191">
        <f>I2*$Q$10</f>
        <v>1614501230.1816959</v>
      </c>
      <c r="J9" s="191">
        <f>J2*$Q$10</f>
        <v>1493413637.9180686</v>
      </c>
      <c r="K9" s="191">
        <f>K2*$Q$10</f>
        <v>1493413637.9180686</v>
      </c>
      <c r="L9" s="191">
        <f>L2*$Q$10</f>
        <v>2098851599.2362049</v>
      </c>
      <c r="M9" s="191">
        <f>M2*$Q$10</f>
        <v>1654863760.9362385</v>
      </c>
      <c r="N9" s="191">
        <f>SUM(B9:M9)</f>
        <v>20181265377.271198</v>
      </c>
      <c r="O9" s="189"/>
      <c r="P9" s="347" t="s">
        <v>140</v>
      </c>
      <c r="Q9" s="347" t="s">
        <v>141</v>
      </c>
      <c r="R9" s="189"/>
    </row>
    <row r="10" spans="1:18" x14ac:dyDescent="0.25">
      <c r="A10" s="346" t="s">
        <v>145</v>
      </c>
      <c r="B10" s="349">
        <f>B2*$Q$11</f>
        <v>1183149579.1467385</v>
      </c>
      <c r="C10" s="349">
        <f>C2*$Q$11</f>
        <v>1017763078.8359041</v>
      </c>
      <c r="D10" s="349">
        <f>D2*$Q$11</f>
        <v>1081373271.2631481</v>
      </c>
      <c r="E10" s="349">
        <f>E2*$Q$11</f>
        <v>1017763078.8359041</v>
      </c>
      <c r="F10" s="349">
        <f>F2*$Q$11</f>
        <v>1144983463.690392</v>
      </c>
      <c r="G10" s="349">
        <f>G2*$Q$11</f>
        <v>992319001.86500633</v>
      </c>
      <c r="H10" s="349">
        <f>H2*$Q$11</f>
        <v>1017763078.8359041</v>
      </c>
      <c r="I10" s="349">
        <f>I2*$Q$11</f>
        <v>1017763078.8359041</v>
      </c>
      <c r="J10" s="349">
        <f>J2*$Q$11</f>
        <v>941430847.92321122</v>
      </c>
      <c r="K10" s="349">
        <f>K2*$Q$11</f>
        <v>941430847.92321122</v>
      </c>
      <c r="L10" s="349">
        <f>L2*$Q$11</f>
        <v>1323092002.4866753</v>
      </c>
      <c r="M10" s="349">
        <f>M2*$Q$11</f>
        <v>1043207155.8068017</v>
      </c>
      <c r="N10" s="349">
        <f t="shared" si="1"/>
        <v>12722038485.448801</v>
      </c>
      <c r="O10" s="189"/>
      <c r="P10" s="188" t="s">
        <v>124</v>
      </c>
      <c r="Q10" s="348">
        <f>Q2+R2+Q6</f>
        <v>15620.571</v>
      </c>
      <c r="R10" s="189"/>
    </row>
    <row r="11" spans="1:18" x14ac:dyDescent="0.25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8" t="s">
        <v>122</v>
      </c>
      <c r="Q11" s="348">
        <f>Q3+R3+Q7</f>
        <v>9847.0290000000005</v>
      </c>
      <c r="R11" s="189"/>
    </row>
    <row r="12" spans="1:18" x14ac:dyDescent="0.25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</row>
    <row r="13" spans="1:18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31AC-323A-423B-A3D2-DAB2E6CDFC27}">
  <dimension ref="A1:N13"/>
  <sheetViews>
    <sheetView showGridLines="0" workbookViewId="0">
      <selection activeCell="E20" sqref="E20"/>
    </sheetView>
  </sheetViews>
  <sheetFormatPr defaultRowHeight="15" x14ac:dyDescent="0.25"/>
  <cols>
    <col min="1" max="1" width="17.85546875" bestFit="1" customWidth="1"/>
    <col min="2" max="13" width="18.140625" style="98" bestFit="1" customWidth="1"/>
    <col min="14" max="14" width="19.140625" style="98" bestFit="1" customWidth="1"/>
  </cols>
  <sheetData>
    <row r="1" spans="1:14" x14ac:dyDescent="0.25">
      <c r="A1" s="239" t="s">
        <v>164</v>
      </c>
      <c r="B1" s="239" t="s">
        <v>0</v>
      </c>
      <c r="C1" s="239" t="s">
        <v>1</v>
      </c>
      <c r="D1" s="239" t="s">
        <v>2</v>
      </c>
      <c r="E1" s="239" t="s">
        <v>3</v>
      </c>
      <c r="F1" s="239" t="s">
        <v>4</v>
      </c>
      <c r="G1" s="239" t="s">
        <v>5</v>
      </c>
      <c r="H1" s="239" t="s">
        <v>6</v>
      </c>
      <c r="I1" s="239" t="s">
        <v>7</v>
      </c>
      <c r="J1" s="239" t="s">
        <v>8</v>
      </c>
      <c r="K1" s="239" t="s">
        <v>9</v>
      </c>
      <c r="L1" s="239" t="s">
        <v>10</v>
      </c>
      <c r="M1" s="239" t="s">
        <v>11</v>
      </c>
      <c r="N1" s="239" t="s">
        <v>152</v>
      </c>
    </row>
    <row r="2" spans="1:14" x14ac:dyDescent="0.25">
      <c r="A2" s="238" t="s">
        <v>166</v>
      </c>
      <c r="B2" s="240">
        <v>9.2999999999999999E-2</v>
      </c>
      <c r="C2" s="240">
        <v>0.08</v>
      </c>
      <c r="D2" s="240">
        <v>8.5000000000000006E-2</v>
      </c>
      <c r="E2" s="240">
        <v>0.08</v>
      </c>
      <c r="F2" s="240">
        <v>0.09</v>
      </c>
      <c r="G2" s="240">
        <v>7.8E-2</v>
      </c>
      <c r="H2" s="240">
        <v>0.08</v>
      </c>
      <c r="I2" s="240">
        <v>0.08</v>
      </c>
      <c r="J2" s="240">
        <v>7.3999999999999996E-2</v>
      </c>
      <c r="K2" s="240">
        <v>7.3999999999999996E-2</v>
      </c>
      <c r="L2" s="240">
        <v>0.104</v>
      </c>
      <c r="M2" s="240">
        <v>8.2000000000000003E-2</v>
      </c>
      <c r="N2" s="241">
        <f>SUM(B2:M2)</f>
        <v>0.99999999999999978</v>
      </c>
    </row>
    <row r="3" spans="1:14" x14ac:dyDescent="0.25">
      <c r="A3" s="238" t="s">
        <v>167</v>
      </c>
      <c r="B3" s="237">
        <v>120152.94959999999</v>
      </c>
      <c r="C3" s="237">
        <v>103357.376</v>
      </c>
      <c r="D3" s="237">
        <v>109817.212</v>
      </c>
      <c r="E3" s="237">
        <v>103357.376</v>
      </c>
      <c r="F3" s="237">
        <v>116277.048</v>
      </c>
      <c r="G3" s="237">
        <v>100773.44159999999</v>
      </c>
      <c r="H3" s="237">
        <v>103357.376</v>
      </c>
      <c r="I3" s="237">
        <v>103357.376</v>
      </c>
      <c r="J3" s="237">
        <v>95605.572799999994</v>
      </c>
      <c r="K3" s="237">
        <v>95605.572799999994</v>
      </c>
      <c r="L3" s="237">
        <v>134364.5888</v>
      </c>
      <c r="M3" s="237">
        <v>105941.3104</v>
      </c>
      <c r="N3" s="237">
        <f t="shared" ref="N3:N5" si="0">SUM(B3:M3)</f>
        <v>1291967.2000000002</v>
      </c>
    </row>
    <row r="4" spans="1:14" x14ac:dyDescent="0.25">
      <c r="A4" s="238" t="s">
        <v>171</v>
      </c>
      <c r="B4" s="242">
        <v>120152.94959999999</v>
      </c>
      <c r="C4" s="242">
        <v>103357.376</v>
      </c>
      <c r="D4" s="242">
        <v>109817.212</v>
      </c>
      <c r="E4" s="242">
        <v>103357.376</v>
      </c>
      <c r="F4" s="242">
        <v>116277.048</v>
      </c>
      <c r="G4" s="242">
        <v>100773.44159999999</v>
      </c>
      <c r="H4" s="242">
        <v>103357.376</v>
      </c>
      <c r="I4" s="242">
        <v>103357.376</v>
      </c>
      <c r="J4" s="242">
        <v>95605.572799999994</v>
      </c>
      <c r="K4" s="242">
        <v>95605.572799999994</v>
      </c>
      <c r="L4" s="242">
        <v>134364.5888</v>
      </c>
      <c r="M4" s="242">
        <v>105941.3104</v>
      </c>
      <c r="N4" s="242">
        <f t="shared" si="0"/>
        <v>1291967.2000000002</v>
      </c>
    </row>
    <row r="5" spans="1:14" x14ac:dyDescent="0.25">
      <c r="A5" s="238" t="s">
        <v>165</v>
      </c>
      <c r="B5" s="237">
        <v>360458.84879999998</v>
      </c>
      <c r="C5" s="237">
        <v>310072.12800000003</v>
      </c>
      <c r="D5" s="237">
        <v>329451.63600000006</v>
      </c>
      <c r="E5" s="237">
        <v>310072.12800000003</v>
      </c>
      <c r="F5" s="237">
        <v>348831.14399999997</v>
      </c>
      <c r="G5" s="237">
        <v>302320.3248</v>
      </c>
      <c r="H5" s="237">
        <v>310072.12800000003</v>
      </c>
      <c r="I5" s="237">
        <v>310072.12800000003</v>
      </c>
      <c r="J5" s="237">
        <v>286816.71840000001</v>
      </c>
      <c r="K5" s="237">
        <v>286816.71840000001</v>
      </c>
      <c r="L5" s="237">
        <v>403093.76639999996</v>
      </c>
      <c r="M5" s="237">
        <v>317823.93120000005</v>
      </c>
      <c r="N5" s="237">
        <f t="shared" si="0"/>
        <v>3875901.6000000006</v>
      </c>
    </row>
    <row r="6" spans="1:14" x14ac:dyDescent="0.25">
      <c r="A6" s="238" t="s">
        <v>168</v>
      </c>
      <c r="B6" s="242">
        <f>SUM(B3:B5)</f>
        <v>600764.74799999991</v>
      </c>
      <c r="C6" s="242">
        <f t="shared" ref="C6:N6" si="1">SUM(C3:C5)</f>
        <v>516786.88</v>
      </c>
      <c r="D6" s="242">
        <f t="shared" si="1"/>
        <v>549086.06000000006</v>
      </c>
      <c r="E6" s="242">
        <f t="shared" si="1"/>
        <v>516786.88</v>
      </c>
      <c r="F6" s="242">
        <f t="shared" si="1"/>
        <v>581385.24</v>
      </c>
      <c r="G6" s="242">
        <f t="shared" si="1"/>
        <v>503867.20799999998</v>
      </c>
      <c r="H6" s="242">
        <f t="shared" si="1"/>
        <v>516786.88</v>
      </c>
      <c r="I6" s="242">
        <f t="shared" si="1"/>
        <v>516786.88</v>
      </c>
      <c r="J6" s="242">
        <f t="shared" si="1"/>
        <v>478027.864</v>
      </c>
      <c r="K6" s="242">
        <f t="shared" si="1"/>
        <v>478027.864</v>
      </c>
      <c r="L6" s="242">
        <f t="shared" si="1"/>
        <v>671822.9439999999</v>
      </c>
      <c r="M6" s="242">
        <f t="shared" si="1"/>
        <v>529706.55200000003</v>
      </c>
      <c r="N6" s="242">
        <f t="shared" si="1"/>
        <v>6459836.0000000009</v>
      </c>
    </row>
    <row r="8" spans="1:14" x14ac:dyDescent="0.25">
      <c r="A8" s="238" t="s">
        <v>169</v>
      </c>
      <c r="B8" s="239" t="s">
        <v>0</v>
      </c>
      <c r="C8" s="239" t="s">
        <v>1</v>
      </c>
      <c r="D8" s="239" t="s">
        <v>2</v>
      </c>
      <c r="E8" s="239" t="s">
        <v>3</v>
      </c>
      <c r="F8" s="239" t="s">
        <v>4</v>
      </c>
      <c r="G8" s="239" t="s">
        <v>5</v>
      </c>
      <c r="H8" s="239" t="s">
        <v>6</v>
      </c>
      <c r="I8" s="239" t="s">
        <v>7</v>
      </c>
      <c r="J8" s="239" t="s">
        <v>8</v>
      </c>
      <c r="K8" s="239" t="s">
        <v>9</v>
      </c>
      <c r="L8" s="239" t="s">
        <v>10</v>
      </c>
      <c r="M8" s="239" t="s">
        <v>11</v>
      </c>
      <c r="N8" s="239" t="s">
        <v>152</v>
      </c>
    </row>
    <row r="9" spans="1:14" x14ac:dyDescent="0.25">
      <c r="A9" s="238" t="s">
        <v>166</v>
      </c>
      <c r="B9" s="240">
        <v>9.2999999999999999E-2</v>
      </c>
      <c r="C9" s="240">
        <v>0.08</v>
      </c>
      <c r="D9" s="240">
        <v>8.5000000000000006E-2</v>
      </c>
      <c r="E9" s="240">
        <v>0.08</v>
      </c>
      <c r="F9" s="240">
        <v>0.09</v>
      </c>
      <c r="G9" s="240">
        <v>7.8E-2</v>
      </c>
      <c r="H9" s="240">
        <v>0.08</v>
      </c>
      <c r="I9" s="240">
        <v>0.08</v>
      </c>
      <c r="J9" s="240">
        <v>7.3999999999999996E-2</v>
      </c>
      <c r="K9" s="240">
        <v>7.3999999999999996E-2</v>
      </c>
      <c r="L9" s="240">
        <v>0.104</v>
      </c>
      <c r="M9" s="240">
        <v>8.2000000000000003E-2</v>
      </c>
      <c r="N9" s="241">
        <f>SUM(B9:M9)</f>
        <v>0.99999999999999978</v>
      </c>
    </row>
    <row r="10" spans="1:14" x14ac:dyDescent="0.25">
      <c r="A10" s="238" t="s">
        <v>167</v>
      </c>
      <c r="B10" s="153">
        <f>B3*'RESUMO GERAL'!$M$32</f>
        <v>603012223.12206614</v>
      </c>
      <c r="C10" s="153">
        <f>C3*'RESUMO GERAL'!$M$32</f>
        <v>518720191.93296015</v>
      </c>
      <c r="D10" s="153">
        <f>D3*'RESUMO GERAL'!$M$32</f>
        <v>551140203.92877018</v>
      </c>
      <c r="E10" s="153">
        <f>E3*'RESUMO GERAL'!$M$32</f>
        <v>518720191.93296015</v>
      </c>
      <c r="F10" s="153">
        <f>F3*'RESUMO GERAL'!$M$32</f>
        <v>583560215.9245801</v>
      </c>
      <c r="G10" s="153">
        <f>G3*'RESUMO GERAL'!$M$32</f>
        <v>505752187.1346361</v>
      </c>
      <c r="H10" s="153">
        <f>H3*'RESUMO GERAL'!$M$32</f>
        <v>518720191.93296015</v>
      </c>
      <c r="I10" s="153">
        <f>I3*'RESUMO GERAL'!$M$32</f>
        <v>518720191.93296015</v>
      </c>
      <c r="J10" s="153">
        <f>J3*'RESUMO GERAL'!$M$32</f>
        <v>479816177.53798813</v>
      </c>
      <c r="K10" s="153">
        <f>K3*'RESUMO GERAL'!$M$32</f>
        <v>479816177.53798813</v>
      </c>
      <c r="L10" s="153">
        <f>L3*'RESUMO GERAL'!$M$32</f>
        <v>674336249.51284814</v>
      </c>
      <c r="M10" s="153">
        <f>M3*'RESUMO GERAL'!$M$32</f>
        <v>531688196.73128414</v>
      </c>
      <c r="N10" s="153">
        <f>N3*'RESUMO GERAL'!$M$32</f>
        <v>6484002399.1620026</v>
      </c>
    </row>
    <row r="11" spans="1:14" x14ac:dyDescent="0.25">
      <c r="A11" s="238" t="s">
        <v>171</v>
      </c>
      <c r="B11" s="243">
        <f>B4*'RESUMO GERAL'!$H$32</f>
        <v>642475033.71981573</v>
      </c>
      <c r="C11" s="243">
        <f>C4*'RESUMO GERAL'!$H$32</f>
        <v>552666695.67295992</v>
      </c>
      <c r="D11" s="243">
        <f>D4*'RESUMO GERAL'!$H$32</f>
        <v>587208364.15251982</v>
      </c>
      <c r="E11" s="243">
        <f>E4*'RESUMO GERAL'!$H$32</f>
        <v>552666695.67295992</v>
      </c>
      <c r="F11" s="243">
        <f>F4*'RESUMO GERAL'!$H$32</f>
        <v>621750032.63207984</v>
      </c>
      <c r="G11" s="243">
        <f>G4*'RESUMO GERAL'!$H$32</f>
        <v>538850028.2811358</v>
      </c>
      <c r="H11" s="243">
        <f>H4*'RESUMO GERAL'!$H$32</f>
        <v>552666695.67295992</v>
      </c>
      <c r="I11" s="243">
        <f>I4*'RESUMO GERAL'!$H$32</f>
        <v>552666695.67295992</v>
      </c>
      <c r="J11" s="243">
        <f>J4*'RESUMO GERAL'!$H$32</f>
        <v>511216693.49748784</v>
      </c>
      <c r="K11" s="243">
        <f>K4*'RESUMO GERAL'!$H$32</f>
        <v>511216693.49748784</v>
      </c>
      <c r="L11" s="243">
        <f>L4*'RESUMO GERAL'!$H$32</f>
        <v>718466704.37484777</v>
      </c>
      <c r="M11" s="243">
        <f>M4*'RESUMO GERAL'!$H$32</f>
        <v>566483363.06478381</v>
      </c>
      <c r="N11" s="243">
        <f>N4*'RESUMO GERAL'!$H$32</f>
        <v>6908333695.9119987</v>
      </c>
    </row>
    <row r="12" spans="1:14" x14ac:dyDescent="0.25">
      <c r="A12" s="238" t="s">
        <v>165</v>
      </c>
      <c r="B12" s="153">
        <f>B5*'RESUMO GERAL'!$C$32</f>
        <v>1955014901.9844475</v>
      </c>
      <c r="C12" s="153">
        <f>C5*'RESUMO GERAL'!$C$32</f>
        <v>1681733249.0188797</v>
      </c>
      <c r="D12" s="153">
        <f>D5*'RESUMO GERAL'!$C$32</f>
        <v>1786841577.0825598</v>
      </c>
      <c r="E12" s="153">
        <f>E5*'RESUMO GERAL'!$C$32</f>
        <v>1681733249.0188797</v>
      </c>
      <c r="F12" s="153">
        <f>F5*'RESUMO GERAL'!$C$32</f>
        <v>1891949905.1462393</v>
      </c>
      <c r="G12" s="153">
        <f>G5*'RESUMO GERAL'!$C$32</f>
        <v>1639689917.7934077</v>
      </c>
      <c r="H12" s="153">
        <f>H5*'RESUMO GERAL'!$C$32</f>
        <v>1681733249.0188797</v>
      </c>
      <c r="I12" s="153">
        <f>I5*'RESUMO GERAL'!$C$32</f>
        <v>1681733249.0188797</v>
      </c>
      <c r="J12" s="153">
        <f>J5*'RESUMO GERAL'!$C$32</f>
        <v>1555603255.3424637</v>
      </c>
      <c r="K12" s="153">
        <f>K5*'RESUMO GERAL'!$C$32</f>
        <v>1555603255.3424637</v>
      </c>
      <c r="L12" s="153">
        <f>L5*'RESUMO GERAL'!$C$32</f>
        <v>2186253223.7245431</v>
      </c>
      <c r="M12" s="153">
        <f>M5*'RESUMO GERAL'!$C$32</f>
        <v>1723776580.2443519</v>
      </c>
      <c r="N12" s="153">
        <f>N5*'RESUMO GERAL'!$C$32</f>
        <v>21021665612.735996</v>
      </c>
    </row>
    <row r="13" spans="1:14" x14ac:dyDescent="0.25">
      <c r="A13" s="238" t="s">
        <v>172</v>
      </c>
      <c r="B13" s="243">
        <f>SUM(B10:B12)</f>
        <v>3200502158.8263292</v>
      </c>
      <c r="C13" s="243">
        <f t="shared" ref="C13:N13" si="2">SUM(C10:C12)</f>
        <v>2753120136.6247997</v>
      </c>
      <c r="D13" s="243">
        <f t="shared" si="2"/>
        <v>2925190145.1638498</v>
      </c>
      <c r="E13" s="243">
        <f t="shared" si="2"/>
        <v>2753120136.6247997</v>
      </c>
      <c r="F13" s="243">
        <f t="shared" si="2"/>
        <v>3097260153.702899</v>
      </c>
      <c r="G13" s="243">
        <f t="shared" si="2"/>
        <v>2684292133.2091799</v>
      </c>
      <c r="H13" s="243">
        <f t="shared" si="2"/>
        <v>2753120136.6247997</v>
      </c>
      <c r="I13" s="243">
        <f t="shared" si="2"/>
        <v>2753120136.6247997</v>
      </c>
      <c r="J13" s="243">
        <f t="shared" si="2"/>
        <v>2546636126.3779397</v>
      </c>
      <c r="K13" s="243">
        <f t="shared" si="2"/>
        <v>2546636126.3779397</v>
      </c>
      <c r="L13" s="243">
        <f t="shared" si="2"/>
        <v>3579056177.6122389</v>
      </c>
      <c r="M13" s="243">
        <f t="shared" si="2"/>
        <v>2821948140.0404196</v>
      </c>
      <c r="N13" s="243">
        <f t="shared" si="2"/>
        <v>34414001707.809998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D5A1-E7D9-4584-913C-74961E718362}">
  <dimension ref="A1:L57"/>
  <sheetViews>
    <sheetView showGridLines="0" zoomScale="74" workbookViewId="0">
      <selection activeCell="A28" sqref="A28:C30"/>
    </sheetView>
  </sheetViews>
  <sheetFormatPr defaultRowHeight="15" x14ac:dyDescent="0.25"/>
  <cols>
    <col min="1" max="1" width="29.42578125" bestFit="1" customWidth="1"/>
    <col min="2" max="2" width="32.5703125" bestFit="1" customWidth="1"/>
    <col min="3" max="3" width="19.42578125" customWidth="1"/>
    <col min="4" max="4" width="5.140625" customWidth="1"/>
    <col min="5" max="5" width="63.28515625" customWidth="1"/>
    <col min="6" max="6" width="16.42578125" bestFit="1" customWidth="1"/>
    <col min="7" max="7" width="14.42578125" bestFit="1" customWidth="1"/>
    <col min="8" max="8" width="20.5703125" bestFit="1" customWidth="1"/>
    <col min="9" max="9" width="20.28515625" bestFit="1" customWidth="1"/>
    <col min="10" max="10" width="34.85546875" customWidth="1"/>
    <col min="11" max="11" width="1.85546875" bestFit="1" customWidth="1"/>
    <col min="12" max="12" width="10" bestFit="1" customWidth="1"/>
  </cols>
  <sheetData>
    <row r="1" spans="1:12" x14ac:dyDescent="0.25">
      <c r="A1" s="1" t="s">
        <v>40</v>
      </c>
      <c r="B1" s="2">
        <v>32299180</v>
      </c>
      <c r="C1" s="3"/>
      <c r="D1" s="3"/>
      <c r="E1" s="3"/>
      <c r="F1" s="3"/>
      <c r="G1" s="3"/>
      <c r="H1" s="3"/>
      <c r="I1" s="3"/>
      <c r="J1" s="3"/>
      <c r="K1" s="110"/>
      <c r="L1" s="110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110"/>
      <c r="L2" s="110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110"/>
      <c r="L3" s="110"/>
    </row>
    <row r="4" spans="1:12" ht="43.5" customHeight="1" x14ac:dyDescent="0.25">
      <c r="A4" s="111" t="s">
        <v>41</v>
      </c>
      <c r="B4" s="112"/>
      <c r="C4" s="3"/>
      <c r="D4" s="3"/>
      <c r="E4" s="4" t="s">
        <v>42</v>
      </c>
      <c r="F4" s="5"/>
      <c r="G4" s="5"/>
      <c r="H4" s="5"/>
      <c r="I4" s="5"/>
      <c r="J4" s="5"/>
      <c r="K4" s="6"/>
      <c r="L4" s="3"/>
    </row>
    <row r="5" spans="1:12" x14ac:dyDescent="0.25">
      <c r="A5" s="113"/>
      <c r="B5" s="114"/>
      <c r="C5" s="3"/>
      <c r="D5" s="3"/>
      <c r="E5" s="7"/>
      <c r="F5" s="8"/>
      <c r="G5" s="8"/>
      <c r="H5" s="8"/>
      <c r="I5" s="8"/>
      <c r="J5" s="8"/>
      <c r="K5" s="9"/>
      <c r="L5" s="3"/>
    </row>
    <row r="6" spans="1:12" ht="29.1" customHeight="1" x14ac:dyDescent="0.25">
      <c r="A6" s="10" t="s">
        <v>43</v>
      </c>
      <c r="B6" s="11" t="s">
        <v>44</v>
      </c>
      <c r="C6" s="3"/>
      <c r="D6" s="3"/>
      <c r="E6" s="115" t="s">
        <v>45</v>
      </c>
      <c r="F6" s="116"/>
      <c r="G6" s="116"/>
      <c r="H6" s="116"/>
      <c r="I6" s="116"/>
      <c r="J6" s="116"/>
      <c r="K6" s="117"/>
      <c r="L6" s="3"/>
    </row>
    <row r="7" spans="1:12" x14ac:dyDescent="0.25">
      <c r="A7" s="12" t="s">
        <v>46</v>
      </c>
      <c r="B7" s="13">
        <v>150000000</v>
      </c>
      <c r="C7" s="3"/>
      <c r="D7" s="3"/>
      <c r="E7" s="115"/>
      <c r="F7" s="116"/>
      <c r="G7" s="116"/>
      <c r="H7" s="116"/>
      <c r="I7" s="116"/>
      <c r="J7" s="116"/>
      <c r="K7" s="117"/>
      <c r="L7" s="3"/>
    </row>
    <row r="8" spans="1:12" x14ac:dyDescent="0.25">
      <c r="A8" s="12" t="s">
        <v>47</v>
      </c>
      <c r="B8" s="13">
        <v>100000000</v>
      </c>
      <c r="C8" s="3"/>
      <c r="D8" s="3"/>
      <c r="E8" s="14" t="s">
        <v>48</v>
      </c>
      <c r="F8" s="8"/>
      <c r="G8" s="8"/>
      <c r="H8" s="8"/>
      <c r="I8" s="8"/>
      <c r="J8" s="8"/>
      <c r="K8" s="9"/>
      <c r="L8" s="3"/>
    </row>
    <row r="9" spans="1:12" x14ac:dyDescent="0.25">
      <c r="A9" s="15" t="s">
        <v>49</v>
      </c>
      <c r="B9" s="16">
        <v>80000000</v>
      </c>
      <c r="C9" s="3"/>
      <c r="D9" s="3"/>
      <c r="E9" s="7"/>
      <c r="F9" s="8"/>
      <c r="G9" s="8"/>
      <c r="H9" s="8"/>
      <c r="I9" s="8"/>
      <c r="J9" s="8"/>
      <c r="K9" s="9"/>
      <c r="L9" s="3"/>
    </row>
    <row r="10" spans="1:12" ht="29.1" customHeight="1" x14ac:dyDescent="0.25">
      <c r="A10" s="3"/>
      <c r="B10" s="3"/>
      <c r="C10" s="3"/>
      <c r="D10" s="3"/>
      <c r="E10" s="104" t="s">
        <v>50</v>
      </c>
      <c r="F10" s="105"/>
      <c r="G10" s="105"/>
      <c r="H10" s="105"/>
      <c r="I10" s="105"/>
      <c r="J10" s="105"/>
      <c r="K10" s="106"/>
      <c r="L10" s="3"/>
    </row>
    <row r="11" spans="1:12" x14ac:dyDescent="0.25">
      <c r="A11" s="107" t="s">
        <v>51</v>
      </c>
      <c r="B11" s="108"/>
      <c r="C11" s="109"/>
      <c r="D11" s="3"/>
      <c r="E11" s="104"/>
      <c r="F11" s="105"/>
      <c r="G11" s="105"/>
      <c r="H11" s="105"/>
      <c r="I11" s="105"/>
      <c r="J11" s="105"/>
      <c r="K11" s="106"/>
      <c r="L11" s="3"/>
    </row>
    <row r="12" spans="1:12" x14ac:dyDescent="0.25">
      <c r="A12" s="17" t="s">
        <v>52</v>
      </c>
      <c r="B12" s="18"/>
      <c r="C12" s="19"/>
      <c r="D12" s="3"/>
      <c r="E12" s="20"/>
      <c r="F12" s="21"/>
      <c r="G12" s="21"/>
      <c r="H12" s="21"/>
      <c r="I12" s="21"/>
      <c r="J12" s="21"/>
      <c r="K12" s="22"/>
      <c r="L12" s="3"/>
    </row>
    <row r="13" spans="1:12" x14ac:dyDescent="0.25">
      <c r="A13" s="23"/>
      <c r="B13" s="18"/>
      <c r="C13" s="19"/>
      <c r="D13" s="3"/>
      <c r="E13" s="24" t="s">
        <v>53</v>
      </c>
      <c r="F13" s="25"/>
      <c r="G13" s="25"/>
      <c r="H13" s="25"/>
      <c r="I13" s="25"/>
      <c r="J13" s="25"/>
      <c r="K13" s="26"/>
      <c r="L13" s="3"/>
    </row>
    <row r="14" spans="1:12" ht="30" x14ac:dyDescent="0.25">
      <c r="A14" s="27" t="s">
        <v>54</v>
      </c>
      <c r="B14" s="28" t="s">
        <v>55</v>
      </c>
      <c r="C14" s="29" t="s">
        <v>56</v>
      </c>
      <c r="D14" s="3"/>
      <c r="E14" s="3"/>
      <c r="F14" s="3"/>
      <c r="G14" s="3"/>
      <c r="H14" s="3"/>
      <c r="I14" s="3"/>
      <c r="J14" s="3"/>
      <c r="K14" s="110"/>
      <c r="L14" s="110"/>
    </row>
    <row r="15" spans="1:12" x14ac:dyDescent="0.25">
      <c r="A15" s="30">
        <v>25</v>
      </c>
      <c r="B15" s="31">
        <v>525000</v>
      </c>
      <c r="C15" s="32">
        <v>14437</v>
      </c>
      <c r="D15" s="3"/>
      <c r="E15" s="118" t="s">
        <v>57</v>
      </c>
      <c r="F15" s="119"/>
      <c r="G15" s="119"/>
      <c r="H15" s="120"/>
      <c r="I15" s="3"/>
      <c r="J15" s="3"/>
      <c r="K15" s="110"/>
      <c r="L15" s="110"/>
    </row>
    <row r="16" spans="1:12" x14ac:dyDescent="0.25">
      <c r="A16" s="30">
        <v>50</v>
      </c>
      <c r="B16" s="31">
        <v>1050000</v>
      </c>
      <c r="C16" s="32">
        <v>36540</v>
      </c>
      <c r="D16" s="3"/>
      <c r="E16" s="34" t="s">
        <v>58</v>
      </c>
      <c r="F16" s="35"/>
      <c r="G16" s="35"/>
      <c r="H16" s="36"/>
      <c r="I16" s="3"/>
      <c r="J16" s="3"/>
      <c r="K16" s="110"/>
      <c r="L16" s="110"/>
    </row>
    <row r="17" spans="1:12" x14ac:dyDescent="0.25">
      <c r="A17" s="30">
        <v>100</v>
      </c>
      <c r="B17" s="31">
        <v>2100000</v>
      </c>
      <c r="C17" s="32">
        <v>95550</v>
      </c>
      <c r="D17" s="3"/>
      <c r="E17" s="37"/>
      <c r="F17" s="33" t="s">
        <v>59</v>
      </c>
      <c r="G17" s="33" t="s">
        <v>60</v>
      </c>
      <c r="H17" s="38" t="s">
        <v>61</v>
      </c>
      <c r="I17" s="3"/>
      <c r="J17" s="3"/>
      <c r="K17" s="110"/>
      <c r="L17" s="110"/>
    </row>
    <row r="18" spans="1:12" x14ac:dyDescent="0.25">
      <c r="A18" s="30">
        <v>150</v>
      </c>
      <c r="B18" s="31">
        <v>3150000</v>
      </c>
      <c r="C18" s="32">
        <v>200812</v>
      </c>
      <c r="D18" s="3"/>
      <c r="E18" s="39" t="s">
        <v>62</v>
      </c>
      <c r="F18" s="40">
        <v>15000</v>
      </c>
      <c r="G18" s="40">
        <v>80000</v>
      </c>
      <c r="H18" s="41">
        <v>68500</v>
      </c>
      <c r="I18" s="3"/>
      <c r="J18" s="3"/>
      <c r="K18" s="110"/>
      <c r="L18" s="110"/>
    </row>
    <row r="19" spans="1:12" x14ac:dyDescent="0.25">
      <c r="A19" s="30">
        <v>200</v>
      </c>
      <c r="B19" s="31">
        <v>4200000</v>
      </c>
      <c r="C19" s="32">
        <v>311220</v>
      </c>
      <c r="D19" s="3"/>
      <c r="E19" s="39" t="s">
        <v>63</v>
      </c>
      <c r="F19" s="40">
        <v>16000</v>
      </c>
      <c r="G19" s="40">
        <v>90000</v>
      </c>
      <c r="H19" s="41">
        <v>78500</v>
      </c>
      <c r="I19" s="3"/>
      <c r="J19" s="3"/>
      <c r="K19" s="110"/>
      <c r="L19" s="110"/>
    </row>
    <row r="20" spans="1:12" x14ac:dyDescent="0.25">
      <c r="A20" s="30">
        <v>250</v>
      </c>
      <c r="B20" s="31">
        <v>5250000</v>
      </c>
      <c r="C20" s="32">
        <v>406455</v>
      </c>
      <c r="D20" s="3"/>
      <c r="E20" s="39" t="s">
        <v>64</v>
      </c>
      <c r="F20" s="40">
        <v>19000</v>
      </c>
      <c r="G20" s="40">
        <v>100000</v>
      </c>
      <c r="H20" s="41">
        <v>82500</v>
      </c>
      <c r="I20" s="3"/>
      <c r="J20" s="3"/>
      <c r="K20" s="110"/>
      <c r="L20" s="110"/>
    </row>
    <row r="21" spans="1:12" x14ac:dyDescent="0.25">
      <c r="A21" s="30">
        <v>300</v>
      </c>
      <c r="B21" s="31">
        <v>6300000</v>
      </c>
      <c r="C21" s="32">
        <v>517954</v>
      </c>
      <c r="D21" s="3"/>
      <c r="E21" s="37"/>
      <c r="F21" s="35"/>
      <c r="G21" s="35"/>
      <c r="H21" s="36"/>
      <c r="I21" s="3"/>
      <c r="J21" s="3"/>
      <c r="K21" s="110"/>
      <c r="L21" s="110"/>
    </row>
    <row r="22" spans="1:12" x14ac:dyDescent="0.25">
      <c r="A22" s="30">
        <v>350</v>
      </c>
      <c r="B22" s="31">
        <v>7350000</v>
      </c>
      <c r="C22" s="32">
        <v>637245</v>
      </c>
      <c r="D22" s="3"/>
      <c r="E22" s="34" t="s">
        <v>65</v>
      </c>
      <c r="F22" s="42"/>
      <c r="G22" s="43"/>
      <c r="H22" s="36"/>
      <c r="I22" s="3"/>
      <c r="J22" s="3"/>
      <c r="K22" s="110"/>
      <c r="L22" s="110"/>
    </row>
    <row r="23" spans="1:12" x14ac:dyDescent="0.25">
      <c r="A23" s="44">
        <v>400</v>
      </c>
      <c r="B23" s="45">
        <v>8400000</v>
      </c>
      <c r="C23" s="46">
        <v>778680</v>
      </c>
      <c r="D23" s="3"/>
      <c r="E23" s="34" t="s">
        <v>66</v>
      </c>
      <c r="F23" s="42"/>
      <c r="G23" s="33"/>
      <c r="H23" s="47"/>
      <c r="I23" s="3"/>
      <c r="J23" s="3"/>
      <c r="K23" s="110"/>
      <c r="L23" s="110"/>
    </row>
    <row r="24" spans="1:12" x14ac:dyDescent="0.25">
      <c r="A24" s="3"/>
      <c r="B24" s="3"/>
      <c r="C24" s="3"/>
      <c r="D24" s="3"/>
      <c r="E24" s="48" t="s">
        <v>67</v>
      </c>
      <c r="F24" s="49"/>
      <c r="G24" s="50"/>
      <c r="H24" s="51"/>
      <c r="I24" s="3"/>
      <c r="J24" s="3"/>
      <c r="K24" s="110"/>
      <c r="L24" s="110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121"/>
      <c r="L25" s="121"/>
    </row>
    <row r="26" spans="1:12" x14ac:dyDescent="0.25">
      <c r="A26" s="122" t="s">
        <v>68</v>
      </c>
      <c r="B26" s="123"/>
      <c r="C26" s="124"/>
      <c r="D26" s="3"/>
      <c r="E26" s="52" t="s">
        <v>69</v>
      </c>
      <c r="F26" s="53"/>
      <c r="G26" s="53"/>
      <c r="H26" s="53"/>
      <c r="I26" s="53"/>
      <c r="J26" s="53"/>
      <c r="K26" s="125"/>
      <c r="L26" s="125"/>
    </row>
    <row r="27" spans="1:12" x14ac:dyDescent="0.25">
      <c r="A27" s="55"/>
      <c r="B27" s="56"/>
      <c r="C27" s="57"/>
      <c r="D27" s="3"/>
      <c r="E27" s="58" t="s">
        <v>70</v>
      </c>
      <c r="F27" s="54"/>
      <c r="G27" s="54"/>
      <c r="H27" s="59" t="s">
        <v>71</v>
      </c>
      <c r="I27" s="59" t="s">
        <v>72</v>
      </c>
      <c r="J27" s="54"/>
      <c r="K27" s="126"/>
      <c r="L27" s="126"/>
    </row>
    <row r="28" spans="1:12" x14ac:dyDescent="0.25">
      <c r="A28" s="127" t="s">
        <v>73</v>
      </c>
      <c r="B28" s="128"/>
      <c r="C28" s="60" t="s">
        <v>74</v>
      </c>
      <c r="D28" s="3"/>
      <c r="E28" s="58"/>
      <c r="F28" s="54"/>
      <c r="G28" s="54"/>
      <c r="H28" s="61" t="s">
        <v>75</v>
      </c>
      <c r="I28" s="61" t="s">
        <v>76</v>
      </c>
      <c r="J28" s="54"/>
      <c r="K28" s="126"/>
      <c r="L28" s="126"/>
    </row>
    <row r="29" spans="1:12" x14ac:dyDescent="0.25">
      <c r="A29" s="129" t="s">
        <v>77</v>
      </c>
      <c r="B29" s="130"/>
      <c r="C29" s="62">
        <v>219.9</v>
      </c>
      <c r="D29" s="3"/>
      <c r="E29" s="58" t="s">
        <v>78</v>
      </c>
      <c r="F29" s="63">
        <v>150000</v>
      </c>
      <c r="G29" s="54"/>
      <c r="H29" s="61" t="s">
        <v>79</v>
      </c>
      <c r="I29" s="61" t="s">
        <v>80</v>
      </c>
      <c r="J29" s="54"/>
      <c r="K29" s="126"/>
      <c r="L29" s="126"/>
    </row>
    <row r="30" spans="1:12" x14ac:dyDescent="0.25">
      <c r="A30" s="129" t="s">
        <v>81</v>
      </c>
      <c r="B30" s="130"/>
      <c r="C30" s="62">
        <v>149.9</v>
      </c>
      <c r="D30" s="3"/>
      <c r="E30" s="58" t="s">
        <v>82</v>
      </c>
      <c r="F30" s="54"/>
      <c r="G30" s="54"/>
      <c r="H30" s="61" t="s">
        <v>83</v>
      </c>
      <c r="I30" s="61" t="s">
        <v>84</v>
      </c>
      <c r="J30" s="54"/>
      <c r="K30" s="126"/>
      <c r="L30" s="126"/>
    </row>
    <row r="31" spans="1:12" ht="43.5" customHeight="1" x14ac:dyDescent="0.25">
      <c r="A31" s="129" t="s">
        <v>85</v>
      </c>
      <c r="B31" s="130"/>
      <c r="C31" s="62">
        <v>99.9</v>
      </c>
      <c r="D31" s="3"/>
      <c r="E31" s="64"/>
      <c r="F31" s="54"/>
      <c r="G31" s="54"/>
      <c r="H31" s="61" t="s">
        <v>86</v>
      </c>
      <c r="I31" s="61" t="s">
        <v>87</v>
      </c>
      <c r="J31" s="54"/>
      <c r="K31" s="131" t="s">
        <v>88</v>
      </c>
      <c r="L31" s="132"/>
    </row>
    <row r="32" spans="1:12" x14ac:dyDescent="0.25">
      <c r="A32" s="133" t="s">
        <v>89</v>
      </c>
      <c r="B32" s="134"/>
      <c r="C32" s="65">
        <v>59.9</v>
      </c>
      <c r="D32" s="3"/>
      <c r="E32" s="64"/>
      <c r="F32" s="54"/>
      <c r="G32" s="54"/>
      <c r="H32" s="61" t="s">
        <v>90</v>
      </c>
      <c r="I32" s="61" t="s">
        <v>91</v>
      </c>
      <c r="J32" s="54"/>
      <c r="K32" s="131"/>
      <c r="L32" s="132"/>
    </row>
    <row r="33" spans="1:12" x14ac:dyDescent="0.25">
      <c r="A33" s="66"/>
      <c r="B33" s="3"/>
      <c r="C33" s="3"/>
      <c r="D33" s="3"/>
      <c r="E33" s="67" t="s">
        <v>92</v>
      </c>
      <c r="F33" s="54"/>
      <c r="G33" s="54"/>
      <c r="H33" s="54"/>
      <c r="I33" s="54"/>
      <c r="J33" s="54"/>
      <c r="K33" s="131"/>
      <c r="L33" s="132"/>
    </row>
    <row r="34" spans="1:12" x14ac:dyDescent="0.25">
      <c r="A34" s="66"/>
      <c r="B34" s="3"/>
      <c r="C34" s="3"/>
      <c r="D34" s="3"/>
      <c r="E34" s="58" t="s">
        <v>93</v>
      </c>
      <c r="F34" s="63">
        <v>1256000</v>
      </c>
      <c r="G34" s="54"/>
      <c r="H34" s="59" t="s">
        <v>94</v>
      </c>
      <c r="I34" s="59" t="s">
        <v>72</v>
      </c>
      <c r="J34" s="54"/>
      <c r="K34" s="68">
        <v>5</v>
      </c>
      <c r="L34" s="69" t="s">
        <v>95</v>
      </c>
    </row>
    <row r="35" spans="1:12" x14ac:dyDescent="0.25">
      <c r="A35" s="70" t="s">
        <v>96</v>
      </c>
      <c r="B35" s="71"/>
      <c r="C35" s="72"/>
      <c r="D35" s="3"/>
      <c r="E35" s="64"/>
      <c r="F35" s="54"/>
      <c r="G35" s="54"/>
      <c r="H35" s="61" t="s">
        <v>75</v>
      </c>
      <c r="I35" s="61" t="s">
        <v>97</v>
      </c>
      <c r="J35" s="54"/>
      <c r="K35" s="68">
        <v>4</v>
      </c>
      <c r="L35" s="69" t="s">
        <v>98</v>
      </c>
    </row>
    <row r="36" spans="1:12" x14ac:dyDescent="0.25">
      <c r="A36" s="73" t="s">
        <v>99</v>
      </c>
      <c r="B36" s="74" t="s">
        <v>100</v>
      </c>
      <c r="C36" s="75"/>
      <c r="D36" s="3"/>
      <c r="E36" s="67" t="s">
        <v>101</v>
      </c>
      <c r="F36" s="76"/>
      <c r="G36" s="54"/>
      <c r="H36" s="61" t="s">
        <v>79</v>
      </c>
      <c r="I36" s="61" t="s">
        <v>102</v>
      </c>
      <c r="J36" s="54"/>
      <c r="K36" s="68">
        <v>3</v>
      </c>
      <c r="L36" s="69" t="s">
        <v>103</v>
      </c>
    </row>
    <row r="37" spans="1:12" x14ac:dyDescent="0.25">
      <c r="A37" s="73" t="s">
        <v>104</v>
      </c>
      <c r="B37" s="74" t="s">
        <v>105</v>
      </c>
      <c r="C37" s="75"/>
      <c r="D37" s="3"/>
      <c r="E37" s="77" t="s">
        <v>43</v>
      </c>
      <c r="F37" s="59" t="s">
        <v>106</v>
      </c>
      <c r="G37" s="54"/>
      <c r="H37" s="61" t="s">
        <v>83</v>
      </c>
      <c r="I37" s="61" t="s">
        <v>107</v>
      </c>
      <c r="J37" s="54"/>
      <c r="K37" s="68">
        <v>2</v>
      </c>
      <c r="L37" s="69" t="s">
        <v>108</v>
      </c>
    </row>
    <row r="38" spans="1:12" x14ac:dyDescent="0.25">
      <c r="A38" s="78"/>
      <c r="B38" s="74"/>
      <c r="C38" s="75"/>
      <c r="D38" s="3"/>
      <c r="E38" s="58" t="s">
        <v>109</v>
      </c>
      <c r="F38" s="79">
        <v>1307</v>
      </c>
      <c r="G38" s="54"/>
      <c r="H38" s="61" t="s">
        <v>86</v>
      </c>
      <c r="I38" s="61" t="s">
        <v>110</v>
      </c>
      <c r="J38" s="54"/>
      <c r="K38" s="68">
        <v>1</v>
      </c>
      <c r="L38" s="69" t="s">
        <v>111</v>
      </c>
    </row>
    <row r="39" spans="1:12" ht="29.1" customHeight="1" x14ac:dyDescent="0.25">
      <c r="A39" s="78" t="s">
        <v>112</v>
      </c>
      <c r="B39" s="135" t="s">
        <v>113</v>
      </c>
      <c r="C39" s="136"/>
      <c r="D39" s="3"/>
      <c r="E39" s="58" t="s">
        <v>47</v>
      </c>
      <c r="F39" s="79">
        <v>1727</v>
      </c>
      <c r="G39" s="54"/>
      <c r="H39" s="61" t="s">
        <v>90</v>
      </c>
      <c r="I39" s="61" t="s">
        <v>114</v>
      </c>
      <c r="J39" s="54"/>
      <c r="K39" s="126"/>
      <c r="L39" s="126"/>
    </row>
    <row r="40" spans="1:12" x14ac:dyDescent="0.25">
      <c r="A40" s="80"/>
      <c r="B40" s="81" t="s">
        <v>115</v>
      </c>
      <c r="C40" s="82"/>
      <c r="D40" s="3"/>
      <c r="E40" s="58" t="s">
        <v>116</v>
      </c>
      <c r="F40" s="79">
        <v>2346</v>
      </c>
      <c r="G40" s="54"/>
      <c r="H40" s="54"/>
      <c r="I40" s="54"/>
      <c r="J40" s="54"/>
      <c r="K40" s="126"/>
      <c r="L40" s="126"/>
    </row>
    <row r="41" spans="1:12" x14ac:dyDescent="0.25">
      <c r="A41" s="3"/>
      <c r="B41" s="3"/>
      <c r="C41" s="3"/>
      <c r="D41" s="3"/>
      <c r="E41" s="83"/>
      <c r="F41" s="84"/>
      <c r="G41" s="84"/>
      <c r="H41" s="84"/>
      <c r="I41" s="84"/>
      <c r="J41" s="84"/>
      <c r="K41" s="137"/>
      <c r="L41" s="137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138"/>
      <c r="L42" s="138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110"/>
      <c r="L43" s="110"/>
    </row>
    <row r="44" spans="1:12" x14ac:dyDescent="0.25">
      <c r="A44" s="139" t="s">
        <v>117</v>
      </c>
      <c r="B44" s="140"/>
      <c r="C44" s="143"/>
      <c r="D44" s="3"/>
      <c r="E44" s="94"/>
      <c r="F44" s="94"/>
      <c r="G44" s="95"/>
      <c r="H44" s="3"/>
      <c r="I44" s="3"/>
      <c r="J44" s="3"/>
      <c r="K44" s="110"/>
      <c r="L44" s="110"/>
    </row>
    <row r="45" spans="1:12" x14ac:dyDescent="0.25">
      <c r="A45" s="85" t="s">
        <v>118</v>
      </c>
      <c r="B45" s="144" t="s">
        <v>119</v>
      </c>
      <c r="C45" s="86" t="s">
        <v>120</v>
      </c>
      <c r="D45" s="3"/>
      <c r="E45" s="96"/>
      <c r="F45" s="97"/>
      <c r="G45" s="96"/>
      <c r="H45" s="3"/>
      <c r="I45" s="3"/>
      <c r="J45" s="3"/>
      <c r="K45" s="110"/>
      <c r="L45" s="110"/>
    </row>
    <row r="46" spans="1:12" x14ac:dyDescent="0.25">
      <c r="A46" s="87" t="s">
        <v>121</v>
      </c>
      <c r="B46" s="145">
        <v>796.02</v>
      </c>
      <c r="C46" s="88">
        <v>491.26</v>
      </c>
      <c r="D46" s="3"/>
      <c r="E46" s="96"/>
      <c r="F46" s="97"/>
      <c r="G46" s="96"/>
      <c r="H46" s="3"/>
      <c r="I46" s="3"/>
      <c r="J46" s="3"/>
      <c r="K46" s="110"/>
      <c r="L46" s="110"/>
    </row>
    <row r="47" spans="1:12" x14ac:dyDescent="0.25">
      <c r="A47" s="87" t="s">
        <v>122</v>
      </c>
      <c r="B47" s="145">
        <v>7459.33</v>
      </c>
      <c r="C47" s="88">
        <v>2789.26</v>
      </c>
      <c r="D47" s="3"/>
      <c r="E47" s="96"/>
      <c r="F47" s="97"/>
      <c r="G47" s="96"/>
      <c r="H47" s="3"/>
      <c r="I47" s="3"/>
      <c r="J47" s="3"/>
      <c r="K47" s="110"/>
      <c r="L47" s="110"/>
    </row>
    <row r="48" spans="1:12" x14ac:dyDescent="0.25">
      <c r="A48" s="87" t="s">
        <v>123</v>
      </c>
      <c r="B48" s="145">
        <v>1517.5</v>
      </c>
      <c r="C48" s="88">
        <v>891</v>
      </c>
      <c r="D48" s="3"/>
      <c r="E48" s="96"/>
      <c r="F48" s="97"/>
      <c r="G48" s="96"/>
      <c r="H48" s="3"/>
      <c r="I48" s="3"/>
      <c r="J48" s="3"/>
      <c r="K48" s="110"/>
      <c r="L48" s="110"/>
    </row>
    <row r="49" spans="1:12" x14ac:dyDescent="0.25">
      <c r="A49" s="89" t="s">
        <v>124</v>
      </c>
      <c r="B49" s="90">
        <v>11846.67</v>
      </c>
      <c r="C49" s="91">
        <v>6159.96</v>
      </c>
      <c r="D49" s="3"/>
      <c r="E49" s="96"/>
      <c r="F49" s="97"/>
      <c r="G49" s="96"/>
      <c r="H49" s="3"/>
      <c r="I49" s="3"/>
      <c r="J49" s="3"/>
      <c r="K49" s="110"/>
      <c r="L49" s="110"/>
    </row>
    <row r="50" spans="1:12" x14ac:dyDescent="0.25">
      <c r="A50" s="92"/>
      <c r="B50" s="92"/>
      <c r="C50" s="92"/>
      <c r="D50" s="92"/>
      <c r="E50" s="96"/>
      <c r="F50" s="97"/>
      <c r="G50" s="96"/>
      <c r="H50" s="92"/>
      <c r="I50" s="92"/>
      <c r="J50" s="92"/>
      <c r="K50" s="141"/>
      <c r="L50" s="141"/>
    </row>
    <row r="51" spans="1:12" x14ac:dyDescent="0.25">
      <c r="A51" s="92"/>
      <c r="B51" s="92"/>
      <c r="C51" s="92"/>
      <c r="D51" s="92"/>
      <c r="E51" s="96"/>
      <c r="F51" s="97"/>
      <c r="G51" s="96"/>
      <c r="H51" s="92"/>
      <c r="I51" s="92"/>
      <c r="J51" s="92"/>
      <c r="K51" s="141"/>
      <c r="L51" s="141"/>
    </row>
    <row r="52" spans="1:12" x14ac:dyDescent="0.25">
      <c r="A52" s="92"/>
      <c r="B52" s="92"/>
      <c r="C52" s="92"/>
      <c r="D52" s="92"/>
      <c r="E52" s="96"/>
      <c r="F52" s="97"/>
      <c r="G52" s="96"/>
      <c r="H52" s="92"/>
      <c r="I52" s="92"/>
      <c r="J52" s="92"/>
      <c r="K52" s="141"/>
      <c r="L52" s="141"/>
    </row>
    <row r="53" spans="1:12" x14ac:dyDescent="0.25">
      <c r="A53" s="92"/>
      <c r="B53" s="92"/>
      <c r="C53" s="92"/>
      <c r="D53" s="92"/>
      <c r="E53" s="96"/>
      <c r="F53" s="97"/>
      <c r="G53" s="96"/>
      <c r="H53" s="92"/>
      <c r="I53" s="92"/>
      <c r="J53" s="92"/>
      <c r="K53" s="141"/>
      <c r="L53" s="141"/>
    </row>
    <row r="54" spans="1:12" x14ac:dyDescent="0.25">
      <c r="A54" s="92"/>
      <c r="B54" s="92"/>
      <c r="C54" s="92"/>
      <c r="D54" s="92"/>
      <c r="E54" s="96"/>
      <c r="F54" s="97"/>
      <c r="G54" s="96"/>
      <c r="H54" s="92"/>
      <c r="I54" s="92"/>
      <c r="J54" s="92"/>
      <c r="K54" s="141"/>
      <c r="L54" s="141"/>
    </row>
    <row r="55" spans="1:12" x14ac:dyDescent="0.25">
      <c r="A55" s="92"/>
      <c r="B55" s="92"/>
      <c r="C55" s="92"/>
      <c r="D55" s="92"/>
      <c r="E55" s="96"/>
      <c r="F55" s="97"/>
      <c r="G55" s="96"/>
      <c r="H55" s="92"/>
      <c r="I55" s="92"/>
      <c r="J55" s="92"/>
      <c r="K55" s="141"/>
      <c r="L55" s="141"/>
    </row>
    <row r="56" spans="1:12" x14ac:dyDescent="0.25">
      <c r="A56" s="92"/>
      <c r="B56" s="92"/>
      <c r="C56" s="92"/>
      <c r="D56" s="92"/>
      <c r="E56" s="96"/>
      <c r="F56" s="97"/>
      <c r="G56" s="96"/>
      <c r="H56" s="92"/>
      <c r="I56" s="92"/>
      <c r="J56" s="92"/>
      <c r="K56" s="141"/>
      <c r="L56" s="141"/>
    </row>
    <row r="57" spans="1:12" ht="14.45" customHeight="1" x14ac:dyDescent="0.25">
      <c r="A57" s="92"/>
      <c r="B57" s="92"/>
      <c r="C57" s="92"/>
      <c r="D57" s="92"/>
      <c r="E57" s="142"/>
      <c r="F57" s="142"/>
      <c r="G57" s="93"/>
      <c r="H57" s="92"/>
      <c r="I57" s="92"/>
      <c r="J57" s="92"/>
      <c r="K57" s="141"/>
      <c r="L57" s="141"/>
    </row>
  </sheetData>
  <mergeCells count="54">
    <mergeCell ref="K55:L55"/>
    <mergeCell ref="K56:L56"/>
    <mergeCell ref="E57:F57"/>
    <mergeCell ref="K57:L57"/>
    <mergeCell ref="K49:L49"/>
    <mergeCell ref="K50:L50"/>
    <mergeCell ref="K51:L51"/>
    <mergeCell ref="K52:L52"/>
    <mergeCell ref="K53:L53"/>
    <mergeCell ref="K54:L54"/>
    <mergeCell ref="K48:L48"/>
    <mergeCell ref="B39:C39"/>
    <mergeCell ref="K39:L39"/>
    <mergeCell ref="K40:L40"/>
    <mergeCell ref="K41:L41"/>
    <mergeCell ref="K42:L42"/>
    <mergeCell ref="K43:L43"/>
    <mergeCell ref="A44:C44"/>
    <mergeCell ref="K44:L44"/>
    <mergeCell ref="K45:L45"/>
    <mergeCell ref="K46:L46"/>
    <mergeCell ref="K47:L47"/>
    <mergeCell ref="A29:B29"/>
    <mergeCell ref="K29:L29"/>
    <mergeCell ref="A30:B30"/>
    <mergeCell ref="K30:L30"/>
    <mergeCell ref="A31:B31"/>
    <mergeCell ref="K31:L33"/>
    <mergeCell ref="A32:B32"/>
    <mergeCell ref="K25:L25"/>
    <mergeCell ref="A26:C26"/>
    <mergeCell ref="K26:L26"/>
    <mergeCell ref="K27:L27"/>
    <mergeCell ref="A28:B28"/>
    <mergeCell ref="K28:L28"/>
    <mergeCell ref="K24:L24"/>
    <mergeCell ref="K14:L14"/>
    <mergeCell ref="E15:H15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E10:K11"/>
    <mergeCell ref="A11:C11"/>
    <mergeCell ref="K1:L1"/>
    <mergeCell ref="K2:L2"/>
    <mergeCell ref="K3:L3"/>
    <mergeCell ref="A4:B5"/>
    <mergeCell ref="E6:K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RESUMO GERAL</vt:lpstr>
      <vt:lpstr>Custos Sul e Sudeste</vt:lpstr>
      <vt:lpstr>Custos Norte e C.Oeste</vt:lpstr>
      <vt:lpstr>Custos Nordeste</vt:lpstr>
      <vt:lpstr>Receita Sul e Suldeste</vt:lpstr>
      <vt:lpstr>Receita Norte e C.Oeste</vt:lpstr>
      <vt:lpstr>Receita Nordeste</vt:lpstr>
      <vt:lpstr>SAZIONALIDADE</vt:lpstr>
      <vt:lpstr>REFERENCIA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Cardoso Moraes</dc:creator>
  <cp:lastModifiedBy>Julia Araujo Soares</cp:lastModifiedBy>
  <dcterms:created xsi:type="dcterms:W3CDTF">2024-12-03T22:45:20Z</dcterms:created>
  <dcterms:modified xsi:type="dcterms:W3CDTF">2024-12-05T04:26:18Z</dcterms:modified>
</cp:coreProperties>
</file>