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valdo Garcia\Downloads\"/>
    </mc:Choice>
  </mc:AlternateContent>
  <xr:revisionPtr revIDLastSave="0" documentId="13_ncr:1_{641DEE31-60D3-4B21-B9B0-8077BC9823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en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O40" i="1"/>
  <c r="O37" i="1"/>
  <c r="O36" i="1"/>
  <c r="O35" i="1"/>
  <c r="O34" i="1"/>
  <c r="O33" i="1"/>
  <c r="O31" i="1"/>
  <c r="O32" i="1"/>
  <c r="O30" i="1"/>
  <c r="O29" i="1"/>
  <c r="O28" i="1"/>
  <c r="O27" i="1"/>
  <c r="O26" i="1"/>
  <c r="O25" i="1"/>
  <c r="O24" i="1"/>
  <c r="O23" i="1"/>
  <c r="O9" i="1"/>
  <c r="O8" i="1"/>
  <c r="O7" i="1"/>
  <c r="O6" i="1"/>
  <c r="O5" i="1"/>
  <c r="O4" i="1"/>
  <c r="O3" i="1"/>
  <c r="O2" i="1"/>
  <c r="S4" i="1"/>
  <c r="H2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4" i="1"/>
  <c r="S37" i="1"/>
  <c r="S36" i="1"/>
  <c r="S35" i="1"/>
  <c r="S33" i="1"/>
  <c r="S32" i="1"/>
  <c r="S31" i="1"/>
  <c r="H6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8" i="1"/>
  <c r="S9" i="1"/>
  <c r="S10" i="1"/>
  <c r="S7" i="1"/>
  <c r="S6" i="1"/>
  <c r="S5" i="1"/>
  <c r="H233" i="1"/>
  <c r="H232" i="1"/>
  <c r="H231" i="1"/>
  <c r="H230" i="1"/>
  <c r="H229" i="1"/>
  <c r="H228" i="1"/>
  <c r="H227" i="1"/>
  <c r="H226" i="1"/>
  <c r="H225" i="1"/>
  <c r="H224" i="1"/>
  <c r="H196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3" i="1"/>
  <c r="L42" i="1" l="1"/>
  <c r="K8" i="1"/>
  <c r="K28" i="1"/>
  <c r="K119" i="1"/>
  <c r="K83" i="1"/>
  <c r="K60" i="1"/>
  <c r="K49" i="1"/>
  <c r="K128" i="1"/>
  <c r="L83" i="1"/>
  <c r="K32" i="1"/>
  <c r="K113" i="1"/>
  <c r="K77" i="1"/>
  <c r="K64" i="1"/>
  <c r="L121" i="1"/>
  <c r="K97" i="1"/>
  <c r="K42" i="1"/>
  <c r="K22" i="1"/>
  <c r="K117" i="1"/>
  <c r="K115" i="1"/>
  <c r="K81" i="1"/>
  <c r="K92" i="1"/>
  <c r="L128" i="1"/>
  <c r="L104" i="1"/>
  <c r="K54" i="1"/>
  <c r="K121" i="1"/>
  <c r="L97" i="1"/>
  <c r="K72" i="1"/>
  <c r="K124" i="1"/>
  <c r="K87" i="1"/>
  <c r="L64" i="1"/>
  <c r="K104" i="1"/>
  <c r="K110" i="1"/>
</calcChain>
</file>

<file path=xl/sharedStrings.xml><?xml version="1.0" encoding="utf-8"?>
<sst xmlns="http://schemas.openxmlformats.org/spreadsheetml/2006/main" count="1143" uniqueCount="277">
  <si>
    <t>Producto</t>
  </si>
  <si>
    <t>Categoría</t>
  </si>
  <si>
    <t>Cliente</t>
  </si>
  <si>
    <t>Departamento</t>
  </si>
  <si>
    <t>Fecha</t>
  </si>
  <si>
    <t>Cantidad</t>
  </si>
  <si>
    <t>Precio Unitario</t>
  </si>
  <si>
    <t>Ingreso</t>
  </si>
  <si>
    <t>Pedro Castillo</t>
  </si>
  <si>
    <t>Ana Torres</t>
  </si>
  <si>
    <t>Laura Ramos</t>
  </si>
  <si>
    <t>Karina Sorto</t>
  </si>
  <si>
    <t>Carlos Aguilar</t>
  </si>
  <si>
    <t>Joel Romero</t>
  </si>
  <si>
    <t>Karla Navarro</t>
  </si>
  <si>
    <t>Kenia Molina</t>
  </si>
  <si>
    <t>Eléctrico</t>
  </si>
  <si>
    <t>Pintura</t>
  </si>
  <si>
    <t>Baños</t>
  </si>
  <si>
    <t>Iluminación</t>
  </si>
  <si>
    <t>Ventilacion</t>
  </si>
  <si>
    <t>Electrodomésticos</t>
  </si>
  <si>
    <t>Jardinería</t>
  </si>
  <si>
    <t>Tubería eléctrica</t>
  </si>
  <si>
    <t>Audio y video</t>
  </si>
  <si>
    <t>Interruptores residenciales</t>
  </si>
  <si>
    <t>Aislantes eléctricos</t>
  </si>
  <si>
    <t>Tester y probadores</t>
  </si>
  <si>
    <t>Pinturas</t>
  </si>
  <si>
    <t>Protectores para madera</t>
  </si>
  <si>
    <t xml:space="preserve">pegamentos </t>
  </si>
  <si>
    <t>Escaleras</t>
  </si>
  <si>
    <t>Accesorios para baños</t>
  </si>
  <si>
    <t>lavamanos</t>
  </si>
  <si>
    <t>Decoracion para baño</t>
  </si>
  <si>
    <t>Innodoros</t>
  </si>
  <si>
    <t>Luminarias de interior</t>
  </si>
  <si>
    <t>Lámparas led</t>
  </si>
  <si>
    <t>Linternas</t>
  </si>
  <si>
    <t>Ventiladores</t>
  </si>
  <si>
    <t>Poliducto de 1/2 pulg</t>
  </si>
  <si>
    <t>Canal para piso 50x12mm</t>
  </si>
  <si>
    <t>Caja rectangular4x2pulg</t>
  </si>
  <si>
    <t>Caja octagonal 4 pulg</t>
  </si>
  <si>
    <t>Conector recto para cable de 1/2</t>
  </si>
  <si>
    <t>Conector curvo para cable de 3/4</t>
  </si>
  <si>
    <t>Manguito plastico para cable eléctrico 1/2pulg</t>
  </si>
  <si>
    <t>Toma doble rj45 cat6</t>
  </si>
  <si>
    <t>Toma coaxial para tv blanco rj45</t>
  </si>
  <si>
    <t>Toma para tv y telefono</t>
  </si>
  <si>
    <t>Spliter para cable coaxial 2 vias</t>
  </si>
  <si>
    <t>Cable para audio y video rca 6 pies</t>
  </si>
  <si>
    <t>Terminal para cable coaxial rg59</t>
  </si>
  <si>
    <t>Terminal para cable coaxial rg6</t>
  </si>
  <si>
    <t>Cable para audio rca 2 vias</t>
  </si>
  <si>
    <t>Control remoto universal 3 funciones</t>
  </si>
  <si>
    <t>Control remoto universal 5 funciones</t>
  </si>
  <si>
    <t>Cable para bocina 2 #16</t>
  </si>
  <si>
    <t>Cable para bocina 2x20</t>
  </si>
  <si>
    <t>Cable para bocina 14 transparente</t>
  </si>
  <si>
    <t>Auricular 3.5mm blanco</t>
  </si>
  <si>
    <t>Interruptor superficial 10a 125vac</t>
  </si>
  <si>
    <t>Interruptor sencillo negro 15a 120vac</t>
  </si>
  <si>
    <t>Interruptor tipo dado 4 vias blanco</t>
  </si>
  <si>
    <t>Interruptor tipo dado con llave 10a 125vac</t>
  </si>
  <si>
    <t>Interruptor de palanca con cables 6a 125vac</t>
  </si>
  <si>
    <t>Interruptor de palanca on-off 20a 125-127vac</t>
  </si>
  <si>
    <t>Cinta aislante 3/4pulg x 60pies</t>
  </si>
  <si>
    <t>Cinta aislante 3/4pulg x 20yds</t>
  </si>
  <si>
    <t>Cinta aislante negra</t>
  </si>
  <si>
    <t>Cinta aislante de teflon 1pug x 36yds</t>
  </si>
  <si>
    <t>Tester digital 600v ac/dc</t>
  </si>
  <si>
    <t>Tester digital 750vac/dc 10a</t>
  </si>
  <si>
    <t>Tester digital 750vac/dc 20a uso automotriz</t>
  </si>
  <si>
    <t>Soldador cautin 30w 120vac</t>
  </si>
  <si>
    <t>Amperímetro digital 400a milwaukee 223520</t>
  </si>
  <si>
    <t>Amperímetro digital 200a 1000vac/dc</t>
  </si>
  <si>
    <t>Probador de corriente</t>
  </si>
  <si>
    <t>Probador de voltaje led 1000 voltios</t>
  </si>
  <si>
    <t>Analizador de circuitos 125vac</t>
  </si>
  <si>
    <t>Pintura latex clásica blanco 1gal</t>
  </si>
  <si>
    <t>Mezclador de pintura 100mm</t>
  </si>
  <si>
    <t>Abridor de tapas de pintura</t>
  </si>
  <si>
    <t>Pintura en esmalte clásica dorado 1/8gal</t>
  </si>
  <si>
    <t>Pintura esmalte anticorrosivo blanco 4l</t>
  </si>
  <si>
    <t>Pintura anticorrosiva roja 4l</t>
  </si>
  <si>
    <t>Anticorrosivo negro brillante 1gal</t>
  </si>
  <si>
    <t>Barniz de poliuretano 3000 mate 4l</t>
  </si>
  <si>
    <t>Barniz de poliuretano base agua 3000 brillante 1 l</t>
  </si>
  <si>
    <t>Tinte al aceite arce amaranto 960 ml</t>
  </si>
  <si>
    <t>Tinte para madera al alcohol negro 960 ml</t>
  </si>
  <si>
    <t>Masilla para madera 1/8 gal</t>
  </si>
  <si>
    <t>Pegamento escolar 7.6 oz</t>
  </si>
  <si>
    <t>Pegamento resistol 850 1/8gal</t>
  </si>
  <si>
    <t>Pegamento resistol 950 1gal</t>
  </si>
  <si>
    <t>Pegamento cola blanca master pega 1gal</t>
  </si>
  <si>
    <t>Pegamento de contacto para laminados 1/32gal</t>
  </si>
  <si>
    <t>Pegamento de contacto para calzado 1gal</t>
  </si>
  <si>
    <t>Escalera aluminio de extension 28 pies</t>
  </si>
  <si>
    <t>Escalera aluminio de extension 16 pies</t>
  </si>
  <si>
    <t>Escalera 2 peldaños</t>
  </si>
  <si>
    <t>Escalera aluminio 2 bandas 6 pies</t>
  </si>
  <si>
    <t>Toallero de argolla acero inoxidable</t>
  </si>
  <si>
    <t>Toallero de argolla satinado</t>
  </si>
  <si>
    <t>Portarrollo para baño</t>
  </si>
  <si>
    <t>Jabonera para baño plástica transparente rectangular</t>
  </si>
  <si>
    <t>Dispensador de jabón líquido para baño plástico</t>
  </si>
  <si>
    <t>Percha acero inoxidable</t>
  </si>
  <si>
    <t>Percha doble cromada</t>
  </si>
  <si>
    <t>Lavamanos ovalado de empotrar blanco</t>
  </si>
  <si>
    <t>Lavamanos de submontar cuadrado color blanco 39x40.3cm</t>
  </si>
  <si>
    <t>Lavamanos de pared ovalado blanco  aguazul</t>
  </si>
  <si>
    <t>Lavamano de pared ovalado blanco</t>
  </si>
  <si>
    <t>Lavamano de sobreponer redondo blanco</t>
  </si>
  <si>
    <t>Espejo para baño con repisablanco</t>
  </si>
  <si>
    <t>Espejo para baño con repisanegro</t>
  </si>
  <si>
    <t>Alfombra para baño antideslizante 43x92cm</t>
  </si>
  <si>
    <t>Tubo para cortina de baño 100-180cm crema</t>
  </si>
  <si>
    <t>Inodoro elongado de 1 pieza color blanco</t>
  </si>
  <si>
    <t>Inodoro redondo blanco 2 pzas</t>
  </si>
  <si>
    <t>Lámpara colgante 1 luz e27 cobre antiguo</t>
  </si>
  <si>
    <t>Lámpara colgante vidrio negro 1l e27</t>
  </si>
  <si>
    <t>Lámpara de pared led 4.2w blanca</t>
  </si>
  <si>
    <t>Chasis para tubo led 3x18w 2x4 pies</t>
  </si>
  <si>
    <t>Foco led 7w e27 luz amarilla</t>
  </si>
  <si>
    <t>Foco led 30w e27 luz blanca alta potencia</t>
  </si>
  <si>
    <t>Reflector led gu10 5w luz blanca set de 3 pzas</t>
  </si>
  <si>
    <t>Reflector led gu10 4w luz amarilla</t>
  </si>
  <si>
    <t>Tubo led de vidrio 18w luz blanca</t>
  </si>
  <si>
    <t>Lámpara de mano led verde 9 leds</t>
  </si>
  <si>
    <t>Foco incandescente para lámpara de amno 3d</t>
  </si>
  <si>
    <t>Ventilador de mesa blanco ambiance 12 pulg</t>
  </si>
  <si>
    <t>Ventilador de mesa turbo 8pulg 3 velocidades</t>
  </si>
  <si>
    <t>Ventilador de mesa blanco 13pulg</t>
  </si>
  <si>
    <t>Ventilador de techo 32pulg 6 aspas</t>
  </si>
  <si>
    <t>Ventilador de techo de 3 aspas 76.20cm</t>
  </si>
  <si>
    <t>Ventilador de pared industrial de 30pulg</t>
  </si>
  <si>
    <t>Ventilador de pared de 18pulg</t>
  </si>
  <si>
    <t>Cafeteras y teteras</t>
  </si>
  <si>
    <t>Cocina</t>
  </si>
  <si>
    <t>Licuadoras</t>
  </si>
  <si>
    <t>Microondas</t>
  </si>
  <si>
    <t>Tostadores de pan</t>
  </si>
  <si>
    <t>Planchas</t>
  </si>
  <si>
    <t>Cafetera italiana de acero inoxidable 0.8 taza</t>
  </si>
  <si>
    <t>Cafetera italiana de aluminio color azul</t>
  </si>
  <si>
    <t>Cafetera eléctrica 12 tazas negra</t>
  </si>
  <si>
    <t>Cafetera 5 tazas acero inoxidable</t>
  </si>
  <si>
    <t>Hervidor de agua electrico 1.7l</t>
  </si>
  <si>
    <t>Tetera electrica de plastico 1.7l negro</t>
  </si>
  <si>
    <t>Parrilla electrica negra</t>
  </si>
  <si>
    <t>Cocina electrica de 2 hornillas de 500w y  1000w</t>
  </si>
  <si>
    <t>Cocina de gas 1 quemador</t>
  </si>
  <si>
    <t>Licuadora vaso plastico 1.5l</t>
  </si>
  <si>
    <t>Licuadora vaso de vidrio 1.5l 4 velocidades</t>
  </si>
  <si>
    <t>Horno microondas 31l</t>
  </si>
  <si>
    <t>Horno microondas digital 0.7 pies negro</t>
  </si>
  <si>
    <t>Tostador de pan 2 rebanadas negro</t>
  </si>
  <si>
    <t>Tostadora de 2 rebanadas</t>
  </si>
  <si>
    <t>Plancha a vapor 900w</t>
  </si>
  <si>
    <t>Plancha a vapor vertical</t>
  </si>
  <si>
    <t>Riego</t>
  </si>
  <si>
    <t>Manguera refozada para jardín 3/4 pulg x 100 pies</t>
  </si>
  <si>
    <t>Rociador plastico 500ml</t>
  </si>
  <si>
    <t>Regadera plastica 8l</t>
  </si>
  <si>
    <t>Herramientas para jardín</t>
  </si>
  <si>
    <t>Tijera para podar</t>
  </si>
  <si>
    <t>Serrucho plegable para podar</t>
  </si>
  <si>
    <t>Rastrillo plastico para jardin 22 dientes</t>
  </si>
  <si>
    <t>Rastrillo metálico para jardín 22 dientes</t>
  </si>
  <si>
    <t>Kevin Ramírez</t>
  </si>
  <si>
    <t>José Hernández</t>
  </si>
  <si>
    <t>Ana Fuentes</t>
  </si>
  <si>
    <t>Pedro Sorto</t>
  </si>
  <si>
    <t>Juan Pérez</t>
  </si>
  <si>
    <t>María González</t>
  </si>
  <si>
    <t>Luis Rodríguez</t>
  </si>
  <si>
    <t>Ana Martínez</t>
  </si>
  <si>
    <t>Carlos López</t>
  </si>
  <si>
    <t>Laura Sánchez</t>
  </si>
  <si>
    <t>José Días</t>
  </si>
  <si>
    <t>Carmen Torres</t>
  </si>
  <si>
    <t>Fernando Ramírez</t>
  </si>
  <si>
    <t>Patricia Herrera</t>
  </si>
  <si>
    <t>Javier Morales</t>
  </si>
  <si>
    <t>Rosa Castro</t>
  </si>
  <si>
    <t>Diego Romero</t>
  </si>
  <si>
    <t>Teresa Ruiz</t>
  </si>
  <si>
    <t>Manuel Ortega</t>
  </si>
  <si>
    <t>Isabel Vargas</t>
  </si>
  <si>
    <t>David Jiménez</t>
  </si>
  <si>
    <t>Elena Mendoza</t>
  </si>
  <si>
    <t>Andrés Silva</t>
  </si>
  <si>
    <t>Sofía Fernández</t>
  </si>
  <si>
    <t>Miguel Soto</t>
  </si>
  <si>
    <t>Claudia Peña</t>
  </si>
  <si>
    <t>Alberto Salazar</t>
  </si>
  <si>
    <t>Grabiela Medina</t>
  </si>
  <si>
    <t>Sergio Paredes</t>
  </si>
  <si>
    <t>Paula Aguirre</t>
  </si>
  <si>
    <t>Ricardo Cordero</t>
  </si>
  <si>
    <t>Mariana Ríos</t>
  </si>
  <si>
    <t>Victoriano Zamora</t>
  </si>
  <si>
    <t>Ana Castro</t>
  </si>
  <si>
    <t>Tomás Andrade</t>
  </si>
  <si>
    <t>Valeria Ceballos</t>
  </si>
  <si>
    <t>Felipe Acosta</t>
  </si>
  <si>
    <t>Carolina Salinas</t>
  </si>
  <si>
    <t>Oscar Guzmán</t>
  </si>
  <si>
    <t>Lucía Villalobos</t>
  </si>
  <si>
    <t>Gustavo León</t>
  </si>
  <si>
    <t>Natalia Quiroz</t>
  </si>
  <si>
    <t>Ernesto Salinas</t>
  </si>
  <si>
    <t>Andrea Castillo</t>
  </si>
  <si>
    <t>Raúl Villanueva</t>
  </si>
  <si>
    <t>Beatriz Álvarez</t>
  </si>
  <si>
    <t>Nicolás Calderón</t>
  </si>
  <si>
    <t>Fabiola Mendoza</t>
  </si>
  <si>
    <t>Julián Escobar</t>
  </si>
  <si>
    <t>Verónica Castañeda</t>
  </si>
  <si>
    <t>Hugo Bravo</t>
  </si>
  <si>
    <t>Estefanía Medina</t>
  </si>
  <si>
    <t>Armando Rojas</t>
  </si>
  <si>
    <t>Mónica Parra</t>
  </si>
  <si>
    <t>Cristian Cortés</t>
  </si>
  <si>
    <t>Letica Rivas</t>
  </si>
  <si>
    <t>Julián Aguirre</t>
  </si>
  <si>
    <t>Carolina Salazar</t>
  </si>
  <si>
    <t>Leonardo Pizarro</t>
  </si>
  <si>
    <t>Teresa Mendoza</t>
  </si>
  <si>
    <t>Ramón Quiñones</t>
  </si>
  <si>
    <t>Viviana Palacios</t>
  </si>
  <si>
    <t>Joaquín  León</t>
  </si>
  <si>
    <t>Patricia Castro</t>
  </si>
  <si>
    <t>Samuel Aguayo</t>
  </si>
  <si>
    <t>Alicia Cárdenas</t>
  </si>
  <si>
    <t>Emiliano Salas</t>
  </si>
  <si>
    <t>Gabriela Torres</t>
  </si>
  <si>
    <t>Santiafo López</t>
  </si>
  <si>
    <t>Yessica Morales</t>
  </si>
  <si>
    <t>Andrés Vargas</t>
  </si>
  <si>
    <t>Lilia Jiménez</t>
  </si>
  <si>
    <t>Patricia López</t>
  </si>
  <si>
    <t>Osvaldo García</t>
  </si>
  <si>
    <t>Carlos Castro</t>
  </si>
  <si>
    <t>Categorías: Eléctrico, pintura, baños, iluminación, ventilación, electrodomésticos y jardinería(7)</t>
  </si>
  <si>
    <t>Fernando Ortiz</t>
  </si>
  <si>
    <t>Lámpara de mano led negra 3aa y recargable</t>
  </si>
  <si>
    <t>Lámpara de mano led recargable</t>
  </si>
  <si>
    <t>Lámpara de mano led aluminio negro 2 baterias aa</t>
  </si>
  <si>
    <t>Total por categoria</t>
  </si>
  <si>
    <t>Interrupores residenc</t>
  </si>
  <si>
    <t>Test y probadores</t>
  </si>
  <si>
    <t>Pnturas</t>
  </si>
  <si>
    <t>Protectores para mad</t>
  </si>
  <si>
    <t>Pegamentos</t>
  </si>
  <si>
    <t>Lavamanos</t>
  </si>
  <si>
    <t>Decor para baño</t>
  </si>
  <si>
    <t>cafeteras y teteras</t>
  </si>
  <si>
    <t>Herram para jardín</t>
  </si>
  <si>
    <t>Total por departamentos</t>
  </si>
  <si>
    <t>Ventilación</t>
  </si>
  <si>
    <t>10 productos más vendidos</t>
  </si>
  <si>
    <t>Enero</t>
  </si>
  <si>
    <t>Febrero</t>
  </si>
  <si>
    <t>Marzo</t>
  </si>
  <si>
    <t>Abril</t>
  </si>
  <si>
    <t>Mayo</t>
  </si>
  <si>
    <t>Junio</t>
  </si>
  <si>
    <t xml:space="preserve">Julio </t>
  </si>
  <si>
    <t>Agosto</t>
  </si>
  <si>
    <t>Mes</t>
  </si>
  <si>
    <t xml:space="preserve">Ingresos </t>
  </si>
  <si>
    <t>Ingresos</t>
  </si>
  <si>
    <t>Buscar nombre</t>
  </si>
  <si>
    <t>cantidad vendida</t>
  </si>
  <si>
    <t>Veces que se vendió el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</si>
</sst>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0" borderId="0" xfId="0" applyFont="1" applyAlignment="1">
      <alignment horizontal="center" vertical="top"/>
    </xf>
    <xf numFmtId="0" fontId="0" fillId="16" borderId="0" xfId="0" applyFill="1"/>
    <xf numFmtId="0" fontId="0" fillId="17" borderId="0" xfId="0" applyFill="1"/>
    <xf numFmtId="0" fontId="0" fillId="18" borderId="0" xfId="0" applyFill="1"/>
    <xf numFmtId="0" fontId="3" fillId="19" borderId="0" xfId="1" applyFont="1" applyFill="1"/>
    <xf numFmtId="0" fontId="3" fillId="20" borderId="0" xfId="1" applyFont="1" applyFill="1"/>
    <xf numFmtId="0" fontId="3" fillId="21" borderId="0" xfId="1" applyFont="1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22" borderId="1" xfId="0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0" fontId="0" fillId="2" borderId="1" xfId="0" applyFill="1" applyBorder="1"/>
    <xf numFmtId="0" fontId="0" fillId="27" borderId="0" xfId="0" applyFill="1"/>
    <xf numFmtId="0" fontId="0" fillId="27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FFCC66"/>
      <color rgb="FFCCECFF"/>
      <color rgb="FF66FFFF"/>
      <color rgb="FFCCCCFF"/>
      <color rgb="FFC0C0C0"/>
      <color rgb="FFFF6600"/>
      <color rgb="FF9900FF"/>
      <color rgb="FF9966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3"/>
  <sheetViews>
    <sheetView tabSelected="1" topLeftCell="H13" zoomScale="80" zoomScaleNormal="80" workbookViewId="0">
      <selection activeCell="M35" sqref="M35"/>
    </sheetView>
  </sheetViews>
  <sheetFormatPr baseColWidth="10" defaultColWidth="8.88671875" defaultRowHeight="14.4" x14ac:dyDescent="0.3"/>
  <cols>
    <col min="1" max="1" width="53" customWidth="1"/>
    <col min="2" max="2" width="24" customWidth="1"/>
    <col min="3" max="4" width="18.109375" customWidth="1"/>
    <col min="5" max="5" width="12.77734375" customWidth="1"/>
    <col min="7" max="7" width="14.5546875" customWidth="1"/>
    <col min="11" max="11" width="20" customWidth="1"/>
    <col min="12" max="17" width="29" customWidth="1"/>
    <col min="18" max="18" width="22" customWidth="1"/>
    <col min="19" max="19" width="37.109375" customWidth="1"/>
    <col min="20" max="20" width="71.21875" customWidth="1"/>
    <col min="21" max="21" width="21.664062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/>
      <c r="J1" s="17"/>
      <c r="K1" s="1" t="s">
        <v>250</v>
      </c>
      <c r="L1" s="1" t="s">
        <v>260</v>
      </c>
      <c r="M1" s="17"/>
      <c r="N1" s="1" t="s">
        <v>271</v>
      </c>
      <c r="O1" s="1" t="s">
        <v>272</v>
      </c>
      <c r="P1" s="17"/>
      <c r="S1" t="s">
        <v>245</v>
      </c>
    </row>
    <row r="2" spans="1:21" x14ac:dyDescent="0.3">
      <c r="A2" t="s">
        <v>40</v>
      </c>
      <c r="B2" s="5" t="s">
        <v>23</v>
      </c>
      <c r="C2" t="s">
        <v>8</v>
      </c>
      <c r="D2" t="s">
        <v>16</v>
      </c>
      <c r="E2" s="2">
        <v>44927</v>
      </c>
      <c r="F2">
        <v>3</v>
      </c>
      <c r="G2">
        <v>0.16</v>
      </c>
      <c r="H2">
        <f>(F2*G2)</f>
        <v>0.48</v>
      </c>
      <c r="J2" s="17"/>
      <c r="K2" s="1"/>
      <c r="L2" s="1"/>
      <c r="M2" s="17"/>
      <c r="N2" s="32" t="s">
        <v>263</v>
      </c>
      <c r="O2" s="33">
        <f>SUM(H2:H32)</f>
        <v>1232.81</v>
      </c>
      <c r="P2" s="17"/>
      <c r="Q2" s="17"/>
      <c r="R2" s="17"/>
      <c r="T2" t="s">
        <v>262</v>
      </c>
    </row>
    <row r="3" spans="1:21" x14ac:dyDescent="0.3">
      <c r="A3" t="s">
        <v>40</v>
      </c>
      <c r="B3" s="5" t="s">
        <v>23</v>
      </c>
      <c r="C3" t="s">
        <v>8</v>
      </c>
      <c r="D3" t="s">
        <v>16</v>
      </c>
      <c r="E3" s="2">
        <v>44927</v>
      </c>
      <c r="F3">
        <v>3</v>
      </c>
      <c r="G3">
        <v>0.16</v>
      </c>
      <c r="H3">
        <f>(F3*G3)</f>
        <v>0.48</v>
      </c>
      <c r="K3" s="30"/>
      <c r="L3" s="30"/>
      <c r="N3" s="30" t="s">
        <v>264</v>
      </c>
      <c r="O3" s="30">
        <f>SUM(H33:H60)</f>
        <v>2523.21</v>
      </c>
      <c r="S3" s="29" t="s">
        <v>276</v>
      </c>
      <c r="T3" s="29" t="s">
        <v>0</v>
      </c>
      <c r="U3" s="29" t="s">
        <v>275</v>
      </c>
    </row>
    <row r="4" spans="1:21" x14ac:dyDescent="0.3">
      <c r="A4" t="s">
        <v>43</v>
      </c>
      <c r="B4" s="5" t="s">
        <v>23</v>
      </c>
      <c r="C4" t="s">
        <v>171</v>
      </c>
      <c r="D4" t="s">
        <v>16</v>
      </c>
      <c r="E4" s="2">
        <v>44929</v>
      </c>
      <c r="F4">
        <v>2</v>
      </c>
      <c r="G4">
        <v>0.7</v>
      </c>
      <c r="H4">
        <f t="shared" ref="H4:H67" si="0">(F4*G4)</f>
        <v>1.4</v>
      </c>
      <c r="K4" s="30"/>
      <c r="L4" s="30"/>
      <c r="N4" s="30" t="s">
        <v>265</v>
      </c>
      <c r="O4" s="30">
        <f>SUM(H61:H91)</f>
        <v>5059.91</v>
      </c>
      <c r="S4" s="30">
        <f>COUNTIF(A2:A233, "Poliducto de 1/2 pulg")</f>
        <v>2</v>
      </c>
      <c r="T4" s="30" t="s">
        <v>40</v>
      </c>
      <c r="U4">
        <v>6</v>
      </c>
    </row>
    <row r="5" spans="1:21" x14ac:dyDescent="0.3">
      <c r="A5" t="s">
        <v>42</v>
      </c>
      <c r="B5" s="5" t="s">
        <v>23</v>
      </c>
      <c r="C5" t="s">
        <v>172</v>
      </c>
      <c r="D5" t="s">
        <v>16</v>
      </c>
      <c r="E5" s="2">
        <v>44930</v>
      </c>
      <c r="F5">
        <v>1</v>
      </c>
      <c r="G5">
        <v>1.25</v>
      </c>
      <c r="H5">
        <f t="shared" si="0"/>
        <v>1.25</v>
      </c>
      <c r="K5" s="30"/>
      <c r="L5" s="30"/>
      <c r="N5" s="30" t="s">
        <v>266</v>
      </c>
      <c r="O5" s="30">
        <f>SUM(H92:H121)</f>
        <v>4384.25</v>
      </c>
      <c r="S5" s="31">
        <f>COUNTIF(A3:A233, "Canal para piso 50x12mm")</f>
        <v>9</v>
      </c>
      <c r="T5" s="31" t="s">
        <v>41</v>
      </c>
      <c r="U5">
        <v>35</v>
      </c>
    </row>
    <row r="6" spans="1:21" x14ac:dyDescent="0.3">
      <c r="A6" t="s">
        <v>44</v>
      </c>
      <c r="B6" s="5" t="s">
        <v>23</v>
      </c>
      <c r="C6" t="s">
        <v>9</v>
      </c>
      <c r="D6" t="s">
        <v>16</v>
      </c>
      <c r="E6" s="2">
        <v>44931</v>
      </c>
      <c r="F6">
        <v>5</v>
      </c>
      <c r="G6">
        <v>0.4</v>
      </c>
      <c r="H6">
        <f t="shared" si="0"/>
        <v>2</v>
      </c>
      <c r="K6" s="30"/>
      <c r="L6" s="30"/>
      <c r="N6" s="30" t="s">
        <v>267</v>
      </c>
      <c r="O6" s="30">
        <f>SUM(H122:H152)</f>
        <v>2524.9300000000003</v>
      </c>
      <c r="S6" s="31">
        <f>COUNTIF(A3:A233, "Caja octagonal 4 pulg")</f>
        <v>10</v>
      </c>
      <c r="T6" s="31" t="s">
        <v>43</v>
      </c>
      <c r="U6">
        <v>38</v>
      </c>
    </row>
    <row r="7" spans="1:21" x14ac:dyDescent="0.3">
      <c r="A7" t="s">
        <v>45</v>
      </c>
      <c r="B7" s="5" t="s">
        <v>23</v>
      </c>
      <c r="C7" t="s">
        <v>10</v>
      </c>
      <c r="D7" t="s">
        <v>16</v>
      </c>
      <c r="E7" s="2">
        <v>44932</v>
      </c>
      <c r="F7">
        <v>6</v>
      </c>
      <c r="G7">
        <v>3.7</v>
      </c>
      <c r="H7">
        <f t="shared" si="0"/>
        <v>22.200000000000003</v>
      </c>
      <c r="K7" s="30" t="s">
        <v>23</v>
      </c>
      <c r="L7" s="30"/>
      <c r="N7" s="30" t="s">
        <v>268</v>
      </c>
      <c r="O7" s="30">
        <f>SUM(H153:H182)</f>
        <v>2656.0999999999995</v>
      </c>
      <c r="S7" s="30">
        <f>COUNTIF(A3:A233, "Caja rectangular4x2pulg")</f>
        <v>1</v>
      </c>
      <c r="T7" s="30" t="s">
        <v>42</v>
      </c>
      <c r="U7">
        <v>1</v>
      </c>
    </row>
    <row r="8" spans="1:21" x14ac:dyDescent="0.3">
      <c r="A8" t="s">
        <v>46</v>
      </c>
      <c r="B8" s="5" t="s">
        <v>23</v>
      </c>
      <c r="C8" t="s">
        <v>8</v>
      </c>
      <c r="D8" t="s">
        <v>16</v>
      </c>
      <c r="E8" s="2">
        <v>44933</v>
      </c>
      <c r="F8">
        <v>3</v>
      </c>
      <c r="G8">
        <v>1.5</v>
      </c>
      <c r="H8">
        <f t="shared" si="0"/>
        <v>4.5</v>
      </c>
      <c r="K8" s="30">
        <f>SUM(H2,H3,H4,H5,H6,H7,H8,H129,H130,H134,H144,H145,H149,H154,H155,H159,H164,H165,H169,H174,H175,H179,H184,H185,H189,H194,H195,H199,H204,H205,H209,H214,H215,H219)</f>
        <v>365.2600000000001</v>
      </c>
      <c r="L8" s="30"/>
      <c r="N8" s="30" t="s">
        <v>269</v>
      </c>
      <c r="O8" s="30">
        <f>SUM(H183:H213)</f>
        <v>2757.45</v>
      </c>
      <c r="S8" s="30">
        <f>COUNTIF(A3:A233, "Conector recto para cable de 1/2")</f>
        <v>1</v>
      </c>
      <c r="T8" s="30" t="s">
        <v>44</v>
      </c>
      <c r="U8">
        <v>5</v>
      </c>
    </row>
    <row r="9" spans="1:21" x14ac:dyDescent="0.3">
      <c r="A9" t="s">
        <v>47</v>
      </c>
      <c r="B9" s="6" t="s">
        <v>24</v>
      </c>
      <c r="C9" t="s">
        <v>11</v>
      </c>
      <c r="D9" t="s">
        <v>16</v>
      </c>
      <c r="E9" s="2">
        <v>44934</v>
      </c>
      <c r="F9">
        <v>2</v>
      </c>
      <c r="G9">
        <v>11.95</v>
      </c>
      <c r="H9">
        <f t="shared" si="0"/>
        <v>23.9</v>
      </c>
      <c r="K9" s="30"/>
      <c r="L9" s="30"/>
      <c r="N9" s="30" t="s">
        <v>270</v>
      </c>
      <c r="O9" s="30">
        <f>SUM(H214:H233)</f>
        <v>2397.1999999999998</v>
      </c>
      <c r="S9" s="30">
        <f>COUNTIF(A3:A233, "Conector curvo para cable de 3/4")</f>
        <v>1</v>
      </c>
      <c r="T9" s="30" t="s">
        <v>45</v>
      </c>
      <c r="U9">
        <v>6</v>
      </c>
    </row>
    <row r="10" spans="1:21" x14ac:dyDescent="0.3">
      <c r="A10" t="s">
        <v>48</v>
      </c>
      <c r="B10" s="6" t="s">
        <v>24</v>
      </c>
      <c r="C10" t="s">
        <v>173</v>
      </c>
      <c r="D10" t="s">
        <v>16</v>
      </c>
      <c r="E10" s="2">
        <v>44935</v>
      </c>
      <c r="F10">
        <v>1</v>
      </c>
      <c r="G10">
        <v>8.9499999999999993</v>
      </c>
      <c r="H10">
        <f t="shared" si="0"/>
        <v>8.9499999999999993</v>
      </c>
      <c r="K10" s="30"/>
      <c r="L10" s="30"/>
      <c r="S10" s="31">
        <f>COUNTIF(A3:A233,"Manguito plastico para cable eléctrico 1/2pulg")</f>
        <v>10</v>
      </c>
      <c r="T10" s="31" t="s">
        <v>46</v>
      </c>
      <c r="U10">
        <v>46</v>
      </c>
    </row>
    <row r="11" spans="1:21" x14ac:dyDescent="0.3">
      <c r="A11" t="s">
        <v>49</v>
      </c>
      <c r="B11" s="6" t="s">
        <v>24</v>
      </c>
      <c r="C11" t="s">
        <v>174</v>
      </c>
      <c r="D11" t="s">
        <v>16</v>
      </c>
      <c r="E11" s="2">
        <v>44936</v>
      </c>
      <c r="F11">
        <v>7</v>
      </c>
      <c r="G11">
        <v>6.2</v>
      </c>
      <c r="H11">
        <f t="shared" si="0"/>
        <v>43.4</v>
      </c>
      <c r="K11" s="30"/>
      <c r="L11" s="30"/>
      <c r="S11" s="30">
        <f>COUNTIF(A3:A233, "Toma doble rj45 cat6")</f>
        <v>1</v>
      </c>
      <c r="T11" s="30" t="s">
        <v>47</v>
      </c>
      <c r="U11">
        <v>2</v>
      </c>
    </row>
    <row r="12" spans="1:21" x14ac:dyDescent="0.3">
      <c r="A12" t="s">
        <v>50</v>
      </c>
      <c r="B12" s="6" t="s">
        <v>24</v>
      </c>
      <c r="C12" t="s">
        <v>175</v>
      </c>
      <c r="D12" t="s">
        <v>16</v>
      </c>
      <c r="E12" s="2">
        <v>44937</v>
      </c>
      <c r="F12">
        <v>3</v>
      </c>
      <c r="G12">
        <v>5.75</v>
      </c>
      <c r="H12">
        <f t="shared" si="0"/>
        <v>17.25</v>
      </c>
      <c r="K12" s="30"/>
      <c r="L12" s="30"/>
      <c r="S12" s="30">
        <f>COUNTIF(A3:A233, "Toma coaxial para tv blanco rj45")</f>
        <v>1</v>
      </c>
      <c r="T12" s="30" t="s">
        <v>48</v>
      </c>
      <c r="U12">
        <v>1</v>
      </c>
    </row>
    <row r="13" spans="1:21" x14ac:dyDescent="0.3">
      <c r="A13" t="s">
        <v>51</v>
      </c>
      <c r="B13" s="6" t="s">
        <v>24</v>
      </c>
      <c r="C13" t="s">
        <v>176</v>
      </c>
      <c r="D13" t="s">
        <v>16</v>
      </c>
      <c r="E13" s="2">
        <v>44938</v>
      </c>
      <c r="F13">
        <v>5</v>
      </c>
      <c r="G13">
        <v>3.25</v>
      </c>
      <c r="H13">
        <f t="shared" si="0"/>
        <v>16.25</v>
      </c>
      <c r="K13" s="30"/>
      <c r="L13" s="30"/>
      <c r="S13" s="30">
        <f>COUNTIF(A3:A233, "Toma para tv y telefono")</f>
        <v>1</v>
      </c>
      <c r="T13" s="30" t="s">
        <v>49</v>
      </c>
    </row>
    <row r="14" spans="1:21" x14ac:dyDescent="0.3">
      <c r="A14" t="s">
        <v>52</v>
      </c>
      <c r="B14" s="6" t="s">
        <v>24</v>
      </c>
      <c r="C14" t="s">
        <v>177</v>
      </c>
      <c r="D14" t="s">
        <v>16</v>
      </c>
      <c r="E14" s="2">
        <v>44939</v>
      </c>
      <c r="F14">
        <v>3</v>
      </c>
      <c r="G14">
        <v>2.4</v>
      </c>
      <c r="H14">
        <f t="shared" si="0"/>
        <v>7.1999999999999993</v>
      </c>
      <c r="K14" s="30"/>
      <c r="L14" s="30"/>
      <c r="S14" s="30">
        <f>COUNTIF(A3:A233, "Spliter para cable coaxial 2 vias")</f>
        <v>1</v>
      </c>
      <c r="T14" s="30" t="s">
        <v>50</v>
      </c>
    </row>
    <row r="15" spans="1:21" x14ac:dyDescent="0.3">
      <c r="A15" t="s">
        <v>53</v>
      </c>
      <c r="B15" s="6" t="s">
        <v>24</v>
      </c>
      <c r="C15" t="s">
        <v>178</v>
      </c>
      <c r="D15" t="s">
        <v>16</v>
      </c>
      <c r="E15" s="2">
        <v>44940</v>
      </c>
      <c r="F15">
        <v>2</v>
      </c>
      <c r="G15">
        <v>0.15</v>
      </c>
      <c r="H15">
        <f t="shared" si="0"/>
        <v>0.3</v>
      </c>
      <c r="K15" s="30"/>
      <c r="L15" s="30"/>
      <c r="N15" s="1" t="s">
        <v>2</v>
      </c>
      <c r="O15" s="1" t="s">
        <v>273</v>
      </c>
      <c r="S15" s="30">
        <f>COUNTIF(A3:A233, "Cable para audio y video rca 6 pies")</f>
        <v>1</v>
      </c>
      <c r="T15" s="30" t="s">
        <v>51</v>
      </c>
    </row>
    <row r="16" spans="1:21" x14ac:dyDescent="0.3">
      <c r="A16" t="s">
        <v>54</v>
      </c>
      <c r="B16" s="6" t="s">
        <v>24</v>
      </c>
      <c r="C16" t="s">
        <v>179</v>
      </c>
      <c r="D16" t="s">
        <v>16</v>
      </c>
      <c r="E16" s="2">
        <v>44941</v>
      </c>
      <c r="F16">
        <v>1</v>
      </c>
      <c r="G16">
        <v>1.5</v>
      </c>
      <c r="H16">
        <f t="shared" si="0"/>
        <v>1.5</v>
      </c>
      <c r="K16" s="30"/>
      <c r="L16" s="30"/>
      <c r="N16" s="36" t="s">
        <v>8</v>
      </c>
      <c r="O16" s="36">
        <v>78.16</v>
      </c>
      <c r="S16" s="30">
        <f>COUNTIF(A3:A233, "Terminal para cable coaxial rg59")</f>
        <v>1</v>
      </c>
      <c r="T16" s="30" t="s">
        <v>52</v>
      </c>
    </row>
    <row r="17" spans="1:20" x14ac:dyDescent="0.3">
      <c r="A17" t="s">
        <v>55</v>
      </c>
      <c r="B17" s="6" t="s">
        <v>24</v>
      </c>
      <c r="C17" t="s">
        <v>180</v>
      </c>
      <c r="D17" t="s">
        <v>16</v>
      </c>
      <c r="E17" s="2">
        <v>44942</v>
      </c>
      <c r="F17">
        <v>8</v>
      </c>
      <c r="G17">
        <v>8.9499999999999993</v>
      </c>
      <c r="H17">
        <f t="shared" si="0"/>
        <v>71.599999999999994</v>
      </c>
      <c r="K17" s="30"/>
      <c r="L17" s="30"/>
      <c r="N17" s="30" t="s">
        <v>171</v>
      </c>
      <c r="O17" s="30"/>
      <c r="S17" s="30">
        <f>COUNTIF(A3:A233, "Terminal para cable coaxial rg6")</f>
        <v>1</v>
      </c>
      <c r="T17" s="30" t="s">
        <v>53</v>
      </c>
    </row>
    <row r="18" spans="1:20" x14ac:dyDescent="0.3">
      <c r="A18" t="s">
        <v>56</v>
      </c>
      <c r="B18" s="6" t="s">
        <v>24</v>
      </c>
      <c r="C18" t="s">
        <v>181</v>
      </c>
      <c r="D18" t="s">
        <v>16</v>
      </c>
      <c r="E18" s="2">
        <v>44943</v>
      </c>
      <c r="F18">
        <v>3</v>
      </c>
      <c r="G18">
        <v>9.9499999999999993</v>
      </c>
      <c r="H18">
        <f t="shared" si="0"/>
        <v>29.849999999999998</v>
      </c>
      <c r="K18" s="30"/>
      <c r="L18" s="30"/>
      <c r="N18" s="36" t="s">
        <v>172</v>
      </c>
      <c r="O18" s="36">
        <v>1.25</v>
      </c>
      <c r="S18" s="30">
        <f>COUNTIF(A3:A233, "Cable para audio rca 2 vias")</f>
        <v>1</v>
      </c>
      <c r="T18" s="30" t="s">
        <v>54</v>
      </c>
    </row>
    <row r="19" spans="1:20" x14ac:dyDescent="0.3">
      <c r="A19" t="s">
        <v>57</v>
      </c>
      <c r="B19" s="6" t="s">
        <v>24</v>
      </c>
      <c r="C19" t="s">
        <v>182</v>
      </c>
      <c r="D19" t="s">
        <v>16</v>
      </c>
      <c r="E19" s="2">
        <v>44944</v>
      </c>
      <c r="F19">
        <v>2</v>
      </c>
      <c r="G19">
        <v>0.5</v>
      </c>
      <c r="H19">
        <f t="shared" si="0"/>
        <v>1</v>
      </c>
      <c r="K19" s="30"/>
      <c r="L19" s="30"/>
      <c r="N19" s="36" t="s">
        <v>9</v>
      </c>
      <c r="O19" s="36">
        <v>2</v>
      </c>
      <c r="S19" s="30">
        <f>COUNTIF(A3:A233, "Control remoto universal 3 funciones")</f>
        <v>1</v>
      </c>
      <c r="T19" s="30" t="s">
        <v>55</v>
      </c>
    </row>
    <row r="20" spans="1:20" x14ac:dyDescent="0.3">
      <c r="A20" t="s">
        <v>58</v>
      </c>
      <c r="B20" s="6" t="s">
        <v>24</v>
      </c>
      <c r="C20" t="s">
        <v>183</v>
      </c>
      <c r="D20" t="s">
        <v>16</v>
      </c>
      <c r="E20" s="2">
        <v>44945</v>
      </c>
      <c r="F20">
        <v>1</v>
      </c>
      <c r="G20">
        <v>0.3</v>
      </c>
      <c r="H20">
        <f t="shared" si="0"/>
        <v>0.3</v>
      </c>
      <c r="K20" s="30"/>
      <c r="L20" s="30"/>
      <c r="N20" s="36" t="s">
        <v>10</v>
      </c>
      <c r="O20" s="36">
        <v>22.2</v>
      </c>
      <c r="S20" s="30">
        <f>COUNTIF(A3:A233, "Control remoto universal 5 funciones")</f>
        <v>1</v>
      </c>
      <c r="T20" s="30" t="s">
        <v>56</v>
      </c>
    </row>
    <row r="21" spans="1:20" x14ac:dyDescent="0.3">
      <c r="A21" t="s">
        <v>59</v>
      </c>
      <c r="B21" s="6" t="s">
        <v>24</v>
      </c>
      <c r="C21" t="s">
        <v>184</v>
      </c>
      <c r="D21" t="s">
        <v>16</v>
      </c>
      <c r="E21" s="2">
        <v>44946</v>
      </c>
      <c r="F21">
        <v>6</v>
      </c>
      <c r="G21">
        <v>0.55000000000000004</v>
      </c>
      <c r="H21">
        <f t="shared" si="0"/>
        <v>3.3000000000000003</v>
      </c>
      <c r="K21" s="30" t="s">
        <v>24</v>
      </c>
      <c r="L21" s="30"/>
      <c r="N21" s="36" t="s">
        <v>11</v>
      </c>
      <c r="O21" s="36">
        <v>23.9</v>
      </c>
      <c r="S21" s="30">
        <f>COUNTIF(A3:A233, "Cable para bocina 2 #16")</f>
        <v>1</v>
      </c>
      <c r="T21" s="30" t="s">
        <v>57</v>
      </c>
    </row>
    <row r="22" spans="1:20" x14ac:dyDescent="0.3">
      <c r="A22" t="s">
        <v>60</v>
      </c>
      <c r="B22" s="6" t="s">
        <v>24</v>
      </c>
      <c r="C22" t="s">
        <v>185</v>
      </c>
      <c r="D22" t="s">
        <v>16</v>
      </c>
      <c r="E22" s="2">
        <v>44947</v>
      </c>
      <c r="F22">
        <v>7</v>
      </c>
      <c r="G22">
        <v>1.95</v>
      </c>
      <c r="H22">
        <f t="shared" si="0"/>
        <v>13.65</v>
      </c>
      <c r="K22" s="30">
        <f>SUM(H9:H22)</f>
        <v>238.45000000000002</v>
      </c>
      <c r="L22" s="30"/>
      <c r="N22" s="36" t="s">
        <v>173</v>
      </c>
      <c r="O22" s="36">
        <v>8.9499999999999993</v>
      </c>
      <c r="S22" s="30">
        <f>COUNTIF(A3:A233, "Cable para bocina 2x20")</f>
        <v>1</v>
      </c>
      <c r="T22" s="30" t="s">
        <v>58</v>
      </c>
    </row>
    <row r="23" spans="1:20" x14ac:dyDescent="0.3">
      <c r="A23" t="s">
        <v>61</v>
      </c>
      <c r="B23" s="7" t="s">
        <v>25</v>
      </c>
      <c r="C23" t="s">
        <v>186</v>
      </c>
      <c r="D23" t="s">
        <v>16</v>
      </c>
      <c r="E23" s="2">
        <v>44948</v>
      </c>
      <c r="F23">
        <v>5</v>
      </c>
      <c r="G23">
        <v>0.9</v>
      </c>
      <c r="H23">
        <f t="shared" si="0"/>
        <v>4.5</v>
      </c>
      <c r="K23" s="30"/>
      <c r="L23" s="30"/>
      <c r="N23" s="36" t="s">
        <v>174</v>
      </c>
      <c r="O23" s="36">
        <f>SUM(H11,H89,H90,H127)</f>
        <v>90</v>
      </c>
      <c r="S23" s="30">
        <f>COUNTIF(A3:A233, "Cable para bocina 14 transparente")</f>
        <v>1</v>
      </c>
      <c r="T23" s="30" t="s">
        <v>59</v>
      </c>
    </row>
    <row r="24" spans="1:20" x14ac:dyDescent="0.3">
      <c r="A24" t="s">
        <v>62</v>
      </c>
      <c r="B24" s="7" t="s">
        <v>25</v>
      </c>
      <c r="C24" t="s">
        <v>187</v>
      </c>
      <c r="D24" t="s">
        <v>16</v>
      </c>
      <c r="E24" s="2">
        <v>44949</v>
      </c>
      <c r="F24">
        <v>4</v>
      </c>
      <c r="G24">
        <v>3.95</v>
      </c>
      <c r="H24">
        <f t="shared" si="0"/>
        <v>15.8</v>
      </c>
      <c r="K24" s="30"/>
      <c r="L24" s="30"/>
      <c r="M24" t="s">
        <v>274</v>
      </c>
      <c r="N24" s="36" t="s">
        <v>175</v>
      </c>
      <c r="O24" s="36">
        <f>SUM(H12,H128,H233)</f>
        <v>47.05</v>
      </c>
      <c r="S24" s="30">
        <f>COUNTIF(A3:A233, "Auricular 3.5mm blanco")</f>
        <v>1</v>
      </c>
      <c r="T24" s="30" t="s">
        <v>60</v>
      </c>
    </row>
    <row r="25" spans="1:20" x14ac:dyDescent="0.3">
      <c r="A25" t="s">
        <v>63</v>
      </c>
      <c r="B25" s="7" t="s">
        <v>25</v>
      </c>
      <c r="C25" t="s">
        <v>188</v>
      </c>
      <c r="D25" t="s">
        <v>16</v>
      </c>
      <c r="E25" s="2">
        <v>44950</v>
      </c>
      <c r="F25">
        <v>3</v>
      </c>
      <c r="G25">
        <v>8.9499999999999993</v>
      </c>
      <c r="H25">
        <f t="shared" si="0"/>
        <v>26.849999999999998</v>
      </c>
      <c r="K25" s="30"/>
      <c r="L25" s="30"/>
      <c r="M25">
        <f>COUNTIF(C2:C233, "Pedro Castillo")</f>
        <v>13</v>
      </c>
      <c r="N25" s="36" t="s">
        <v>176</v>
      </c>
      <c r="O25" s="36">
        <f>SUM(H13,H91)</f>
        <v>32.25</v>
      </c>
      <c r="S25" s="30">
        <f>COUNTIF(A3:A233, "Interruptor superficial 10a 125vac")</f>
        <v>1</v>
      </c>
      <c r="T25" s="30" t="s">
        <v>61</v>
      </c>
    </row>
    <row r="26" spans="1:20" x14ac:dyDescent="0.3">
      <c r="A26" t="s">
        <v>64</v>
      </c>
      <c r="B26" s="7" t="s">
        <v>25</v>
      </c>
      <c r="C26" t="s">
        <v>189</v>
      </c>
      <c r="D26" t="s">
        <v>16</v>
      </c>
      <c r="E26" s="2">
        <v>44951</v>
      </c>
      <c r="F26">
        <v>2</v>
      </c>
      <c r="G26">
        <v>24.95</v>
      </c>
      <c r="H26">
        <f t="shared" si="0"/>
        <v>49.9</v>
      </c>
      <c r="K26" s="30"/>
      <c r="L26" s="30"/>
      <c r="N26" s="36" t="s">
        <v>177</v>
      </c>
      <c r="O26" s="36">
        <f>SUM(H92,H14)</f>
        <v>43</v>
      </c>
      <c r="S26" s="30">
        <f>COUNTIF(A3:A233, "Interruptor sencillo negro 15a 120vac")</f>
        <v>1</v>
      </c>
      <c r="T26" s="30" t="s">
        <v>62</v>
      </c>
    </row>
    <row r="27" spans="1:20" x14ac:dyDescent="0.3">
      <c r="A27" t="s">
        <v>65</v>
      </c>
      <c r="B27" s="7" t="s">
        <v>25</v>
      </c>
      <c r="C27" t="s">
        <v>190</v>
      </c>
      <c r="D27" t="s">
        <v>16</v>
      </c>
      <c r="E27" s="2">
        <v>44952</v>
      </c>
      <c r="F27">
        <v>1</v>
      </c>
      <c r="G27">
        <v>1.95</v>
      </c>
      <c r="H27">
        <f t="shared" si="0"/>
        <v>1.95</v>
      </c>
      <c r="K27" s="30" t="s">
        <v>251</v>
      </c>
      <c r="L27" s="30"/>
      <c r="N27" s="36" t="s">
        <v>178</v>
      </c>
      <c r="O27" s="36">
        <f>SUM(H15,H97)</f>
        <v>0.78</v>
      </c>
      <c r="S27" s="30">
        <f>COUNTIF(A3:A233, "Interruptor tipo dado 4 vias blanco")</f>
        <v>1</v>
      </c>
      <c r="T27" s="30" t="s">
        <v>63</v>
      </c>
    </row>
    <row r="28" spans="1:20" x14ac:dyDescent="0.3">
      <c r="A28" t="s">
        <v>66</v>
      </c>
      <c r="B28" s="7" t="s">
        <v>25</v>
      </c>
      <c r="C28" t="s">
        <v>191</v>
      </c>
      <c r="D28" t="s">
        <v>16</v>
      </c>
      <c r="E28" s="2">
        <v>44953</v>
      </c>
      <c r="F28">
        <v>7</v>
      </c>
      <c r="G28">
        <v>5.95</v>
      </c>
      <c r="H28">
        <f t="shared" si="0"/>
        <v>41.65</v>
      </c>
      <c r="K28" s="30">
        <f>SUM(H23:H28)</f>
        <v>140.65</v>
      </c>
      <c r="L28" s="30"/>
      <c r="N28" s="36" t="s">
        <v>179</v>
      </c>
      <c r="O28" s="36">
        <f>SUM(H16,H94)</f>
        <v>35.5</v>
      </c>
      <c r="S28" s="30">
        <f>COUNTIF(A3:A233, "Interruptor tipo dado con llave 10a 125vac")</f>
        <v>1</v>
      </c>
      <c r="T28" s="30" t="s">
        <v>64</v>
      </c>
    </row>
    <row r="29" spans="1:20" x14ac:dyDescent="0.3">
      <c r="A29" t="s">
        <v>67</v>
      </c>
      <c r="B29" s="8" t="s">
        <v>26</v>
      </c>
      <c r="C29" t="s">
        <v>12</v>
      </c>
      <c r="D29" t="s">
        <v>16</v>
      </c>
      <c r="E29" s="2">
        <v>44954</v>
      </c>
      <c r="F29">
        <v>5</v>
      </c>
      <c r="G29">
        <v>1.95</v>
      </c>
      <c r="H29">
        <f t="shared" si="0"/>
        <v>9.75</v>
      </c>
      <c r="K29" s="30"/>
      <c r="L29" s="30"/>
      <c r="N29" s="36" t="s">
        <v>180</v>
      </c>
      <c r="O29" s="36">
        <f>SUM(H17,H95)</f>
        <v>146.44999999999999</v>
      </c>
      <c r="S29" s="30">
        <f>COUNTIF(A3:A233, "Interruptor de palanca con cables 6a 125vac")</f>
        <v>1</v>
      </c>
      <c r="T29" s="30" t="s">
        <v>65</v>
      </c>
    </row>
    <row r="30" spans="1:20" x14ac:dyDescent="0.3">
      <c r="A30" t="s">
        <v>68</v>
      </c>
      <c r="B30" s="8" t="s">
        <v>26</v>
      </c>
      <c r="C30" t="s">
        <v>8</v>
      </c>
      <c r="D30" t="s">
        <v>16</v>
      </c>
      <c r="E30" s="2">
        <v>44955</v>
      </c>
      <c r="F30">
        <v>4</v>
      </c>
      <c r="G30">
        <v>2.0499999999999998</v>
      </c>
      <c r="H30">
        <f t="shared" si="0"/>
        <v>8.1999999999999993</v>
      </c>
      <c r="K30" s="30"/>
      <c r="L30" s="30"/>
      <c r="N30" s="36" t="s">
        <v>181</v>
      </c>
      <c r="O30" s="36">
        <f>SUM(H18,H96)</f>
        <v>83.75</v>
      </c>
      <c r="S30" s="30">
        <f>COUNTIF(A3:A233, "Interruptor de palanca on-off 20a 125-127vac")</f>
        <v>1</v>
      </c>
      <c r="T30" s="30" t="s">
        <v>66</v>
      </c>
    </row>
    <row r="31" spans="1:20" x14ac:dyDescent="0.3">
      <c r="A31" t="s">
        <v>69</v>
      </c>
      <c r="B31" s="8" t="s">
        <v>26</v>
      </c>
      <c r="C31" t="s">
        <v>13</v>
      </c>
      <c r="D31" t="s">
        <v>16</v>
      </c>
      <c r="E31" s="2">
        <v>44956</v>
      </c>
      <c r="F31">
        <v>3</v>
      </c>
      <c r="G31">
        <v>1.1499999999999999</v>
      </c>
      <c r="H31">
        <f t="shared" si="0"/>
        <v>3.4499999999999997</v>
      </c>
      <c r="K31" s="30" t="s">
        <v>26</v>
      </c>
      <c r="L31" s="30"/>
      <c r="N31" s="36" t="s">
        <v>182</v>
      </c>
      <c r="O31" s="36">
        <f>SUM(H19,H88)</f>
        <v>5.1999999999999993</v>
      </c>
      <c r="S31" s="30">
        <f>COUNTIF(A3:A233, "Cinta aislante 3/4pulg x 60pies")</f>
        <v>1</v>
      </c>
      <c r="T31" s="30" t="s">
        <v>67</v>
      </c>
    </row>
    <row r="32" spans="1:20" x14ac:dyDescent="0.3">
      <c r="A32" t="s">
        <v>70</v>
      </c>
      <c r="B32" s="8" t="s">
        <v>26</v>
      </c>
      <c r="C32" t="s">
        <v>14</v>
      </c>
      <c r="D32" t="s">
        <v>16</v>
      </c>
      <c r="E32" s="2">
        <v>44957</v>
      </c>
      <c r="F32">
        <v>5</v>
      </c>
      <c r="G32">
        <v>160</v>
      </c>
      <c r="H32">
        <f t="shared" si="0"/>
        <v>800</v>
      </c>
      <c r="K32" s="30">
        <f>SUM(H29:H32)</f>
        <v>821.4</v>
      </c>
      <c r="L32" s="30"/>
      <c r="N32" s="36" t="s">
        <v>183</v>
      </c>
      <c r="O32" s="36">
        <f>SUM(H20,H98)</f>
        <v>72.149999999999991</v>
      </c>
      <c r="S32" s="30">
        <f>COUNTIF(A3:A233, "Cinta aislante 3/4pulg x 20yds")</f>
        <v>1</v>
      </c>
      <c r="T32" s="30" t="s">
        <v>68</v>
      </c>
    </row>
    <row r="33" spans="1:20" x14ac:dyDescent="0.3">
      <c r="A33" t="s">
        <v>71</v>
      </c>
      <c r="B33" s="3" t="s">
        <v>27</v>
      </c>
      <c r="C33" t="s">
        <v>192</v>
      </c>
      <c r="D33" t="s">
        <v>16</v>
      </c>
      <c r="E33" s="2">
        <v>44958</v>
      </c>
      <c r="F33">
        <v>2</v>
      </c>
      <c r="G33">
        <v>68.95</v>
      </c>
      <c r="H33">
        <f t="shared" si="0"/>
        <v>137.9</v>
      </c>
      <c r="K33" s="30"/>
      <c r="L33" s="30"/>
      <c r="N33" s="36" t="s">
        <v>184</v>
      </c>
      <c r="O33" s="36">
        <f>SUM(H21,H99)</f>
        <v>54.199999999999996</v>
      </c>
      <c r="S33" s="30">
        <f>COUNTIF(A3:A233, "Cinta aislante negra")</f>
        <v>1</v>
      </c>
      <c r="T33" s="30" t="s">
        <v>69</v>
      </c>
    </row>
    <row r="34" spans="1:20" x14ac:dyDescent="0.3">
      <c r="A34" t="s">
        <v>72</v>
      </c>
      <c r="B34" s="3" t="s">
        <v>27</v>
      </c>
      <c r="C34" t="s">
        <v>193</v>
      </c>
      <c r="D34" t="s">
        <v>16</v>
      </c>
      <c r="E34" s="2">
        <v>44959</v>
      </c>
      <c r="F34">
        <v>3</v>
      </c>
      <c r="G34">
        <v>8.75</v>
      </c>
      <c r="H34">
        <f t="shared" si="0"/>
        <v>26.25</v>
      </c>
      <c r="K34" s="30"/>
      <c r="L34" s="30"/>
      <c r="N34" s="36" t="s">
        <v>185</v>
      </c>
      <c r="O34" s="36">
        <f>SUM(H22,H100)</f>
        <v>298.39999999999998</v>
      </c>
      <c r="S34" s="30">
        <f>COUNTIF(A3:A233, "Cinta aislante de teflon 1pug x 36yds")</f>
        <v>1</v>
      </c>
      <c r="T34" s="30" t="s">
        <v>70</v>
      </c>
    </row>
    <row r="35" spans="1:20" x14ac:dyDescent="0.3">
      <c r="A35" t="s">
        <v>73</v>
      </c>
      <c r="B35" s="3" t="s">
        <v>27</v>
      </c>
      <c r="C35" t="s">
        <v>194</v>
      </c>
      <c r="D35" t="s">
        <v>16</v>
      </c>
      <c r="E35" s="2">
        <v>44960</v>
      </c>
      <c r="F35">
        <v>4</v>
      </c>
      <c r="G35">
        <v>33.950000000000003</v>
      </c>
      <c r="H35">
        <f t="shared" si="0"/>
        <v>135.80000000000001</v>
      </c>
      <c r="K35" s="30"/>
      <c r="L35" s="30"/>
      <c r="N35" s="30" t="s">
        <v>186</v>
      </c>
      <c r="O35" s="30">
        <f>SUM(H23,H101)</f>
        <v>522.59999999999991</v>
      </c>
      <c r="S35" s="31">
        <f>COUNTIF(A3:A233, "Tester digital 600v ac/dc")</f>
        <v>11</v>
      </c>
      <c r="T35" s="31" t="s">
        <v>71</v>
      </c>
    </row>
    <row r="36" spans="1:20" x14ac:dyDescent="0.3">
      <c r="A36" t="s">
        <v>74</v>
      </c>
      <c r="B36" s="3" t="s">
        <v>27</v>
      </c>
      <c r="C36" t="s">
        <v>195</v>
      </c>
      <c r="D36" t="s">
        <v>16</v>
      </c>
      <c r="E36" s="2">
        <v>44961</v>
      </c>
      <c r="F36">
        <v>6</v>
      </c>
      <c r="G36">
        <v>6.95</v>
      </c>
      <c r="H36">
        <f t="shared" si="0"/>
        <v>41.7</v>
      </c>
      <c r="K36" s="30"/>
      <c r="L36" s="30"/>
      <c r="N36" s="30" t="s">
        <v>187</v>
      </c>
      <c r="O36" s="30">
        <f>SUM(H24,H103)</f>
        <v>600.79999999999995</v>
      </c>
      <c r="S36" s="30">
        <f>COUNTIF(A3:A233, "Tester digital 750vac/dc 10a")</f>
        <v>1</v>
      </c>
      <c r="T36" s="30" t="s">
        <v>72</v>
      </c>
    </row>
    <row r="37" spans="1:20" x14ac:dyDescent="0.3">
      <c r="A37" t="s">
        <v>71</v>
      </c>
      <c r="B37" s="3" t="s">
        <v>27</v>
      </c>
      <c r="C37" t="s">
        <v>196</v>
      </c>
      <c r="D37" t="s">
        <v>16</v>
      </c>
      <c r="E37" s="2">
        <v>44962</v>
      </c>
      <c r="F37">
        <v>4</v>
      </c>
      <c r="G37">
        <v>10.5</v>
      </c>
      <c r="H37">
        <f t="shared" si="0"/>
        <v>42</v>
      </c>
      <c r="K37" s="30"/>
      <c r="L37" s="30"/>
      <c r="N37" s="30" t="s">
        <v>188</v>
      </c>
      <c r="O37" s="30">
        <f>SUM(H25,H104)</f>
        <v>115.85</v>
      </c>
      <c r="S37" s="30">
        <f>COUNTIF(A3:A233, "Tester digital 750vac/dc 20a uso automotriz")</f>
        <v>1</v>
      </c>
      <c r="T37" s="30" t="s">
        <v>73</v>
      </c>
    </row>
    <row r="38" spans="1:20" x14ac:dyDescent="0.3">
      <c r="A38" t="s">
        <v>75</v>
      </c>
      <c r="B38" s="3" t="s">
        <v>27</v>
      </c>
      <c r="C38" t="s">
        <v>197</v>
      </c>
      <c r="D38" t="s">
        <v>16</v>
      </c>
      <c r="E38" s="2">
        <v>44963</v>
      </c>
      <c r="F38">
        <v>2</v>
      </c>
      <c r="G38">
        <v>145</v>
      </c>
      <c r="H38">
        <f t="shared" si="0"/>
        <v>290</v>
      </c>
      <c r="K38" s="30"/>
      <c r="L38" s="30"/>
      <c r="N38" s="30" t="s">
        <v>189</v>
      </c>
      <c r="O38" s="30">
        <v>49.9</v>
      </c>
      <c r="S38" s="30">
        <f>COUNTIF(A3:A233, "Soldador cautin 30w 120vac")</f>
        <v>3</v>
      </c>
      <c r="T38" s="30" t="s">
        <v>74</v>
      </c>
    </row>
    <row r="39" spans="1:20" x14ac:dyDescent="0.3">
      <c r="A39" t="s">
        <v>76</v>
      </c>
      <c r="B39" s="3" t="s">
        <v>27</v>
      </c>
      <c r="C39" t="s">
        <v>198</v>
      </c>
      <c r="D39" t="s">
        <v>16</v>
      </c>
      <c r="E39" s="2">
        <v>44964</v>
      </c>
      <c r="F39">
        <v>3</v>
      </c>
      <c r="G39">
        <v>190</v>
      </c>
      <c r="H39">
        <f t="shared" si="0"/>
        <v>570</v>
      </c>
      <c r="K39" s="30"/>
      <c r="L39" s="30"/>
      <c r="N39" s="30" t="s">
        <v>190</v>
      </c>
      <c r="O39" s="30">
        <v>1.95</v>
      </c>
      <c r="S39" s="31">
        <f>COUNTIF(A3:A233, "Tester digital 600v ac/dc")</f>
        <v>11</v>
      </c>
      <c r="T39" s="31" t="s">
        <v>71</v>
      </c>
    </row>
    <row r="40" spans="1:20" x14ac:dyDescent="0.3">
      <c r="A40" t="s">
        <v>77</v>
      </c>
      <c r="B40" s="3" t="s">
        <v>27</v>
      </c>
      <c r="C40" t="s">
        <v>199</v>
      </c>
      <c r="D40" t="s">
        <v>16</v>
      </c>
      <c r="E40" s="2">
        <v>44965</v>
      </c>
      <c r="F40">
        <v>4</v>
      </c>
      <c r="G40">
        <v>3.3</v>
      </c>
      <c r="H40">
        <f t="shared" si="0"/>
        <v>13.2</v>
      </c>
      <c r="K40" s="30"/>
      <c r="L40" s="30"/>
      <c r="N40" s="30" t="s">
        <v>191</v>
      </c>
      <c r="O40" s="30">
        <f>SUM(H28,H105)</f>
        <v>71.650000000000006</v>
      </c>
      <c r="S40" s="30">
        <f>COUNTIF(A3:A233, "Amperímetro digital 400a milwaukee 223520")</f>
        <v>1</v>
      </c>
      <c r="T40" s="30" t="s">
        <v>75</v>
      </c>
    </row>
    <row r="41" spans="1:20" x14ac:dyDescent="0.3">
      <c r="A41" t="s">
        <v>78</v>
      </c>
      <c r="B41" s="3" t="s">
        <v>27</v>
      </c>
      <c r="C41" t="s">
        <v>200</v>
      </c>
      <c r="D41" t="s">
        <v>16</v>
      </c>
      <c r="E41" s="2">
        <v>44966</v>
      </c>
      <c r="F41">
        <v>6</v>
      </c>
      <c r="G41">
        <v>39.950000000000003</v>
      </c>
      <c r="H41">
        <f t="shared" si="0"/>
        <v>239.70000000000002</v>
      </c>
      <c r="K41" s="30" t="s">
        <v>252</v>
      </c>
      <c r="L41" s="30" t="s">
        <v>16</v>
      </c>
      <c r="N41" s="30" t="s">
        <v>12</v>
      </c>
      <c r="O41" s="30">
        <v>9.75</v>
      </c>
      <c r="S41" s="30">
        <f>COUNTIF(A3:A233, "Amperímetro digital 200a 1000vac/dc")</f>
        <v>1</v>
      </c>
      <c r="T41" s="30" t="s">
        <v>76</v>
      </c>
    </row>
    <row r="42" spans="1:20" x14ac:dyDescent="0.3">
      <c r="A42" t="s">
        <v>79</v>
      </c>
      <c r="B42" s="3" t="s">
        <v>27</v>
      </c>
      <c r="C42" t="s">
        <v>201</v>
      </c>
      <c r="D42" t="s">
        <v>16</v>
      </c>
      <c r="E42" s="2">
        <v>44967</v>
      </c>
      <c r="F42">
        <v>3</v>
      </c>
      <c r="G42">
        <v>11.9</v>
      </c>
      <c r="H42">
        <f t="shared" si="0"/>
        <v>35.700000000000003</v>
      </c>
      <c r="K42" s="30">
        <f>SUM(H33,H34,H35,H36,H37,H38,H39,H40,H41,H42,H133,H139,H140,H141,H148,H158,H168,H178,H188,H198,H208,H218)</f>
        <v>2028.25</v>
      </c>
      <c r="L42" s="30">
        <f>SUM(H2,H3,H4,H5,H6,H7,H8,H9,H10,H11,H12,H13,H14,H15,H16,H17,H18,H19,H20,H21,H22,H23,H24,H25,H26,H27,H28,H29,H30,H31,H32,H33,H34,H35,H36,H37,H38,H39,H40,H41,H42,H129,H130,H133,H134,H139,H140,H141,H144,H145,H148,H149,H154,H155,H158,H159,H164,H165,H168,H169,H174,H175,H178,H179,H184,H185,H188,H189,H194,H195,H198,H199,H204,H205,H208,H209,H214,H215,H218,H219)</f>
        <v>3594.01</v>
      </c>
      <c r="N42" s="30" t="s">
        <v>13</v>
      </c>
      <c r="O42" s="30">
        <v>3.45</v>
      </c>
      <c r="S42" s="30">
        <f>COUNTIF(A3:A233, "Probador de corriente")</f>
        <v>1</v>
      </c>
      <c r="T42" s="30" t="s">
        <v>77</v>
      </c>
    </row>
    <row r="43" spans="1:20" x14ac:dyDescent="0.3">
      <c r="A43" t="s">
        <v>80</v>
      </c>
      <c r="B43" s="9" t="s">
        <v>28</v>
      </c>
      <c r="C43" t="s">
        <v>15</v>
      </c>
      <c r="D43" t="s">
        <v>17</v>
      </c>
      <c r="E43" s="2">
        <v>44968</v>
      </c>
      <c r="F43">
        <v>2</v>
      </c>
      <c r="G43">
        <v>16.100000000000001</v>
      </c>
      <c r="H43">
        <f t="shared" si="0"/>
        <v>32.200000000000003</v>
      </c>
      <c r="K43" s="30"/>
      <c r="L43" s="30"/>
      <c r="N43" s="30" t="s">
        <v>14</v>
      </c>
      <c r="O43" s="30">
        <v>800</v>
      </c>
      <c r="S43" s="30">
        <f>COUNTIF(A3:A233, "Probador de voltaje led 1000 voltios")</f>
        <v>1</v>
      </c>
      <c r="T43" s="30" t="s">
        <v>78</v>
      </c>
    </row>
    <row r="44" spans="1:20" x14ac:dyDescent="0.3">
      <c r="A44" t="s">
        <v>81</v>
      </c>
      <c r="B44" s="9" t="s">
        <v>28</v>
      </c>
      <c r="C44" t="s">
        <v>202</v>
      </c>
      <c r="D44" t="s">
        <v>17</v>
      </c>
      <c r="E44" s="2">
        <v>44969</v>
      </c>
      <c r="F44">
        <v>3</v>
      </c>
      <c r="G44">
        <v>4.9000000000000004</v>
      </c>
      <c r="H44">
        <f t="shared" si="0"/>
        <v>14.700000000000001</v>
      </c>
      <c r="K44" s="30"/>
      <c r="L44" s="30"/>
      <c r="N44" s="30" t="s">
        <v>192</v>
      </c>
      <c r="O44" s="30">
        <v>137.9</v>
      </c>
      <c r="S44" s="30">
        <f>COUNTIF(A3:A233, "Analizador de circuitos 125vac")</f>
        <v>2</v>
      </c>
      <c r="T44" s="30" t="s">
        <v>79</v>
      </c>
    </row>
    <row r="45" spans="1:20" x14ac:dyDescent="0.3">
      <c r="A45" t="s">
        <v>82</v>
      </c>
      <c r="B45" s="9" t="s">
        <v>28</v>
      </c>
      <c r="C45" t="s">
        <v>203</v>
      </c>
      <c r="D45" t="s">
        <v>17</v>
      </c>
      <c r="E45" s="2">
        <v>44970</v>
      </c>
      <c r="F45">
        <v>4</v>
      </c>
      <c r="G45">
        <v>2.1</v>
      </c>
      <c r="H45">
        <f t="shared" si="0"/>
        <v>8.4</v>
      </c>
      <c r="K45" s="30"/>
      <c r="L45" s="30"/>
      <c r="N45" s="36" t="s">
        <v>193</v>
      </c>
      <c r="O45" s="36">
        <v>26.25</v>
      </c>
      <c r="S45" s="30">
        <f>COUNTIF(A3:A233, "Pintura latex clásica blanco 1gal")</f>
        <v>1</v>
      </c>
      <c r="T45" s="30" t="s">
        <v>80</v>
      </c>
    </row>
    <row r="46" spans="1:20" x14ac:dyDescent="0.3">
      <c r="A46" t="s">
        <v>83</v>
      </c>
      <c r="B46" s="9" t="s">
        <v>28</v>
      </c>
      <c r="C46" t="s">
        <v>204</v>
      </c>
      <c r="D46" t="s">
        <v>17</v>
      </c>
      <c r="E46" s="2">
        <v>44971</v>
      </c>
      <c r="F46">
        <v>7</v>
      </c>
      <c r="G46">
        <v>7.25</v>
      </c>
      <c r="H46">
        <f t="shared" si="0"/>
        <v>50.75</v>
      </c>
      <c r="K46" s="30"/>
      <c r="L46" s="30"/>
      <c r="N46" s="35" t="s">
        <v>203</v>
      </c>
      <c r="O46" s="35">
        <v>8.4</v>
      </c>
      <c r="S46" s="30">
        <f>COUNTIF(A3:A233, "Mezclador de pintura 100mm")</f>
        <v>1</v>
      </c>
      <c r="T46" s="30" t="s">
        <v>81</v>
      </c>
    </row>
    <row r="47" spans="1:20" x14ac:dyDescent="0.3">
      <c r="A47" t="s">
        <v>84</v>
      </c>
      <c r="B47" s="9" t="s">
        <v>28</v>
      </c>
      <c r="C47" t="s">
        <v>205</v>
      </c>
      <c r="D47" t="s">
        <v>17</v>
      </c>
      <c r="E47" s="2">
        <v>44972</v>
      </c>
      <c r="F47">
        <v>4</v>
      </c>
      <c r="G47">
        <v>36.799999999999997</v>
      </c>
      <c r="H47">
        <f t="shared" si="0"/>
        <v>147.19999999999999</v>
      </c>
      <c r="K47" s="30"/>
      <c r="L47" s="30"/>
      <c r="S47" s="30">
        <f>COUNTIF(A3:A233, "Abridor de tapas de pintura")</f>
        <v>1</v>
      </c>
      <c r="T47" s="30" t="s">
        <v>82</v>
      </c>
    </row>
    <row r="48" spans="1:20" x14ac:dyDescent="0.3">
      <c r="A48" t="s">
        <v>85</v>
      </c>
      <c r="B48" s="9" t="s">
        <v>28</v>
      </c>
      <c r="C48" t="s">
        <v>206</v>
      </c>
      <c r="D48" t="s">
        <v>17</v>
      </c>
      <c r="E48" s="2">
        <v>44973</v>
      </c>
      <c r="F48">
        <v>3</v>
      </c>
      <c r="G48">
        <v>39.1</v>
      </c>
      <c r="H48">
        <f t="shared" si="0"/>
        <v>117.30000000000001</v>
      </c>
      <c r="K48" s="30" t="s">
        <v>253</v>
      </c>
      <c r="L48" s="30"/>
      <c r="S48" s="30">
        <f>COUNTIF(A3:A233, "Pintura en esmalte clásica dorado 1/8gal")</f>
        <v>1</v>
      </c>
      <c r="T48" s="30" t="s">
        <v>83</v>
      </c>
    </row>
    <row r="49" spans="1:20" x14ac:dyDescent="0.3">
      <c r="A49" t="s">
        <v>86</v>
      </c>
      <c r="B49" s="9" t="s">
        <v>28</v>
      </c>
      <c r="C49" t="s">
        <v>207</v>
      </c>
      <c r="D49" t="s">
        <v>17</v>
      </c>
      <c r="E49" s="2">
        <v>44974</v>
      </c>
      <c r="F49">
        <v>2</v>
      </c>
      <c r="G49">
        <v>16.73</v>
      </c>
      <c r="H49">
        <f t="shared" si="0"/>
        <v>33.46</v>
      </c>
      <c r="K49" s="30">
        <f>SUM(H43,H44,H45,H46,H47,H48,H49,H142)</f>
        <v>420.74</v>
      </c>
      <c r="L49" s="30"/>
      <c r="S49" s="30">
        <f>COUNTIF(A3:A233, "Pintura esmalte anticorrosivo blanco 4l")</f>
        <v>1</v>
      </c>
      <c r="T49" s="30" t="s">
        <v>84</v>
      </c>
    </row>
    <row r="50" spans="1:20" x14ac:dyDescent="0.3">
      <c r="A50" t="s">
        <v>87</v>
      </c>
      <c r="B50" s="10" t="s">
        <v>29</v>
      </c>
      <c r="C50" t="s">
        <v>208</v>
      </c>
      <c r="D50" t="s">
        <v>17</v>
      </c>
      <c r="E50" s="2">
        <v>44975</v>
      </c>
      <c r="F50">
        <v>5</v>
      </c>
      <c r="G50">
        <v>49</v>
      </c>
      <c r="H50">
        <f t="shared" si="0"/>
        <v>245</v>
      </c>
      <c r="K50" s="30"/>
      <c r="L50" s="30"/>
      <c r="S50" s="30">
        <f>COUNTIF(A3:A233, "Pintura anticorrosiva roja 4l")</f>
        <v>1</v>
      </c>
      <c r="T50" s="30" t="s">
        <v>85</v>
      </c>
    </row>
    <row r="51" spans="1:20" x14ac:dyDescent="0.3">
      <c r="A51" t="s">
        <v>88</v>
      </c>
      <c r="B51" s="10" t="s">
        <v>29</v>
      </c>
      <c r="C51" t="s">
        <v>209</v>
      </c>
      <c r="D51" t="s">
        <v>17</v>
      </c>
      <c r="E51" s="2">
        <v>44976</v>
      </c>
      <c r="F51">
        <v>2</v>
      </c>
      <c r="G51">
        <v>16.8</v>
      </c>
      <c r="H51">
        <f t="shared" si="0"/>
        <v>33.6</v>
      </c>
      <c r="K51" s="30"/>
      <c r="L51" s="30"/>
      <c r="S51" s="30">
        <f>COUNTIF(A3:A233, "Anticorrosivo negro brillante 1gal")</f>
        <v>2</v>
      </c>
      <c r="T51" s="30" t="s">
        <v>86</v>
      </c>
    </row>
    <row r="52" spans="1:20" x14ac:dyDescent="0.3">
      <c r="A52" t="s">
        <v>89</v>
      </c>
      <c r="B52" s="10" t="s">
        <v>29</v>
      </c>
      <c r="C52" t="s">
        <v>210</v>
      </c>
      <c r="D52" t="s">
        <v>17</v>
      </c>
      <c r="E52" s="2">
        <v>44977</v>
      </c>
      <c r="F52">
        <v>3</v>
      </c>
      <c r="G52">
        <v>9.9499999999999993</v>
      </c>
      <c r="H52">
        <f t="shared" si="0"/>
        <v>29.849999999999998</v>
      </c>
      <c r="K52" s="30"/>
      <c r="L52" s="30"/>
      <c r="S52" s="31">
        <f>COUNTIF(A3:A233, "Barniz de poliuretano 3000 mate 4l")</f>
        <v>10</v>
      </c>
      <c r="T52" s="31" t="s">
        <v>87</v>
      </c>
    </row>
    <row r="53" spans="1:20" x14ac:dyDescent="0.3">
      <c r="A53" t="s">
        <v>90</v>
      </c>
      <c r="B53" s="10" t="s">
        <v>29</v>
      </c>
      <c r="C53" t="s">
        <v>211</v>
      </c>
      <c r="D53" t="s">
        <v>17</v>
      </c>
      <c r="E53" s="2">
        <v>44978</v>
      </c>
      <c r="F53">
        <v>4</v>
      </c>
      <c r="G53">
        <v>8.75</v>
      </c>
      <c r="H53">
        <f t="shared" si="0"/>
        <v>35</v>
      </c>
      <c r="K53" s="30" t="s">
        <v>254</v>
      </c>
      <c r="L53" s="30"/>
      <c r="S53" s="30">
        <f>COUNTIF(A3:A233, "Barniz de poliuretano base agua 3000 brillante 1 l")</f>
        <v>1</v>
      </c>
      <c r="T53" s="30" t="s">
        <v>88</v>
      </c>
    </row>
    <row r="54" spans="1:20" x14ac:dyDescent="0.3">
      <c r="A54" t="s">
        <v>91</v>
      </c>
      <c r="B54" s="10" t="s">
        <v>29</v>
      </c>
      <c r="C54" t="s">
        <v>212</v>
      </c>
      <c r="D54" t="s">
        <v>17</v>
      </c>
      <c r="E54" s="2">
        <v>44979</v>
      </c>
      <c r="F54">
        <v>5</v>
      </c>
      <c r="G54">
        <v>3.3</v>
      </c>
      <c r="H54">
        <f t="shared" si="0"/>
        <v>16.5</v>
      </c>
      <c r="K54" s="30">
        <f>SUM(H50,H51,H52,H53,H54,H135,H150,H160,H170,H180,H190,H200,H210,H220)</f>
        <v>2221.9499999999998</v>
      </c>
      <c r="L54" s="30"/>
      <c r="S54" s="30">
        <f>COUNTIF(A3:A233, "Tinte al aceite arce amaranto 960 ml")</f>
        <v>1</v>
      </c>
      <c r="T54" s="30" t="s">
        <v>89</v>
      </c>
    </row>
    <row r="55" spans="1:20" x14ac:dyDescent="0.3">
      <c r="A55" t="s">
        <v>92</v>
      </c>
      <c r="B55" s="11" t="s">
        <v>30</v>
      </c>
      <c r="C55" t="s">
        <v>213</v>
      </c>
      <c r="D55" t="s">
        <v>17</v>
      </c>
      <c r="E55" s="2">
        <v>44980</v>
      </c>
      <c r="F55">
        <v>1</v>
      </c>
      <c r="G55">
        <v>2.25</v>
      </c>
      <c r="H55">
        <f t="shared" si="0"/>
        <v>2.25</v>
      </c>
      <c r="K55" s="30"/>
      <c r="L55" s="30"/>
      <c r="S55" s="30">
        <f>COUNTIF(A3:A233, "Tinte para madera al alcohol negro 960 ml")</f>
        <v>1</v>
      </c>
      <c r="T55" s="30" t="s">
        <v>90</v>
      </c>
    </row>
    <row r="56" spans="1:20" x14ac:dyDescent="0.3">
      <c r="A56" t="s">
        <v>93</v>
      </c>
      <c r="B56" s="11" t="s">
        <v>30</v>
      </c>
      <c r="C56" t="s">
        <v>214</v>
      </c>
      <c r="D56" t="s">
        <v>17</v>
      </c>
      <c r="E56" s="2">
        <v>44981</v>
      </c>
      <c r="F56">
        <v>3</v>
      </c>
      <c r="G56">
        <v>4.5</v>
      </c>
      <c r="H56">
        <f t="shared" si="0"/>
        <v>13.5</v>
      </c>
      <c r="K56" s="30"/>
      <c r="L56" s="30"/>
      <c r="S56" s="30">
        <f>COUNTIF(A3:A233, "Masilla para madera 1/8 gal")</f>
        <v>1</v>
      </c>
      <c r="T56" s="30" t="s">
        <v>91</v>
      </c>
    </row>
    <row r="57" spans="1:20" x14ac:dyDescent="0.3">
      <c r="A57" t="s">
        <v>94</v>
      </c>
      <c r="B57" s="11" t="s">
        <v>30</v>
      </c>
      <c r="C57" t="s">
        <v>215</v>
      </c>
      <c r="D57" t="s">
        <v>17</v>
      </c>
      <c r="E57" s="2">
        <v>44982</v>
      </c>
      <c r="F57">
        <v>5</v>
      </c>
      <c r="G57">
        <v>18.25</v>
      </c>
      <c r="H57">
        <f t="shared" si="0"/>
        <v>91.25</v>
      </c>
      <c r="K57" s="30"/>
      <c r="L57" s="30"/>
      <c r="S57" s="30">
        <f>COUNTIF(A3:A233, "Pegamento escolar 7.6 oz")</f>
        <v>1</v>
      </c>
      <c r="T57" s="30" t="s">
        <v>92</v>
      </c>
    </row>
    <row r="58" spans="1:20" x14ac:dyDescent="0.3">
      <c r="A58" t="s">
        <v>95</v>
      </c>
      <c r="B58" s="11" t="s">
        <v>30</v>
      </c>
      <c r="C58" t="s">
        <v>216</v>
      </c>
      <c r="D58" t="s">
        <v>17</v>
      </c>
      <c r="E58" s="2">
        <v>44983</v>
      </c>
      <c r="F58">
        <v>4</v>
      </c>
      <c r="G58">
        <v>10.25</v>
      </c>
      <c r="H58">
        <f t="shared" si="0"/>
        <v>41</v>
      </c>
      <c r="K58" s="30"/>
      <c r="L58" s="30"/>
      <c r="S58" s="30">
        <f>COUNTIF(A3:A233, "Pegamento resistol 850 1/8gal")</f>
        <v>1</v>
      </c>
      <c r="T58" s="30" t="s">
        <v>93</v>
      </c>
    </row>
    <row r="59" spans="1:20" x14ac:dyDescent="0.3">
      <c r="A59" t="s">
        <v>96</v>
      </c>
      <c r="B59" s="11" t="s">
        <v>30</v>
      </c>
      <c r="C59" t="s">
        <v>217</v>
      </c>
      <c r="D59" t="s">
        <v>17</v>
      </c>
      <c r="E59" s="2">
        <v>44984</v>
      </c>
      <c r="F59">
        <v>2</v>
      </c>
      <c r="G59">
        <v>2</v>
      </c>
      <c r="H59">
        <f t="shared" si="0"/>
        <v>4</v>
      </c>
      <c r="K59" s="30" t="s">
        <v>255</v>
      </c>
      <c r="L59" s="30"/>
      <c r="S59" s="30">
        <f>COUNTIF(A3:A233, "Pegamento resistol 950 1gal")</f>
        <v>1</v>
      </c>
      <c r="T59" s="30" t="s">
        <v>94</v>
      </c>
    </row>
    <row r="60" spans="1:20" x14ac:dyDescent="0.3">
      <c r="A60" t="s">
        <v>97</v>
      </c>
      <c r="B60" s="11" t="s">
        <v>30</v>
      </c>
      <c r="C60" t="s">
        <v>218</v>
      </c>
      <c r="D60" t="s">
        <v>17</v>
      </c>
      <c r="E60" s="2">
        <v>44985</v>
      </c>
      <c r="F60">
        <v>3</v>
      </c>
      <c r="G60">
        <v>25</v>
      </c>
      <c r="H60">
        <f t="shared" si="0"/>
        <v>75</v>
      </c>
      <c r="K60" s="30">
        <f>SUM(H55,H56,H57,H58,H59,H60)</f>
        <v>227</v>
      </c>
      <c r="L60" s="30"/>
      <c r="S60" s="30">
        <f>COUNTIF(A3:A233, "Pegamento cola blanca master pega 1gal")</f>
        <v>1</v>
      </c>
      <c r="T60" s="30" t="s">
        <v>95</v>
      </c>
    </row>
    <row r="61" spans="1:20" x14ac:dyDescent="0.3">
      <c r="A61" t="s">
        <v>98</v>
      </c>
      <c r="B61" s="12" t="s">
        <v>31</v>
      </c>
      <c r="C61" t="s">
        <v>219</v>
      </c>
      <c r="D61" t="s">
        <v>17</v>
      </c>
      <c r="E61" s="2">
        <v>44986</v>
      </c>
      <c r="F61">
        <v>4</v>
      </c>
      <c r="G61">
        <v>310</v>
      </c>
      <c r="H61">
        <f t="shared" si="0"/>
        <v>1240</v>
      </c>
      <c r="K61" s="30"/>
      <c r="L61" s="30"/>
      <c r="S61" s="30">
        <f>COUNTIF(A3:A233, "Pegamento de contacto para laminados 1/32gal")</f>
        <v>1</v>
      </c>
      <c r="T61" s="30" t="s">
        <v>96</v>
      </c>
    </row>
    <row r="62" spans="1:20" x14ac:dyDescent="0.3">
      <c r="A62" t="s">
        <v>99</v>
      </c>
      <c r="B62" s="12" t="s">
        <v>31</v>
      </c>
      <c r="C62" t="s">
        <v>220</v>
      </c>
      <c r="D62" t="s">
        <v>17</v>
      </c>
      <c r="E62" s="2">
        <v>44987</v>
      </c>
      <c r="F62">
        <v>5</v>
      </c>
      <c r="G62">
        <v>190</v>
      </c>
      <c r="H62">
        <f t="shared" si="0"/>
        <v>950</v>
      </c>
      <c r="K62" s="30"/>
      <c r="L62" s="30"/>
      <c r="S62" s="30">
        <f>COUNTIF(A3:A233, "Pegamento de contacto para calzado 1gal")</f>
        <v>1</v>
      </c>
      <c r="T62" s="30" t="s">
        <v>97</v>
      </c>
    </row>
    <row r="63" spans="1:20" x14ac:dyDescent="0.3">
      <c r="A63" t="s">
        <v>100</v>
      </c>
      <c r="B63" s="12" t="s">
        <v>31</v>
      </c>
      <c r="C63" t="s">
        <v>221</v>
      </c>
      <c r="D63" t="s">
        <v>17</v>
      </c>
      <c r="E63" s="2">
        <v>44988</v>
      </c>
      <c r="F63">
        <v>6</v>
      </c>
      <c r="G63">
        <v>33.950000000000003</v>
      </c>
      <c r="H63">
        <f t="shared" si="0"/>
        <v>203.70000000000002</v>
      </c>
      <c r="K63" s="30" t="s">
        <v>31</v>
      </c>
      <c r="L63" s="30" t="s">
        <v>17</v>
      </c>
      <c r="S63" s="30">
        <f>COUNTIF(A3:A233, "Escalera aluminio de extension 28 pies")</f>
        <v>1</v>
      </c>
      <c r="T63" s="30" t="s">
        <v>98</v>
      </c>
    </row>
    <row r="64" spans="1:20" x14ac:dyDescent="0.3">
      <c r="A64" t="s">
        <v>101</v>
      </c>
      <c r="B64" s="12" t="s">
        <v>31</v>
      </c>
      <c r="C64" t="s">
        <v>222</v>
      </c>
      <c r="D64" t="s">
        <v>17</v>
      </c>
      <c r="E64" s="2">
        <v>44989</v>
      </c>
      <c r="F64">
        <v>4</v>
      </c>
      <c r="G64">
        <v>58.75</v>
      </c>
      <c r="H64">
        <f t="shared" si="0"/>
        <v>235</v>
      </c>
      <c r="K64" s="30">
        <f>SUM(H61,H62,H63,H64,H138,H153,H163,H173,H183,H193,H203,H213,H223,H224,H225,H226,H227,H228,H229,H230)</f>
        <v>6506.2</v>
      </c>
      <c r="L64" s="30">
        <f>SUM(H43,H44,H45,H46,H47,H48,H49,H50,H51,H52,H53,H54,H55,H56,H57,H58,H59,H60,H61,H62,H63,H64,H135,H138,H142,H150,H153,H160,H163,H170,H173,H180,H183,H190,H193,H200,H203,H210,H213,H220,H223,H224,H225,H226,H227,H228,H229,H230)</f>
        <v>9375.89</v>
      </c>
      <c r="S64" s="30">
        <f>COUNTIF(A3:A233, "Escalera aluminio de extension 16 pies")</f>
        <v>1</v>
      </c>
      <c r="T64" s="30" t="s">
        <v>99</v>
      </c>
    </row>
    <row r="65" spans="1:20" x14ac:dyDescent="0.3">
      <c r="A65" t="s">
        <v>102</v>
      </c>
      <c r="B65" t="s">
        <v>32</v>
      </c>
      <c r="C65" t="s">
        <v>223</v>
      </c>
      <c r="D65" t="s">
        <v>18</v>
      </c>
      <c r="E65" s="2">
        <v>44990</v>
      </c>
      <c r="F65">
        <v>3</v>
      </c>
      <c r="G65">
        <v>15.95</v>
      </c>
      <c r="H65">
        <f t="shared" si="0"/>
        <v>47.849999999999994</v>
      </c>
      <c r="K65" s="30"/>
      <c r="L65" s="30"/>
      <c r="S65" s="30">
        <f>COUNTIF(A3:A233, "Escalera 2 peldaños")</f>
        <v>1</v>
      </c>
      <c r="T65" s="30" t="s">
        <v>100</v>
      </c>
    </row>
    <row r="66" spans="1:20" x14ac:dyDescent="0.3">
      <c r="A66" t="s">
        <v>103</v>
      </c>
      <c r="B66" t="s">
        <v>32</v>
      </c>
      <c r="C66" t="s">
        <v>224</v>
      </c>
      <c r="D66" t="s">
        <v>18</v>
      </c>
      <c r="E66" s="2">
        <v>44991</v>
      </c>
      <c r="F66">
        <v>2</v>
      </c>
      <c r="G66">
        <v>16.5</v>
      </c>
      <c r="H66">
        <f t="shared" si="0"/>
        <v>33</v>
      </c>
      <c r="K66" s="30"/>
      <c r="L66" s="30"/>
      <c r="S66" s="31">
        <f>COUNTIF(A3:A233, "Escalera aluminio 2 bandas 6 pies")</f>
        <v>17</v>
      </c>
      <c r="T66" s="31" t="s">
        <v>101</v>
      </c>
    </row>
    <row r="67" spans="1:20" x14ac:dyDescent="0.3">
      <c r="A67" t="s">
        <v>104</v>
      </c>
      <c r="B67" t="s">
        <v>32</v>
      </c>
      <c r="C67" t="s">
        <v>225</v>
      </c>
      <c r="D67" t="s">
        <v>18</v>
      </c>
      <c r="E67" s="2">
        <v>44992</v>
      </c>
      <c r="F67">
        <v>4</v>
      </c>
      <c r="G67">
        <v>14.94</v>
      </c>
      <c r="H67">
        <f t="shared" si="0"/>
        <v>59.76</v>
      </c>
      <c r="K67" s="30"/>
      <c r="L67" s="30"/>
      <c r="S67" s="30">
        <f>COUNTIF(A3:A233, "Toallero de argolla acero inoxidable")</f>
        <v>1</v>
      </c>
      <c r="T67" s="30" t="s">
        <v>102</v>
      </c>
    </row>
    <row r="68" spans="1:20" x14ac:dyDescent="0.3">
      <c r="A68" t="s">
        <v>104</v>
      </c>
      <c r="B68" t="s">
        <v>32</v>
      </c>
      <c r="C68" t="s">
        <v>226</v>
      </c>
      <c r="D68" t="s">
        <v>18</v>
      </c>
      <c r="E68" s="2">
        <v>44993</v>
      </c>
      <c r="F68">
        <v>5</v>
      </c>
      <c r="G68">
        <v>14.5</v>
      </c>
      <c r="H68">
        <f t="shared" ref="H68:H128" si="1">(F68*G68)</f>
        <v>72.5</v>
      </c>
      <c r="K68" s="30"/>
      <c r="L68" s="30"/>
      <c r="S68" s="30">
        <f>COUNTIF(A3:A233, "Toallero de argolla satinado")</f>
        <v>1</v>
      </c>
      <c r="T68" s="30" t="s">
        <v>103</v>
      </c>
    </row>
    <row r="69" spans="1:20" x14ac:dyDescent="0.3">
      <c r="A69" t="s">
        <v>105</v>
      </c>
      <c r="B69" t="s">
        <v>32</v>
      </c>
      <c r="C69" t="s">
        <v>227</v>
      </c>
      <c r="D69" t="s">
        <v>18</v>
      </c>
      <c r="E69" s="2">
        <v>44994</v>
      </c>
      <c r="F69">
        <v>6</v>
      </c>
      <c r="G69">
        <v>7.5</v>
      </c>
      <c r="H69">
        <f t="shared" si="1"/>
        <v>45</v>
      </c>
      <c r="K69" s="30"/>
      <c r="L69" s="30"/>
      <c r="S69" s="30">
        <f>COUNTIF(A3:A233, "Portarrollo para baño")</f>
        <v>2</v>
      </c>
      <c r="T69" s="30" t="s">
        <v>104</v>
      </c>
    </row>
    <row r="70" spans="1:20" x14ac:dyDescent="0.3">
      <c r="A70" t="s">
        <v>106</v>
      </c>
      <c r="B70" t="s">
        <v>32</v>
      </c>
      <c r="C70" t="s">
        <v>228</v>
      </c>
      <c r="D70" t="s">
        <v>18</v>
      </c>
      <c r="E70" s="2">
        <v>44995</v>
      </c>
      <c r="F70">
        <v>3</v>
      </c>
      <c r="G70">
        <v>10.95</v>
      </c>
      <c r="H70">
        <f t="shared" si="1"/>
        <v>32.849999999999994</v>
      </c>
      <c r="K70" s="30"/>
      <c r="L70" s="30"/>
      <c r="S70" s="30">
        <f>COUNTIF(A3:A233, "Jabonera para baño plástica transparente rectangular")</f>
        <v>1</v>
      </c>
      <c r="T70" s="30" t="s">
        <v>105</v>
      </c>
    </row>
    <row r="71" spans="1:20" x14ac:dyDescent="0.3">
      <c r="A71" t="s">
        <v>107</v>
      </c>
      <c r="B71" t="s">
        <v>32</v>
      </c>
      <c r="C71" t="s">
        <v>229</v>
      </c>
      <c r="D71" t="s">
        <v>18</v>
      </c>
      <c r="E71" s="2">
        <v>44996</v>
      </c>
      <c r="F71">
        <v>4</v>
      </c>
      <c r="G71">
        <v>8.75</v>
      </c>
      <c r="H71">
        <f t="shared" si="1"/>
        <v>35</v>
      </c>
      <c r="K71" s="30" t="s">
        <v>32</v>
      </c>
      <c r="L71" s="30"/>
      <c r="S71" s="30">
        <f>COUNTIF(A3:A233, "Dispensador de jabón líquido para baño plástico")</f>
        <v>1</v>
      </c>
      <c r="T71" s="30" t="s">
        <v>106</v>
      </c>
    </row>
    <row r="72" spans="1:20" x14ac:dyDescent="0.3">
      <c r="A72" t="s">
        <v>108</v>
      </c>
      <c r="B72" t="s">
        <v>32</v>
      </c>
      <c r="C72" t="s">
        <v>230</v>
      </c>
      <c r="D72" t="s">
        <v>18</v>
      </c>
      <c r="E72" s="2">
        <v>44997</v>
      </c>
      <c r="F72">
        <v>4</v>
      </c>
      <c r="G72">
        <v>9</v>
      </c>
      <c r="H72">
        <f t="shared" si="1"/>
        <v>36</v>
      </c>
      <c r="K72" s="30">
        <f>SUM(H65:H72)</f>
        <v>361.96000000000004</v>
      </c>
      <c r="L72" s="30"/>
      <c r="S72" s="30">
        <f>COUNTIF(A3:A233, "Percha acero inoxidable")</f>
        <v>1</v>
      </c>
      <c r="T72" s="30" t="s">
        <v>107</v>
      </c>
    </row>
    <row r="73" spans="1:20" x14ac:dyDescent="0.3">
      <c r="A73" t="s">
        <v>109</v>
      </c>
      <c r="B73" s="13" t="s">
        <v>33</v>
      </c>
      <c r="C73" t="s">
        <v>231</v>
      </c>
      <c r="D73" t="s">
        <v>18</v>
      </c>
      <c r="E73" s="2">
        <v>44998</v>
      </c>
      <c r="F73">
        <v>3</v>
      </c>
      <c r="G73">
        <v>46.95</v>
      </c>
      <c r="H73">
        <f t="shared" si="1"/>
        <v>140.85000000000002</v>
      </c>
      <c r="K73" s="30"/>
      <c r="L73" s="30"/>
      <c r="S73" s="30">
        <f>COUNTIF(A3:A233, "Percha doble cromada")</f>
        <v>1</v>
      </c>
      <c r="T73" s="30" t="s">
        <v>108</v>
      </c>
    </row>
    <row r="74" spans="1:20" x14ac:dyDescent="0.3">
      <c r="A74" t="s">
        <v>110</v>
      </c>
      <c r="B74" s="13" t="s">
        <v>33</v>
      </c>
      <c r="C74" t="s">
        <v>232</v>
      </c>
      <c r="D74" t="s">
        <v>18</v>
      </c>
      <c r="E74" s="2">
        <v>44999</v>
      </c>
      <c r="F74">
        <v>2</v>
      </c>
      <c r="G74">
        <v>53.95</v>
      </c>
      <c r="H74">
        <f t="shared" si="1"/>
        <v>107.9</v>
      </c>
      <c r="K74" s="30"/>
      <c r="L74" s="30"/>
      <c r="S74" s="30">
        <f>COUNTIF(A3:A233, "Lavamanos ovalado de empotrar blanco")</f>
        <v>1</v>
      </c>
      <c r="T74" s="30" t="s">
        <v>109</v>
      </c>
    </row>
    <row r="75" spans="1:20" x14ac:dyDescent="0.3">
      <c r="A75" t="s">
        <v>111</v>
      </c>
      <c r="B75" s="13" t="s">
        <v>33</v>
      </c>
      <c r="C75" t="s">
        <v>233</v>
      </c>
      <c r="D75" t="s">
        <v>18</v>
      </c>
      <c r="E75" s="2">
        <v>45000</v>
      </c>
      <c r="F75">
        <v>1</v>
      </c>
      <c r="G75">
        <v>19.95</v>
      </c>
      <c r="H75">
        <f t="shared" si="1"/>
        <v>19.95</v>
      </c>
      <c r="K75" s="30"/>
      <c r="L75" s="30"/>
      <c r="S75" s="30">
        <f>COUNTIF(A3:A233, "Lavamanos de submontar cuadrado color blanco 39x40.3cm")</f>
        <v>1</v>
      </c>
      <c r="T75" s="30" t="s">
        <v>110</v>
      </c>
    </row>
    <row r="76" spans="1:20" x14ac:dyDescent="0.3">
      <c r="A76" t="s">
        <v>112</v>
      </c>
      <c r="B76" s="13" t="s">
        <v>33</v>
      </c>
      <c r="C76" t="s">
        <v>234</v>
      </c>
      <c r="D76" t="s">
        <v>18</v>
      </c>
      <c r="E76" s="2">
        <v>45001</v>
      </c>
      <c r="F76">
        <v>3</v>
      </c>
      <c r="G76">
        <v>36.950000000000003</v>
      </c>
      <c r="H76">
        <f t="shared" si="1"/>
        <v>110.85000000000001</v>
      </c>
      <c r="K76" s="30" t="s">
        <v>256</v>
      </c>
      <c r="L76" s="30"/>
      <c r="S76" s="30">
        <f>COUNTIF(A3:A233, "Lavamanos de pared ovalado blanco  aguazul")</f>
        <v>1</v>
      </c>
      <c r="T76" s="30" t="s">
        <v>111</v>
      </c>
    </row>
    <row r="77" spans="1:20" x14ac:dyDescent="0.3">
      <c r="A77" t="s">
        <v>113</v>
      </c>
      <c r="B77" s="13" t="s">
        <v>33</v>
      </c>
      <c r="C77" t="s">
        <v>235</v>
      </c>
      <c r="D77" t="s">
        <v>18</v>
      </c>
      <c r="E77" s="2">
        <v>45002</v>
      </c>
      <c r="F77">
        <v>4</v>
      </c>
      <c r="G77">
        <v>54.95</v>
      </c>
      <c r="H77">
        <f t="shared" si="1"/>
        <v>219.8</v>
      </c>
      <c r="K77" s="30">
        <f>SUM(H73,H74,H75,H76,H77,H143)</f>
        <v>874.10000000000014</v>
      </c>
      <c r="L77" s="30"/>
      <c r="S77" s="30">
        <f>COUNTIF(A3:A233, "Lavamano de pared ovalado blanco")</f>
        <v>1</v>
      </c>
      <c r="T77" s="30" t="s">
        <v>112</v>
      </c>
    </row>
    <row r="78" spans="1:20" x14ac:dyDescent="0.3">
      <c r="A78" t="s">
        <v>115</v>
      </c>
      <c r="B78" s="14" t="s">
        <v>34</v>
      </c>
      <c r="C78" t="s">
        <v>236</v>
      </c>
      <c r="D78" t="s">
        <v>18</v>
      </c>
      <c r="E78" s="2">
        <v>45003</v>
      </c>
      <c r="F78">
        <v>5</v>
      </c>
      <c r="G78">
        <v>43.95</v>
      </c>
      <c r="H78">
        <f t="shared" si="1"/>
        <v>219.75</v>
      </c>
      <c r="K78" s="30"/>
      <c r="L78" s="30"/>
      <c r="S78" s="30">
        <f>COUNTIF(A3:A233, "Lavamano de sobreponer redondo blanco")</f>
        <v>2</v>
      </c>
      <c r="T78" s="30" t="s">
        <v>113</v>
      </c>
    </row>
    <row r="79" spans="1:20" x14ac:dyDescent="0.3">
      <c r="A79" t="s">
        <v>114</v>
      </c>
      <c r="B79" s="14" t="s">
        <v>34</v>
      </c>
      <c r="C79" t="s">
        <v>237</v>
      </c>
      <c r="D79" t="s">
        <v>18</v>
      </c>
      <c r="E79" s="2">
        <v>45004</v>
      </c>
      <c r="F79">
        <v>6</v>
      </c>
      <c r="G79">
        <v>9.9499999999999993</v>
      </c>
      <c r="H79">
        <f t="shared" si="1"/>
        <v>59.699999999999996</v>
      </c>
      <c r="K79" s="30"/>
      <c r="L79" s="30"/>
      <c r="S79" s="30">
        <f>COUNTIF(A3:A233, "Espejo para baño con repisanegro")</f>
        <v>1</v>
      </c>
      <c r="T79" s="30" t="s">
        <v>115</v>
      </c>
    </row>
    <row r="80" spans="1:20" x14ac:dyDescent="0.3">
      <c r="A80" t="s">
        <v>116</v>
      </c>
      <c r="B80" s="14" t="s">
        <v>34</v>
      </c>
      <c r="C80" t="s">
        <v>238</v>
      </c>
      <c r="D80" t="s">
        <v>18</v>
      </c>
      <c r="E80" s="2">
        <v>45005</v>
      </c>
      <c r="F80">
        <v>3</v>
      </c>
      <c r="G80">
        <v>17.95</v>
      </c>
      <c r="H80">
        <f t="shared" si="1"/>
        <v>53.849999999999994</v>
      </c>
      <c r="K80" s="30" t="s">
        <v>257</v>
      </c>
      <c r="L80" s="30"/>
      <c r="S80" s="30">
        <f>COUNTIF(A3:A233, "Espejo para baño con repisablanco")</f>
        <v>1</v>
      </c>
      <c r="T80" s="30" t="s">
        <v>114</v>
      </c>
    </row>
    <row r="81" spans="1:20" x14ac:dyDescent="0.3">
      <c r="A81" t="s">
        <v>117</v>
      </c>
      <c r="B81" s="14" t="s">
        <v>34</v>
      </c>
      <c r="C81" t="s">
        <v>239</v>
      </c>
      <c r="D81" t="s">
        <v>18</v>
      </c>
      <c r="E81" s="2">
        <v>45006</v>
      </c>
      <c r="F81">
        <v>3</v>
      </c>
      <c r="G81">
        <v>8.9499999999999993</v>
      </c>
      <c r="H81">
        <f t="shared" si="1"/>
        <v>26.849999999999998</v>
      </c>
      <c r="K81" s="30">
        <f>SUM(H78:H81)</f>
        <v>360.15</v>
      </c>
      <c r="L81" s="30"/>
      <c r="S81" s="30">
        <f>COUNTIF(A3:A233, "Alfombra para baño antideslizante 43x92cm")</f>
        <v>1</v>
      </c>
      <c r="T81" s="30" t="s">
        <v>116</v>
      </c>
    </row>
    <row r="82" spans="1:20" x14ac:dyDescent="0.3">
      <c r="A82" t="s">
        <v>118</v>
      </c>
      <c r="B82" s="15" t="s">
        <v>35</v>
      </c>
      <c r="C82" t="s">
        <v>240</v>
      </c>
      <c r="D82" t="s">
        <v>18</v>
      </c>
      <c r="E82" s="2">
        <v>45007</v>
      </c>
      <c r="F82">
        <v>2</v>
      </c>
      <c r="G82">
        <v>115</v>
      </c>
      <c r="H82">
        <f t="shared" si="1"/>
        <v>230</v>
      </c>
      <c r="K82" s="30" t="s">
        <v>35</v>
      </c>
      <c r="L82" s="30" t="s">
        <v>18</v>
      </c>
      <c r="S82" s="30">
        <f>COUNTIF(A3:A233, "Inodoro elongado de 1 pieza color blanco")</f>
        <v>1</v>
      </c>
      <c r="T82" s="30" t="s">
        <v>118</v>
      </c>
    </row>
    <row r="83" spans="1:20" x14ac:dyDescent="0.3">
      <c r="A83" t="s">
        <v>119</v>
      </c>
      <c r="B83" s="15" t="s">
        <v>35</v>
      </c>
      <c r="C83" t="s">
        <v>246</v>
      </c>
      <c r="D83" t="s">
        <v>18</v>
      </c>
      <c r="E83" s="2">
        <v>45008</v>
      </c>
      <c r="F83">
        <v>4</v>
      </c>
      <c r="G83">
        <v>59.95</v>
      </c>
      <c r="H83">
        <f t="shared" si="1"/>
        <v>239.8</v>
      </c>
      <c r="K83" s="30">
        <f>SUM(H82:H83)</f>
        <v>469.8</v>
      </c>
      <c r="L83" s="30">
        <f>SUM(H65,H66,H67,H68,H69,H70,H71,H72,H73,H74,H75,H76,H77,H78,H79,H80,H81,H82,H83,H143)</f>
        <v>2066.0100000000002</v>
      </c>
      <c r="S83" s="30">
        <f>COUNTIF(A3:A233, "Tubo para cortina de baño 100-180cm crema")</f>
        <v>1</v>
      </c>
      <c r="T83" s="30" t="s">
        <v>117</v>
      </c>
    </row>
    <row r="84" spans="1:20" x14ac:dyDescent="0.3">
      <c r="A84" t="s">
        <v>120</v>
      </c>
      <c r="B84" s="16" t="s">
        <v>36</v>
      </c>
      <c r="C84" t="s">
        <v>241</v>
      </c>
      <c r="D84" t="s">
        <v>19</v>
      </c>
      <c r="E84" s="2">
        <v>45009</v>
      </c>
      <c r="F84">
        <v>2</v>
      </c>
      <c r="G84">
        <v>17.95</v>
      </c>
      <c r="H84">
        <f t="shared" si="1"/>
        <v>35.9</v>
      </c>
      <c r="K84" s="30"/>
      <c r="L84" s="30"/>
      <c r="S84" s="30">
        <f>COUNTIF(A3:A233, "Inodoro redondo blanco 2 pzas")</f>
        <v>1</v>
      </c>
      <c r="T84" s="30" t="s">
        <v>119</v>
      </c>
    </row>
    <row r="85" spans="1:20" x14ac:dyDescent="0.3">
      <c r="A85" t="s">
        <v>121</v>
      </c>
      <c r="B85" s="16" t="s">
        <v>36</v>
      </c>
      <c r="C85" t="s">
        <v>242</v>
      </c>
      <c r="D85" t="s">
        <v>19</v>
      </c>
      <c r="E85" s="2">
        <v>45010</v>
      </c>
      <c r="F85">
        <v>3</v>
      </c>
      <c r="G85">
        <v>87.5</v>
      </c>
      <c r="H85">
        <f t="shared" si="1"/>
        <v>262.5</v>
      </c>
      <c r="K85" s="30"/>
      <c r="L85" s="30"/>
      <c r="S85" s="30">
        <f>COUNTIF(A3:A233, "Lámpara colgante 1 luz e27 cobre antiguo")</f>
        <v>1</v>
      </c>
      <c r="T85" s="30" t="s">
        <v>120</v>
      </c>
    </row>
    <row r="86" spans="1:20" x14ac:dyDescent="0.3">
      <c r="A86" t="s">
        <v>122</v>
      </c>
      <c r="B86" s="16" t="s">
        <v>36</v>
      </c>
      <c r="C86" t="s">
        <v>243</v>
      </c>
      <c r="D86" t="s">
        <v>19</v>
      </c>
      <c r="E86" s="2">
        <v>45011</v>
      </c>
      <c r="F86">
        <v>5</v>
      </c>
      <c r="G86">
        <v>14.95</v>
      </c>
      <c r="H86">
        <f t="shared" si="1"/>
        <v>74.75</v>
      </c>
      <c r="K86" s="30" t="s">
        <v>36</v>
      </c>
      <c r="L86" s="30"/>
      <c r="S86" s="30">
        <f>COUNTIF(A3:A233, "Lámpara colgante vidrio negro 1l e27")</f>
        <v>1</v>
      </c>
      <c r="T86" s="30" t="s">
        <v>121</v>
      </c>
    </row>
    <row r="87" spans="1:20" x14ac:dyDescent="0.3">
      <c r="A87" t="s">
        <v>123</v>
      </c>
      <c r="B87" s="16" t="s">
        <v>36</v>
      </c>
      <c r="C87" t="s">
        <v>244</v>
      </c>
      <c r="D87" t="s">
        <v>19</v>
      </c>
      <c r="E87" s="2">
        <v>45012</v>
      </c>
      <c r="F87">
        <v>4</v>
      </c>
      <c r="G87">
        <v>54.95</v>
      </c>
      <c r="H87">
        <f t="shared" si="1"/>
        <v>219.8</v>
      </c>
      <c r="K87" s="30">
        <f>SUM(H84:H87)</f>
        <v>592.95000000000005</v>
      </c>
      <c r="L87" s="30"/>
      <c r="S87" s="30">
        <f>COUNTIF(A3:A233, "Lámpara de pared led 4.2w blanca")</f>
        <v>1</v>
      </c>
      <c r="T87" s="30" t="s">
        <v>122</v>
      </c>
    </row>
    <row r="88" spans="1:20" x14ac:dyDescent="0.3">
      <c r="A88" t="s">
        <v>124</v>
      </c>
      <c r="B88" s="18" t="s">
        <v>37</v>
      </c>
      <c r="C88" t="s">
        <v>182</v>
      </c>
      <c r="D88" t="s">
        <v>19</v>
      </c>
      <c r="E88" s="2">
        <v>45013</v>
      </c>
      <c r="F88">
        <v>3</v>
      </c>
      <c r="G88">
        <v>1.4</v>
      </c>
      <c r="H88">
        <f t="shared" si="1"/>
        <v>4.1999999999999993</v>
      </c>
      <c r="K88" s="30"/>
      <c r="L88" s="30"/>
      <c r="S88" s="30">
        <f>COUNTIF(A3:A233, "Chasis para tubo led 3x18w 2x4 pies")</f>
        <v>1</v>
      </c>
      <c r="T88" s="30" t="s">
        <v>123</v>
      </c>
    </row>
    <row r="89" spans="1:20" x14ac:dyDescent="0.3">
      <c r="A89" t="s">
        <v>125</v>
      </c>
      <c r="B89" s="18" t="s">
        <v>37</v>
      </c>
      <c r="C89" t="s">
        <v>174</v>
      </c>
      <c r="D89" t="s">
        <v>19</v>
      </c>
      <c r="E89" s="2">
        <v>45014</v>
      </c>
      <c r="F89">
        <v>2</v>
      </c>
      <c r="G89">
        <v>5.5</v>
      </c>
      <c r="H89">
        <f t="shared" si="1"/>
        <v>11</v>
      </c>
      <c r="K89" s="30"/>
      <c r="L89" s="30"/>
      <c r="S89" s="30">
        <f>COUNTIF(A3:A233, "Foco led 7w e27 luz amarilla")</f>
        <v>1</v>
      </c>
      <c r="T89" s="30" t="s">
        <v>124</v>
      </c>
    </row>
    <row r="90" spans="1:20" x14ac:dyDescent="0.3">
      <c r="A90" t="s">
        <v>126</v>
      </c>
      <c r="B90" s="18" t="s">
        <v>37</v>
      </c>
      <c r="C90" t="s">
        <v>174</v>
      </c>
      <c r="D90" t="s">
        <v>19</v>
      </c>
      <c r="E90" s="2">
        <v>45015</v>
      </c>
      <c r="F90">
        <v>4</v>
      </c>
      <c r="G90">
        <v>3.95</v>
      </c>
      <c r="H90">
        <f t="shared" si="1"/>
        <v>15.8</v>
      </c>
      <c r="K90" s="30"/>
      <c r="L90" s="30"/>
      <c r="S90" s="30">
        <f>COUNTIF(A3:A233, "Foco led 30w e27 luz blanca alta potencia")</f>
        <v>1</v>
      </c>
      <c r="T90" s="30" t="s">
        <v>125</v>
      </c>
    </row>
    <row r="91" spans="1:20" x14ac:dyDescent="0.3">
      <c r="A91" t="s">
        <v>127</v>
      </c>
      <c r="B91" s="18" t="s">
        <v>37</v>
      </c>
      <c r="C91" t="s">
        <v>176</v>
      </c>
      <c r="D91" t="s">
        <v>19</v>
      </c>
      <c r="E91" s="2">
        <v>45016</v>
      </c>
      <c r="F91">
        <v>5</v>
      </c>
      <c r="G91">
        <v>3.2</v>
      </c>
      <c r="H91">
        <f t="shared" si="1"/>
        <v>16</v>
      </c>
      <c r="K91" s="30" t="s">
        <v>37</v>
      </c>
      <c r="L91" s="30"/>
      <c r="S91" s="30">
        <f>COUNTIF(A3:A233, "Reflector led gu10 5w luz blanca set de 3 pzas")</f>
        <v>1</v>
      </c>
      <c r="T91" s="30" t="s">
        <v>126</v>
      </c>
    </row>
    <row r="92" spans="1:20" x14ac:dyDescent="0.3">
      <c r="A92" t="s">
        <v>128</v>
      </c>
      <c r="B92" s="18" t="s">
        <v>37</v>
      </c>
      <c r="C92" t="s">
        <v>177</v>
      </c>
      <c r="D92" t="s">
        <v>19</v>
      </c>
      <c r="E92" s="2">
        <v>45017</v>
      </c>
      <c r="F92">
        <v>4</v>
      </c>
      <c r="G92">
        <v>8.9499999999999993</v>
      </c>
      <c r="H92">
        <f t="shared" si="1"/>
        <v>35.799999999999997</v>
      </c>
      <c r="K92" s="30">
        <f>SUM(H88:H92)</f>
        <v>82.8</v>
      </c>
      <c r="L92" s="30"/>
      <c r="S92" s="30">
        <f>COUNTIF(A3:A233, "Reflector led gu10 4w luz amarilla")</f>
        <v>1</v>
      </c>
      <c r="T92" s="30" t="s">
        <v>127</v>
      </c>
    </row>
    <row r="93" spans="1:20" x14ac:dyDescent="0.3">
      <c r="A93" t="s">
        <v>129</v>
      </c>
      <c r="B93" s="19" t="s">
        <v>38</v>
      </c>
      <c r="C93" t="s">
        <v>243</v>
      </c>
      <c r="D93" t="s">
        <v>19</v>
      </c>
      <c r="E93" s="2">
        <v>45018</v>
      </c>
      <c r="F93">
        <v>3</v>
      </c>
      <c r="G93">
        <v>2.25</v>
      </c>
      <c r="H93">
        <f t="shared" si="1"/>
        <v>6.75</v>
      </c>
      <c r="K93" s="30"/>
      <c r="L93" s="30"/>
      <c r="S93" s="30">
        <f>COUNTIF(A3:A233, "Tubo led de vidrio 18w luz blanca")</f>
        <v>1</v>
      </c>
      <c r="T93" s="30" t="s">
        <v>128</v>
      </c>
    </row>
    <row r="94" spans="1:20" x14ac:dyDescent="0.3">
      <c r="A94" t="s">
        <v>249</v>
      </c>
      <c r="B94" s="19" t="s">
        <v>38</v>
      </c>
      <c r="C94" t="s">
        <v>179</v>
      </c>
      <c r="D94" t="s">
        <v>19</v>
      </c>
      <c r="E94" s="2">
        <v>45019</v>
      </c>
      <c r="F94">
        <v>4</v>
      </c>
      <c r="G94">
        <v>8.5</v>
      </c>
      <c r="H94">
        <f t="shared" si="1"/>
        <v>34</v>
      </c>
      <c r="K94" s="30"/>
      <c r="L94" s="30"/>
      <c r="S94" s="30">
        <f>COUNTIF(A3:A233, "Lámpara de mano led verde 9 leds")</f>
        <v>1</v>
      </c>
      <c r="T94" s="30" t="s">
        <v>129</v>
      </c>
    </row>
    <row r="95" spans="1:20" x14ac:dyDescent="0.3">
      <c r="A95" t="s">
        <v>247</v>
      </c>
      <c r="B95" s="19" t="s">
        <v>38</v>
      </c>
      <c r="C95" t="s">
        <v>180</v>
      </c>
      <c r="D95" t="s">
        <v>19</v>
      </c>
      <c r="E95" s="2">
        <v>45020</v>
      </c>
      <c r="F95">
        <v>3</v>
      </c>
      <c r="G95">
        <v>24.95</v>
      </c>
      <c r="H95">
        <f t="shared" si="1"/>
        <v>74.849999999999994</v>
      </c>
      <c r="K95" s="30"/>
      <c r="L95" s="30"/>
      <c r="S95" s="30">
        <f>COUNTIF(A3:A233, "Lámpara de mano led aluminio negro 2 baterias aa")</f>
        <v>1</v>
      </c>
      <c r="T95" s="30" t="s">
        <v>249</v>
      </c>
    </row>
    <row r="96" spans="1:20" x14ac:dyDescent="0.3">
      <c r="A96" t="s">
        <v>248</v>
      </c>
      <c r="B96" s="19" t="s">
        <v>38</v>
      </c>
      <c r="C96" t="s">
        <v>181</v>
      </c>
      <c r="D96" t="s">
        <v>19</v>
      </c>
      <c r="E96" s="2">
        <v>45021</v>
      </c>
      <c r="F96">
        <v>2</v>
      </c>
      <c r="G96">
        <v>26.95</v>
      </c>
      <c r="H96">
        <f t="shared" si="1"/>
        <v>53.9</v>
      </c>
      <c r="K96" s="30" t="s">
        <v>38</v>
      </c>
      <c r="L96" s="30" t="s">
        <v>19</v>
      </c>
      <c r="S96" s="30">
        <f>COUNTIF(A3:A233, "Lámpara de mano led negra 3aa y recargable")</f>
        <v>1</v>
      </c>
      <c r="T96" s="30" t="s">
        <v>247</v>
      </c>
    </row>
    <row r="97" spans="1:20" x14ac:dyDescent="0.3">
      <c r="A97" t="s">
        <v>130</v>
      </c>
      <c r="B97" s="19" t="s">
        <v>38</v>
      </c>
      <c r="C97" t="s">
        <v>178</v>
      </c>
      <c r="D97" t="s">
        <v>19</v>
      </c>
      <c r="E97" s="2">
        <v>45022</v>
      </c>
      <c r="F97">
        <v>4</v>
      </c>
      <c r="G97">
        <v>0.12</v>
      </c>
      <c r="H97">
        <f t="shared" si="1"/>
        <v>0.48</v>
      </c>
      <c r="K97" s="30">
        <f>SUM(H93:H97)</f>
        <v>169.98</v>
      </c>
      <c r="L97" s="30">
        <f>SUM(H84,H85,H86,H87,H88,H89,H90,H91,H92,H93,H94,H95,H96,H97)</f>
        <v>845.73</v>
      </c>
      <c r="S97" s="30">
        <f>COUNTIF(A3:A233, "Lámpara de mano led recargable")</f>
        <v>1</v>
      </c>
      <c r="T97" s="30" t="s">
        <v>248</v>
      </c>
    </row>
    <row r="98" spans="1:20" x14ac:dyDescent="0.3">
      <c r="A98" t="s">
        <v>131</v>
      </c>
      <c r="B98" s="20" t="s">
        <v>39</v>
      </c>
      <c r="C98" t="s">
        <v>183</v>
      </c>
      <c r="D98" t="s">
        <v>20</v>
      </c>
      <c r="E98" s="2">
        <v>45023</v>
      </c>
      <c r="F98">
        <v>3</v>
      </c>
      <c r="G98">
        <v>23.95</v>
      </c>
      <c r="H98">
        <f t="shared" si="1"/>
        <v>71.849999999999994</v>
      </c>
      <c r="K98" s="30"/>
      <c r="L98" s="30"/>
      <c r="S98" s="30">
        <f>COUNTIF(A3:A233, "Foco incandescente para lámpara de amno 3d")</f>
        <v>1</v>
      </c>
      <c r="T98" s="30" t="s">
        <v>130</v>
      </c>
    </row>
    <row r="99" spans="1:20" x14ac:dyDescent="0.3">
      <c r="A99" t="s">
        <v>132</v>
      </c>
      <c r="B99" s="20" t="s">
        <v>39</v>
      </c>
      <c r="C99" t="s">
        <v>184</v>
      </c>
      <c r="D99" t="s">
        <v>20</v>
      </c>
      <c r="E99" s="2">
        <v>45024</v>
      </c>
      <c r="F99">
        <v>2</v>
      </c>
      <c r="G99">
        <v>25.45</v>
      </c>
      <c r="H99">
        <f t="shared" si="1"/>
        <v>50.9</v>
      </c>
      <c r="K99" s="30"/>
      <c r="L99" s="30"/>
      <c r="S99" s="30">
        <f>COUNTIF(A3:A233, "Ventilador de mesa blanco ambiance 12 pulg")</f>
        <v>1</v>
      </c>
      <c r="T99" s="30" t="s">
        <v>131</v>
      </c>
    </row>
    <row r="100" spans="1:20" x14ac:dyDescent="0.3">
      <c r="A100" t="s">
        <v>133</v>
      </c>
      <c r="B100" s="20" t="s">
        <v>39</v>
      </c>
      <c r="C100" t="s">
        <v>185</v>
      </c>
      <c r="D100" t="s">
        <v>20</v>
      </c>
      <c r="E100" s="2">
        <v>45025</v>
      </c>
      <c r="F100">
        <v>5</v>
      </c>
      <c r="G100">
        <v>56.95</v>
      </c>
      <c r="H100">
        <f t="shared" si="1"/>
        <v>284.75</v>
      </c>
      <c r="K100" s="30"/>
      <c r="L100" s="30"/>
      <c r="S100" s="30">
        <f>COUNTIF(A3:A233, "Ventilador de mesa turbo 8pulg 3 velocidades")</f>
        <v>1</v>
      </c>
      <c r="T100" s="30" t="s">
        <v>132</v>
      </c>
    </row>
    <row r="101" spans="1:20" x14ac:dyDescent="0.3">
      <c r="A101" t="s">
        <v>134</v>
      </c>
      <c r="B101" s="20" t="s">
        <v>39</v>
      </c>
      <c r="C101" t="s">
        <v>186</v>
      </c>
      <c r="D101" t="s">
        <v>20</v>
      </c>
      <c r="E101" s="2">
        <v>45026</v>
      </c>
      <c r="F101">
        <v>6</v>
      </c>
      <c r="G101">
        <v>86.35</v>
      </c>
      <c r="H101">
        <f t="shared" si="1"/>
        <v>518.09999999999991</v>
      </c>
      <c r="K101" s="30"/>
      <c r="L101" s="30"/>
      <c r="S101" s="30">
        <f>COUNTIF(A3:A233, "Ventilador de mesa blanco 13pulg")</f>
        <v>1</v>
      </c>
      <c r="T101" s="30" t="s">
        <v>133</v>
      </c>
    </row>
    <row r="102" spans="1:20" x14ac:dyDescent="0.3">
      <c r="A102" t="s">
        <v>135</v>
      </c>
      <c r="B102" s="20" t="s">
        <v>39</v>
      </c>
      <c r="C102" t="s">
        <v>242</v>
      </c>
      <c r="D102" t="s">
        <v>20</v>
      </c>
      <c r="E102" s="2">
        <v>45027</v>
      </c>
      <c r="F102">
        <v>4</v>
      </c>
      <c r="G102">
        <v>89.05</v>
      </c>
      <c r="H102">
        <f t="shared" si="1"/>
        <v>356.2</v>
      </c>
      <c r="K102" s="30"/>
      <c r="L102" s="30"/>
      <c r="S102" s="30">
        <f>COUNTIF(A3:A233, "Ventilador de techo 32pulg 6 aspas")</f>
        <v>1</v>
      </c>
      <c r="T102" s="30" t="s">
        <v>134</v>
      </c>
    </row>
    <row r="103" spans="1:20" x14ac:dyDescent="0.3">
      <c r="A103" t="s">
        <v>136</v>
      </c>
      <c r="B103" s="20" t="s">
        <v>39</v>
      </c>
      <c r="C103" t="s">
        <v>187</v>
      </c>
      <c r="D103" t="s">
        <v>20</v>
      </c>
      <c r="E103" s="2">
        <v>45028</v>
      </c>
      <c r="F103">
        <v>3</v>
      </c>
      <c r="G103">
        <v>195</v>
      </c>
      <c r="H103">
        <f t="shared" si="1"/>
        <v>585</v>
      </c>
      <c r="K103" s="30" t="s">
        <v>39</v>
      </c>
      <c r="L103" s="30" t="s">
        <v>261</v>
      </c>
      <c r="S103" s="30">
        <f>COUNTIF(A3:A233, "Ventilador de techo de 3 aspas 76.20cm")</f>
        <v>1</v>
      </c>
      <c r="T103" s="30" t="s">
        <v>135</v>
      </c>
    </row>
    <row r="104" spans="1:20" x14ac:dyDescent="0.3">
      <c r="A104" t="s">
        <v>137</v>
      </c>
      <c r="B104" s="20" t="s">
        <v>39</v>
      </c>
      <c r="C104" t="s">
        <v>188</v>
      </c>
      <c r="D104" t="s">
        <v>20</v>
      </c>
      <c r="E104" s="2">
        <v>45029</v>
      </c>
      <c r="F104">
        <v>2</v>
      </c>
      <c r="G104">
        <v>44.5</v>
      </c>
      <c r="H104">
        <f t="shared" si="1"/>
        <v>89</v>
      </c>
      <c r="K104" s="30">
        <f>SUM(H98:H104)</f>
        <v>1955.8</v>
      </c>
      <c r="L104" s="30">
        <f>SUM(H98:H104)</f>
        <v>1955.8</v>
      </c>
      <c r="S104" s="30">
        <f>COUNTIF(A3:A233, "Ventilador de pared industrial de 30pulg")</f>
        <v>1</v>
      </c>
      <c r="T104" s="30" t="s">
        <v>136</v>
      </c>
    </row>
    <row r="105" spans="1:20" x14ac:dyDescent="0.3">
      <c r="A105" t="s">
        <v>144</v>
      </c>
      <c r="B105" s="21" t="s">
        <v>138</v>
      </c>
      <c r="C105" t="s">
        <v>191</v>
      </c>
      <c r="D105" t="s">
        <v>21</v>
      </c>
      <c r="E105" s="2">
        <v>45030</v>
      </c>
      <c r="F105">
        <v>4</v>
      </c>
      <c r="G105">
        <v>7.5</v>
      </c>
      <c r="H105">
        <f t="shared" si="1"/>
        <v>30</v>
      </c>
      <c r="K105" s="30"/>
      <c r="L105" s="30"/>
      <c r="S105" s="30">
        <f>COUNTIF(A3:A233, "Ventilador de pared de 18pulg")</f>
        <v>1</v>
      </c>
      <c r="T105" s="30" t="s">
        <v>137</v>
      </c>
    </row>
    <row r="106" spans="1:20" x14ac:dyDescent="0.3">
      <c r="A106" t="s">
        <v>145</v>
      </c>
      <c r="B106" s="21" t="s">
        <v>138</v>
      </c>
      <c r="C106" t="s">
        <v>200</v>
      </c>
      <c r="D106" t="s">
        <v>21</v>
      </c>
      <c r="E106" s="2">
        <v>45031</v>
      </c>
      <c r="F106">
        <v>5</v>
      </c>
      <c r="G106">
        <v>21.95</v>
      </c>
      <c r="H106">
        <f t="shared" si="1"/>
        <v>109.75</v>
      </c>
      <c r="K106" s="30"/>
      <c r="L106" s="30"/>
      <c r="S106" s="30">
        <f>COUNTIF(A3:A233, "Cafetera italiana de acero inoxidable 0.8 taza")</f>
        <v>1</v>
      </c>
      <c r="T106" s="30" t="s">
        <v>144</v>
      </c>
    </row>
    <row r="107" spans="1:20" x14ac:dyDescent="0.3">
      <c r="A107" t="s">
        <v>146</v>
      </c>
      <c r="B107" s="21" t="s">
        <v>138</v>
      </c>
      <c r="C107" t="s">
        <v>202</v>
      </c>
      <c r="D107" t="s">
        <v>21</v>
      </c>
      <c r="E107" s="2">
        <v>45032</v>
      </c>
      <c r="F107">
        <v>3</v>
      </c>
      <c r="G107">
        <v>45.95</v>
      </c>
      <c r="H107">
        <f t="shared" si="1"/>
        <v>137.85000000000002</v>
      </c>
      <c r="K107" s="30"/>
      <c r="L107" s="30"/>
      <c r="S107" s="30">
        <f>COUNTIF(A3:A233, "Cafetera italiana de aluminio color azul")</f>
        <v>1</v>
      </c>
      <c r="T107" s="30" t="s">
        <v>145</v>
      </c>
    </row>
    <row r="108" spans="1:20" x14ac:dyDescent="0.3">
      <c r="A108" t="s">
        <v>147</v>
      </c>
      <c r="B108" s="21" t="s">
        <v>138</v>
      </c>
      <c r="C108" t="s">
        <v>207</v>
      </c>
      <c r="D108" t="s">
        <v>21</v>
      </c>
      <c r="E108" s="2">
        <v>45033</v>
      </c>
      <c r="F108">
        <v>4</v>
      </c>
      <c r="G108">
        <v>42.95</v>
      </c>
      <c r="H108">
        <f t="shared" si="1"/>
        <v>171.8</v>
      </c>
      <c r="K108" s="30"/>
      <c r="L108" s="30"/>
      <c r="S108" s="30">
        <f>COUNTIF(A3:A233, "Cafetera eléctrica 12 tazas negra")</f>
        <v>1</v>
      </c>
      <c r="T108" s="30" t="s">
        <v>146</v>
      </c>
    </row>
    <row r="109" spans="1:20" x14ac:dyDescent="0.3">
      <c r="A109" t="s">
        <v>148</v>
      </c>
      <c r="B109" s="21" t="s">
        <v>138</v>
      </c>
      <c r="C109" t="s">
        <v>208</v>
      </c>
      <c r="D109" t="s">
        <v>21</v>
      </c>
      <c r="E109" s="2">
        <v>45034</v>
      </c>
      <c r="F109">
        <v>3</v>
      </c>
      <c r="G109">
        <v>33.950000000000003</v>
      </c>
      <c r="H109">
        <f t="shared" si="1"/>
        <v>101.85000000000001</v>
      </c>
      <c r="K109" s="30" t="s">
        <v>258</v>
      </c>
      <c r="L109" s="30"/>
      <c r="S109" s="30">
        <f>COUNTIF(A3:A233, "Cafetera 5 tazas acero inoxidable")</f>
        <v>1</v>
      </c>
      <c r="T109" s="30" t="s">
        <v>147</v>
      </c>
    </row>
    <row r="110" spans="1:20" x14ac:dyDescent="0.3">
      <c r="A110" t="s">
        <v>149</v>
      </c>
      <c r="B110" s="21" t="s">
        <v>138</v>
      </c>
      <c r="C110" t="s">
        <v>199</v>
      </c>
      <c r="D110" t="s">
        <v>21</v>
      </c>
      <c r="E110" s="2">
        <v>45035</v>
      </c>
      <c r="F110">
        <v>4</v>
      </c>
      <c r="G110">
        <v>37.950000000000003</v>
      </c>
      <c r="H110">
        <f t="shared" si="1"/>
        <v>151.80000000000001</v>
      </c>
      <c r="K110" s="30">
        <f>SUM(H105:H110)</f>
        <v>703.05</v>
      </c>
      <c r="L110" s="30"/>
      <c r="S110" s="30">
        <f>COUNTIF(A3:A233, "Hervidor de agua electrico 1.7l")</f>
        <v>1</v>
      </c>
      <c r="T110" s="30" t="s">
        <v>148</v>
      </c>
    </row>
    <row r="111" spans="1:20" x14ac:dyDescent="0.3">
      <c r="A111" t="s">
        <v>150</v>
      </c>
      <c r="B111" s="22" t="s">
        <v>139</v>
      </c>
      <c r="C111" t="s">
        <v>204</v>
      </c>
      <c r="D111" t="s">
        <v>21</v>
      </c>
      <c r="E111" s="2">
        <v>45036</v>
      </c>
      <c r="F111">
        <v>2</v>
      </c>
      <c r="G111">
        <v>64.95</v>
      </c>
      <c r="H111">
        <f t="shared" si="1"/>
        <v>129.9</v>
      </c>
      <c r="K111" s="30"/>
      <c r="L111" s="30"/>
      <c r="S111" s="30">
        <f>COUNTIF(A3:A233, "Tetera electrica de plastico 1.7l negro")</f>
        <v>1</v>
      </c>
      <c r="T111" s="30" t="s">
        <v>149</v>
      </c>
    </row>
    <row r="112" spans="1:20" x14ac:dyDescent="0.3">
      <c r="A112" t="s">
        <v>151</v>
      </c>
      <c r="B112" s="22" t="s">
        <v>139</v>
      </c>
      <c r="C112" t="s">
        <v>208</v>
      </c>
      <c r="D112" t="s">
        <v>21</v>
      </c>
      <c r="E112" s="2">
        <v>45037</v>
      </c>
      <c r="F112">
        <v>3</v>
      </c>
      <c r="G112">
        <v>23.95</v>
      </c>
      <c r="H112">
        <f t="shared" si="1"/>
        <v>71.849999999999994</v>
      </c>
      <c r="K112" s="30" t="s">
        <v>139</v>
      </c>
      <c r="L112" s="30"/>
      <c r="S112" s="30">
        <f>COUNTIF(A3:A233, "Parrilla electrica negra")</f>
        <v>1</v>
      </c>
      <c r="T112" s="30" t="s">
        <v>150</v>
      </c>
    </row>
    <row r="113" spans="1:20" x14ac:dyDescent="0.3">
      <c r="A113" t="s">
        <v>152</v>
      </c>
      <c r="B113" s="22" t="s">
        <v>139</v>
      </c>
      <c r="C113" t="s">
        <v>209</v>
      </c>
      <c r="D113" t="s">
        <v>21</v>
      </c>
      <c r="E113" s="2">
        <v>45038</v>
      </c>
      <c r="F113">
        <v>4</v>
      </c>
      <c r="G113">
        <v>23.95</v>
      </c>
      <c r="H113">
        <f t="shared" si="1"/>
        <v>95.8</v>
      </c>
      <c r="K113" s="30">
        <f>SUM(H111,H112,H113,H132,H147,H157,H167,H177,H187,H197,H207,H217)</f>
        <v>1255.55</v>
      </c>
      <c r="L113" s="30"/>
      <c r="S113" s="30">
        <f>COUNTIF(A3:A233, "Cocina electrica de 2 hornillas de 500w y  1000w")</f>
        <v>1</v>
      </c>
      <c r="T113" s="30" t="s">
        <v>151</v>
      </c>
    </row>
    <row r="114" spans="1:20" x14ac:dyDescent="0.3">
      <c r="A114" t="s">
        <v>153</v>
      </c>
      <c r="B114" s="23" t="s">
        <v>140</v>
      </c>
      <c r="C114" t="s">
        <v>210</v>
      </c>
      <c r="D114" t="s">
        <v>21</v>
      </c>
      <c r="E114" s="2">
        <v>45039</v>
      </c>
      <c r="F114">
        <v>5</v>
      </c>
      <c r="G114">
        <v>23.95</v>
      </c>
      <c r="H114">
        <f t="shared" si="1"/>
        <v>119.75</v>
      </c>
      <c r="K114" s="30"/>
      <c r="L114" s="30"/>
      <c r="S114" s="31">
        <f>COUNTIF(A3:A233, "Cocina de gas 1 quemador")</f>
        <v>10</v>
      </c>
      <c r="T114" s="31" t="s">
        <v>152</v>
      </c>
    </row>
    <row r="115" spans="1:20" x14ac:dyDescent="0.3">
      <c r="A115" t="s">
        <v>154</v>
      </c>
      <c r="B115" s="23" t="s">
        <v>140</v>
      </c>
      <c r="C115" t="s">
        <v>212</v>
      </c>
      <c r="D115" t="s">
        <v>21</v>
      </c>
      <c r="E115" s="2">
        <v>45040</v>
      </c>
      <c r="F115">
        <v>3</v>
      </c>
      <c r="G115">
        <v>59.95</v>
      </c>
      <c r="H115">
        <f t="shared" si="1"/>
        <v>179.85000000000002</v>
      </c>
      <c r="K115" s="30">
        <f>SUM(H114:H115)</f>
        <v>299.60000000000002</v>
      </c>
      <c r="L115" s="30"/>
      <c r="S115" s="30">
        <f>COUNTIF(A3:A233, "Licuadora vaso plastico 1.5l")</f>
        <v>1</v>
      </c>
      <c r="T115" s="30" t="s">
        <v>153</v>
      </c>
    </row>
    <row r="116" spans="1:20" x14ac:dyDescent="0.3">
      <c r="A116" t="s">
        <v>155</v>
      </c>
      <c r="B116" s="27" t="s">
        <v>141</v>
      </c>
      <c r="C116" t="s">
        <v>211</v>
      </c>
      <c r="D116" t="s">
        <v>21</v>
      </c>
      <c r="E116" s="2">
        <v>45041</v>
      </c>
      <c r="F116">
        <v>2</v>
      </c>
      <c r="G116">
        <v>129.94999999999999</v>
      </c>
      <c r="H116">
        <f t="shared" si="1"/>
        <v>259.89999999999998</v>
      </c>
      <c r="K116" s="30"/>
      <c r="L116" s="30"/>
      <c r="S116" s="30">
        <f>COUNTIF(A3:A233, "Licuadora vaso de vidrio 1.5l 4 velocidades")</f>
        <v>1</v>
      </c>
      <c r="T116" s="30" t="s">
        <v>154</v>
      </c>
    </row>
    <row r="117" spans="1:20" x14ac:dyDescent="0.3">
      <c r="A117" t="s">
        <v>156</v>
      </c>
      <c r="B117" s="27" t="s">
        <v>141</v>
      </c>
      <c r="C117" t="s">
        <v>213</v>
      </c>
      <c r="D117" t="s">
        <v>21</v>
      </c>
      <c r="E117" s="2">
        <v>45042</v>
      </c>
      <c r="F117">
        <v>4</v>
      </c>
      <c r="G117">
        <v>92.5</v>
      </c>
      <c r="H117">
        <f t="shared" si="1"/>
        <v>370</v>
      </c>
      <c r="K117" s="30">
        <f>SUM(H116:H117)</f>
        <v>629.9</v>
      </c>
      <c r="L117" s="30"/>
      <c r="S117" s="30">
        <f>COUNTIF(A3:A233, "Horno microondas 31l")</f>
        <v>1</v>
      </c>
      <c r="T117" s="30" t="s">
        <v>155</v>
      </c>
    </row>
    <row r="118" spans="1:20" x14ac:dyDescent="0.3">
      <c r="A118" t="s">
        <v>157</v>
      </c>
      <c r="B118" s="28" t="s">
        <v>142</v>
      </c>
      <c r="C118" t="s">
        <v>214</v>
      </c>
      <c r="D118" t="s">
        <v>21</v>
      </c>
      <c r="E118" s="2">
        <v>45043</v>
      </c>
      <c r="F118">
        <v>2</v>
      </c>
      <c r="G118">
        <v>49.95</v>
      </c>
      <c r="H118">
        <f t="shared" si="1"/>
        <v>99.9</v>
      </c>
      <c r="K118" s="30" t="s">
        <v>142</v>
      </c>
      <c r="L118" s="30"/>
      <c r="S118" s="30">
        <f>COUNTIF(A3:A233, "Horno microondas digital 0.7 pies negro")</f>
        <v>1</v>
      </c>
      <c r="T118" s="30" t="s">
        <v>156</v>
      </c>
    </row>
    <row r="119" spans="1:20" x14ac:dyDescent="0.3">
      <c r="A119" t="s">
        <v>158</v>
      </c>
      <c r="B119" s="28" t="s">
        <v>142</v>
      </c>
      <c r="C119" t="s">
        <v>217</v>
      </c>
      <c r="D119" t="s">
        <v>21</v>
      </c>
      <c r="E119" s="2">
        <v>45044</v>
      </c>
      <c r="F119">
        <v>3</v>
      </c>
      <c r="G119">
        <v>39.950000000000003</v>
      </c>
      <c r="H119">
        <f t="shared" si="1"/>
        <v>119.85000000000001</v>
      </c>
      <c r="K119" s="30">
        <f>SUM(H118:H119)</f>
        <v>219.75</v>
      </c>
      <c r="L119" s="30"/>
      <c r="S119" s="30">
        <f>COUNTIF(A3:A233, "Tostador de pan 2 rebanadas negro")</f>
        <v>1</v>
      </c>
      <c r="T119" s="30" t="s">
        <v>157</v>
      </c>
    </row>
    <row r="120" spans="1:20" x14ac:dyDescent="0.3">
      <c r="A120" t="s">
        <v>159</v>
      </c>
      <c r="B120" s="26" t="s">
        <v>143</v>
      </c>
      <c r="C120" t="s">
        <v>221</v>
      </c>
      <c r="D120" t="s">
        <v>21</v>
      </c>
      <c r="E120" s="2">
        <v>45045</v>
      </c>
      <c r="F120">
        <v>2</v>
      </c>
      <c r="G120">
        <v>14.95</v>
      </c>
      <c r="H120">
        <f t="shared" si="1"/>
        <v>29.9</v>
      </c>
      <c r="K120" s="30" t="s">
        <v>143</v>
      </c>
      <c r="L120" s="30" t="s">
        <v>21</v>
      </c>
      <c r="S120" s="30">
        <f>COUNTIF(A3:A233, "Tostadora de 2 rebanadas")</f>
        <v>1</v>
      </c>
      <c r="T120" s="30" t="s">
        <v>158</v>
      </c>
    </row>
    <row r="121" spans="1:20" x14ac:dyDescent="0.3">
      <c r="A121" t="s">
        <v>160</v>
      </c>
      <c r="B121" s="26" t="s">
        <v>143</v>
      </c>
      <c r="C121" t="s">
        <v>222</v>
      </c>
      <c r="D121" t="s">
        <v>21</v>
      </c>
      <c r="E121" s="2">
        <v>45046</v>
      </c>
      <c r="F121">
        <v>1</v>
      </c>
      <c r="G121">
        <v>42.92</v>
      </c>
      <c r="H121">
        <f t="shared" si="1"/>
        <v>42.92</v>
      </c>
      <c r="K121" s="30">
        <f>SUM(H120:H121)</f>
        <v>72.819999999999993</v>
      </c>
      <c r="L121" s="30">
        <f>SUM(H105,H106,H107,H108,H109,H110,H111,H112,H113,H114,H115,H116,H117,H118,H119,H120,H121,H132,H147,H157,H167,H177,H187,H197,H207,H217)</f>
        <v>3180.6699999999996</v>
      </c>
      <c r="S121" s="30">
        <f>COUNTIF(A3:A233, "Plancha a vapor 900w")</f>
        <v>1</v>
      </c>
      <c r="T121" s="30" t="s">
        <v>159</v>
      </c>
    </row>
    <row r="122" spans="1:20" x14ac:dyDescent="0.3">
      <c r="A122" t="s">
        <v>162</v>
      </c>
      <c r="B122" s="25" t="s">
        <v>161</v>
      </c>
      <c r="C122" t="s">
        <v>223</v>
      </c>
      <c r="D122" t="s">
        <v>22</v>
      </c>
      <c r="E122" s="2">
        <v>45047</v>
      </c>
      <c r="F122">
        <v>4</v>
      </c>
      <c r="G122">
        <v>38.950000000000003</v>
      </c>
      <c r="H122">
        <f t="shared" si="1"/>
        <v>155.80000000000001</v>
      </c>
      <c r="K122" s="30"/>
      <c r="L122" s="30"/>
      <c r="S122" s="30">
        <f>COUNTIF(A3:A233, "Plancha a vapor vertical")</f>
        <v>1</v>
      </c>
      <c r="T122" s="30" t="s">
        <v>160</v>
      </c>
    </row>
    <row r="123" spans="1:20" x14ac:dyDescent="0.3">
      <c r="A123" t="s">
        <v>163</v>
      </c>
      <c r="B123" s="25" t="s">
        <v>161</v>
      </c>
      <c r="C123" t="s">
        <v>228</v>
      </c>
      <c r="D123" t="s">
        <v>22</v>
      </c>
      <c r="E123" s="2">
        <v>45048</v>
      </c>
      <c r="F123">
        <v>5</v>
      </c>
      <c r="G123">
        <v>0.95</v>
      </c>
      <c r="H123">
        <f t="shared" si="1"/>
        <v>4.75</v>
      </c>
      <c r="K123" s="30" t="s">
        <v>161</v>
      </c>
      <c r="L123" s="30"/>
      <c r="S123" s="31">
        <f>COUNTIF(A3:A233, "Manguera refozada para jardín 3/4 pulg x 100 pies")</f>
        <v>10</v>
      </c>
      <c r="T123" s="31" t="s">
        <v>162</v>
      </c>
    </row>
    <row r="124" spans="1:20" x14ac:dyDescent="0.3">
      <c r="A124" t="s">
        <v>164</v>
      </c>
      <c r="B124" s="25" t="s">
        <v>161</v>
      </c>
      <c r="C124" t="s">
        <v>229</v>
      </c>
      <c r="D124" t="s">
        <v>22</v>
      </c>
      <c r="E124" s="2">
        <v>45049</v>
      </c>
      <c r="F124">
        <v>3</v>
      </c>
      <c r="G124">
        <v>8.5</v>
      </c>
      <c r="H124">
        <f t="shared" si="1"/>
        <v>25.5</v>
      </c>
      <c r="K124" s="30">
        <f>SUM(H122,H123,H124,H131,H136,H146,H151,H156,H161,H166,H171,H176,H181,H186,H191,H196,H201,H206,H211,H216,H221)</f>
        <v>1851.75</v>
      </c>
      <c r="L124" s="30"/>
      <c r="S124" s="30">
        <f>COUNTIF(A3:A233, "Rociador plastico 500ml")</f>
        <v>1</v>
      </c>
      <c r="T124" s="30" t="s">
        <v>163</v>
      </c>
    </row>
    <row r="125" spans="1:20" x14ac:dyDescent="0.3">
      <c r="A125" t="s">
        <v>166</v>
      </c>
      <c r="B125" s="24" t="s">
        <v>165</v>
      </c>
      <c r="C125" t="s">
        <v>231</v>
      </c>
      <c r="D125" t="s">
        <v>22</v>
      </c>
      <c r="E125" s="2">
        <v>45050</v>
      </c>
      <c r="F125">
        <v>5</v>
      </c>
      <c r="G125">
        <v>10.95</v>
      </c>
      <c r="H125">
        <f t="shared" si="1"/>
        <v>54.75</v>
      </c>
      <c r="K125" s="30"/>
      <c r="L125" s="30"/>
      <c r="S125" s="31">
        <f>COUNTIF(A3:A233, "Regadera plastica 8l")</f>
        <v>10</v>
      </c>
      <c r="T125" s="31" t="s">
        <v>164</v>
      </c>
    </row>
    <row r="126" spans="1:20" x14ac:dyDescent="0.3">
      <c r="A126" t="s">
        <v>167</v>
      </c>
      <c r="B126" s="24" t="s">
        <v>165</v>
      </c>
      <c r="C126" t="s">
        <v>239</v>
      </c>
      <c r="D126" t="s">
        <v>22</v>
      </c>
      <c r="E126" s="2">
        <v>45051</v>
      </c>
      <c r="F126">
        <v>3</v>
      </c>
      <c r="G126">
        <v>11.95</v>
      </c>
      <c r="H126">
        <f t="shared" si="1"/>
        <v>35.849999999999994</v>
      </c>
      <c r="K126" s="30"/>
      <c r="L126" s="30"/>
      <c r="S126" s="30">
        <f>COUNTIF(A3:A233, "Tijera para podar")</f>
        <v>1</v>
      </c>
      <c r="T126" s="30" t="s">
        <v>166</v>
      </c>
    </row>
    <row r="127" spans="1:20" x14ac:dyDescent="0.3">
      <c r="A127" t="s">
        <v>168</v>
      </c>
      <c r="B127" s="24" t="s">
        <v>165</v>
      </c>
      <c r="C127" t="s">
        <v>174</v>
      </c>
      <c r="D127" t="s">
        <v>22</v>
      </c>
      <c r="E127" s="2">
        <v>45052</v>
      </c>
      <c r="F127">
        <v>4</v>
      </c>
      <c r="G127">
        <v>4.95</v>
      </c>
      <c r="H127">
        <f t="shared" si="1"/>
        <v>19.8</v>
      </c>
      <c r="K127" s="30" t="s">
        <v>259</v>
      </c>
      <c r="L127" s="30" t="s">
        <v>22</v>
      </c>
      <c r="S127" s="31">
        <f>COUNTIF(A3:A233, "Serrucho plegable para podar")</f>
        <v>13</v>
      </c>
      <c r="T127" s="31" t="s">
        <v>167</v>
      </c>
    </row>
    <row r="128" spans="1:20" x14ac:dyDescent="0.3">
      <c r="A128" s="3" t="s">
        <v>169</v>
      </c>
      <c r="B128" s="24" t="s">
        <v>165</v>
      </c>
      <c r="C128" s="3" t="s">
        <v>175</v>
      </c>
      <c r="D128" s="3" t="s">
        <v>22</v>
      </c>
      <c r="E128" s="4">
        <v>45053</v>
      </c>
      <c r="F128" s="3">
        <v>3</v>
      </c>
      <c r="G128" s="3">
        <v>5.95</v>
      </c>
      <c r="H128" s="3">
        <f t="shared" si="1"/>
        <v>17.850000000000001</v>
      </c>
      <c r="I128" s="3"/>
      <c r="J128" s="3"/>
      <c r="K128" s="34">
        <f>SUM(H125,H126,H127,H128,H137,H152,H162,H172,H182,H192,H202,H212,H222,H231,H232,H233)</f>
        <v>666</v>
      </c>
      <c r="L128" s="34">
        <f>SUM(H122,H123,H124,H125,H126,H127,H128,H131,H136,H137,H146,H151,H152,H156,H161,H162,H166,H171,H172,H176,H181,H182,H186,H191,H192,H196,H201,H202,H206,H211,H212,H216,H221,H222,H231,H232,H233)</f>
        <v>2517.75</v>
      </c>
      <c r="M128" s="3"/>
      <c r="N128" s="3"/>
      <c r="O128" s="3"/>
      <c r="P128" s="3"/>
      <c r="Q128" s="3"/>
      <c r="R128" s="3"/>
      <c r="S128" s="30">
        <f>COUNTIF(A3:A233, "Rastrillo plastico para jardin 22 dientes")</f>
        <v>1</v>
      </c>
      <c r="T128" s="30" t="s">
        <v>168</v>
      </c>
    </row>
    <row r="129" spans="1:24" x14ac:dyDescent="0.3">
      <c r="A129" t="s">
        <v>41</v>
      </c>
      <c r="B129" s="5" t="s">
        <v>23</v>
      </c>
      <c r="C129" t="s">
        <v>170</v>
      </c>
      <c r="D129" t="s">
        <v>16</v>
      </c>
      <c r="E129" s="2">
        <v>45054</v>
      </c>
      <c r="F129">
        <v>5</v>
      </c>
      <c r="G129">
        <v>6.95</v>
      </c>
      <c r="H129">
        <f>(F129*G129)</f>
        <v>34.75</v>
      </c>
      <c r="S129" s="30">
        <f>COUNTIF(A3:A233, "Rastrillo metálico para jardín 22 dientes")</f>
        <v>1</v>
      </c>
      <c r="T129" s="30" t="s">
        <v>169</v>
      </c>
      <c r="X129" s="2"/>
    </row>
    <row r="130" spans="1:24" x14ac:dyDescent="0.3">
      <c r="A130" t="s">
        <v>43</v>
      </c>
      <c r="B130" s="5" t="s">
        <v>23</v>
      </c>
      <c r="C130" t="s">
        <v>171</v>
      </c>
      <c r="D130" t="s">
        <v>16</v>
      </c>
      <c r="E130" s="2">
        <v>45055</v>
      </c>
      <c r="F130">
        <v>6</v>
      </c>
      <c r="G130">
        <v>0.7</v>
      </c>
      <c r="H130">
        <f t="shared" ref="H130:H143" si="2">(F130*G130)</f>
        <v>4.1999999999999993</v>
      </c>
    </row>
    <row r="131" spans="1:24" x14ac:dyDescent="0.3">
      <c r="A131" t="s">
        <v>162</v>
      </c>
      <c r="B131" s="25" t="s">
        <v>161</v>
      </c>
      <c r="C131" t="s">
        <v>223</v>
      </c>
      <c r="D131" t="s">
        <v>22</v>
      </c>
      <c r="E131" s="2">
        <v>45056</v>
      </c>
      <c r="F131">
        <v>7</v>
      </c>
      <c r="G131">
        <v>38.950000000000003</v>
      </c>
      <c r="H131">
        <f t="shared" si="2"/>
        <v>272.65000000000003</v>
      </c>
    </row>
    <row r="132" spans="1:24" x14ac:dyDescent="0.3">
      <c r="A132" t="s">
        <v>152</v>
      </c>
      <c r="B132" s="22" t="s">
        <v>139</v>
      </c>
      <c r="C132" t="s">
        <v>209</v>
      </c>
      <c r="D132" t="s">
        <v>21</v>
      </c>
      <c r="E132" s="2">
        <v>45057</v>
      </c>
      <c r="F132">
        <v>2</v>
      </c>
      <c r="G132">
        <v>23.95</v>
      </c>
      <c r="H132">
        <f t="shared" si="2"/>
        <v>47.9</v>
      </c>
    </row>
    <row r="133" spans="1:24" x14ac:dyDescent="0.3">
      <c r="A133" t="s">
        <v>71</v>
      </c>
      <c r="B133" s="3" t="s">
        <v>27</v>
      </c>
      <c r="C133" t="s">
        <v>196</v>
      </c>
      <c r="D133" t="s">
        <v>16</v>
      </c>
      <c r="E133" s="2">
        <v>45058</v>
      </c>
      <c r="F133">
        <v>4</v>
      </c>
      <c r="G133">
        <v>10.5</v>
      </c>
      <c r="H133">
        <f t="shared" si="2"/>
        <v>42</v>
      </c>
    </row>
    <row r="134" spans="1:24" x14ac:dyDescent="0.3">
      <c r="A134" t="s">
        <v>46</v>
      </c>
      <c r="B134" s="5" t="s">
        <v>23</v>
      </c>
      <c r="C134" t="s">
        <v>8</v>
      </c>
      <c r="D134" t="s">
        <v>16</v>
      </c>
      <c r="E134" s="2">
        <v>45059</v>
      </c>
      <c r="F134">
        <v>5</v>
      </c>
      <c r="G134">
        <v>1.5</v>
      </c>
      <c r="H134">
        <f t="shared" si="2"/>
        <v>7.5</v>
      </c>
    </row>
    <row r="135" spans="1:24" x14ac:dyDescent="0.3">
      <c r="A135" t="s">
        <v>87</v>
      </c>
      <c r="B135" s="10" t="s">
        <v>29</v>
      </c>
      <c r="C135" t="s">
        <v>208</v>
      </c>
      <c r="D135" t="s">
        <v>17</v>
      </c>
      <c r="E135" s="2">
        <v>45060</v>
      </c>
      <c r="F135">
        <v>6</v>
      </c>
      <c r="G135">
        <v>49</v>
      </c>
      <c r="H135">
        <f t="shared" si="2"/>
        <v>294</v>
      </c>
    </row>
    <row r="136" spans="1:24" x14ac:dyDescent="0.3">
      <c r="A136" t="s">
        <v>164</v>
      </c>
      <c r="B136" s="25" t="s">
        <v>161</v>
      </c>
      <c r="C136" t="s">
        <v>229</v>
      </c>
      <c r="D136" t="s">
        <v>22</v>
      </c>
      <c r="E136" s="2">
        <v>45061</v>
      </c>
      <c r="F136">
        <v>3</v>
      </c>
      <c r="G136">
        <v>8.5</v>
      </c>
      <c r="H136">
        <f t="shared" si="2"/>
        <v>25.5</v>
      </c>
    </row>
    <row r="137" spans="1:24" x14ac:dyDescent="0.3">
      <c r="A137" t="s">
        <v>167</v>
      </c>
      <c r="B137" s="24" t="s">
        <v>165</v>
      </c>
      <c r="C137" t="s">
        <v>239</v>
      </c>
      <c r="D137" t="s">
        <v>22</v>
      </c>
      <c r="E137" s="2">
        <v>45062</v>
      </c>
      <c r="F137">
        <v>4</v>
      </c>
      <c r="G137">
        <v>11.95</v>
      </c>
      <c r="H137">
        <f t="shared" si="2"/>
        <v>47.8</v>
      </c>
    </row>
    <row r="138" spans="1:24" x14ac:dyDescent="0.3">
      <c r="A138" t="s">
        <v>101</v>
      </c>
      <c r="B138" s="12" t="s">
        <v>31</v>
      </c>
      <c r="C138" t="s">
        <v>222</v>
      </c>
      <c r="D138" t="s">
        <v>17</v>
      </c>
      <c r="E138" s="2">
        <v>45063</v>
      </c>
      <c r="F138">
        <v>5</v>
      </c>
      <c r="G138">
        <v>58.75</v>
      </c>
      <c r="H138">
        <f t="shared" si="2"/>
        <v>293.75</v>
      </c>
    </row>
    <row r="139" spans="1:24" x14ac:dyDescent="0.3">
      <c r="A139" t="s">
        <v>74</v>
      </c>
      <c r="B139" s="3" t="s">
        <v>27</v>
      </c>
      <c r="C139" t="s">
        <v>195</v>
      </c>
      <c r="D139" t="s">
        <v>16</v>
      </c>
      <c r="E139" s="2">
        <v>45064</v>
      </c>
      <c r="F139">
        <v>3</v>
      </c>
      <c r="G139">
        <v>6.95</v>
      </c>
      <c r="H139">
        <f t="shared" si="2"/>
        <v>20.85</v>
      </c>
    </row>
    <row r="140" spans="1:24" x14ac:dyDescent="0.3">
      <c r="A140" t="s">
        <v>74</v>
      </c>
      <c r="B140" s="3" t="s">
        <v>27</v>
      </c>
      <c r="C140" t="s">
        <v>195</v>
      </c>
      <c r="D140" t="s">
        <v>16</v>
      </c>
      <c r="E140" s="2">
        <v>45065</v>
      </c>
      <c r="F140">
        <v>3</v>
      </c>
      <c r="G140">
        <v>6.95</v>
      </c>
      <c r="H140">
        <f t="shared" si="2"/>
        <v>20.85</v>
      </c>
    </row>
    <row r="141" spans="1:24" x14ac:dyDescent="0.3">
      <c r="A141" t="s">
        <v>79</v>
      </c>
      <c r="B141" s="3" t="s">
        <v>27</v>
      </c>
      <c r="C141" t="s">
        <v>201</v>
      </c>
      <c r="D141" t="s">
        <v>16</v>
      </c>
      <c r="E141" s="2">
        <v>45066</v>
      </c>
      <c r="F141">
        <v>2</v>
      </c>
      <c r="G141">
        <v>11.9</v>
      </c>
      <c r="H141">
        <f t="shared" si="2"/>
        <v>23.8</v>
      </c>
    </row>
    <row r="142" spans="1:24" x14ac:dyDescent="0.3">
      <c r="A142" t="s">
        <v>86</v>
      </c>
      <c r="B142" s="9" t="s">
        <v>28</v>
      </c>
      <c r="C142" t="s">
        <v>207</v>
      </c>
      <c r="D142" t="s">
        <v>17</v>
      </c>
      <c r="E142" s="2">
        <v>45067</v>
      </c>
      <c r="F142">
        <v>1</v>
      </c>
      <c r="G142">
        <v>16.73</v>
      </c>
      <c r="H142">
        <f t="shared" si="2"/>
        <v>16.73</v>
      </c>
    </row>
    <row r="143" spans="1:24" x14ac:dyDescent="0.3">
      <c r="A143" t="s">
        <v>113</v>
      </c>
      <c r="B143" s="13" t="s">
        <v>33</v>
      </c>
      <c r="C143" t="s">
        <v>235</v>
      </c>
      <c r="D143" t="s">
        <v>18</v>
      </c>
      <c r="E143" s="2">
        <v>45068</v>
      </c>
      <c r="F143">
        <v>5</v>
      </c>
      <c r="G143">
        <v>54.95</v>
      </c>
      <c r="H143">
        <f t="shared" si="2"/>
        <v>274.75</v>
      </c>
    </row>
    <row r="144" spans="1:24" x14ac:dyDescent="0.3">
      <c r="A144" t="s">
        <v>41</v>
      </c>
      <c r="B144" s="5" t="s">
        <v>23</v>
      </c>
      <c r="C144" t="s">
        <v>170</v>
      </c>
      <c r="D144" t="s">
        <v>16</v>
      </c>
      <c r="E144" s="2">
        <v>45069</v>
      </c>
      <c r="F144">
        <v>2</v>
      </c>
      <c r="G144">
        <v>6.95</v>
      </c>
      <c r="H144">
        <f>(F144*G144)</f>
        <v>13.9</v>
      </c>
    </row>
    <row r="145" spans="1:8" x14ac:dyDescent="0.3">
      <c r="A145" t="s">
        <v>43</v>
      </c>
      <c r="B145" s="5" t="s">
        <v>23</v>
      </c>
      <c r="C145" t="s">
        <v>171</v>
      </c>
      <c r="D145" t="s">
        <v>16</v>
      </c>
      <c r="E145" s="2">
        <v>45070</v>
      </c>
      <c r="F145">
        <v>4</v>
      </c>
      <c r="G145">
        <v>0.7</v>
      </c>
      <c r="H145">
        <f t="shared" ref="H145:H153" si="3">(F145*G145)</f>
        <v>2.8</v>
      </c>
    </row>
    <row r="146" spans="1:8" x14ac:dyDescent="0.3">
      <c r="A146" t="s">
        <v>162</v>
      </c>
      <c r="B146" s="25" t="s">
        <v>161</v>
      </c>
      <c r="C146" t="s">
        <v>223</v>
      </c>
      <c r="D146" t="s">
        <v>22</v>
      </c>
      <c r="E146" s="2">
        <v>45071</v>
      </c>
      <c r="F146">
        <v>3</v>
      </c>
      <c r="G146">
        <v>38.950000000000003</v>
      </c>
      <c r="H146">
        <f t="shared" si="3"/>
        <v>116.85000000000001</v>
      </c>
    </row>
    <row r="147" spans="1:8" x14ac:dyDescent="0.3">
      <c r="A147" t="s">
        <v>152</v>
      </c>
      <c r="B147" s="22" t="s">
        <v>139</v>
      </c>
      <c r="C147" t="s">
        <v>209</v>
      </c>
      <c r="D147" t="s">
        <v>21</v>
      </c>
      <c r="E147" s="2">
        <v>45072</v>
      </c>
      <c r="F147">
        <v>5</v>
      </c>
      <c r="G147">
        <v>23.95</v>
      </c>
      <c r="H147">
        <f t="shared" si="3"/>
        <v>119.75</v>
      </c>
    </row>
    <row r="148" spans="1:8" x14ac:dyDescent="0.3">
      <c r="A148" t="s">
        <v>71</v>
      </c>
      <c r="B148" s="3" t="s">
        <v>27</v>
      </c>
      <c r="C148" t="s">
        <v>196</v>
      </c>
      <c r="D148" t="s">
        <v>16</v>
      </c>
      <c r="E148" s="2">
        <v>45073</v>
      </c>
      <c r="F148">
        <v>6</v>
      </c>
      <c r="G148">
        <v>10.5</v>
      </c>
      <c r="H148">
        <f t="shared" si="3"/>
        <v>63</v>
      </c>
    </row>
    <row r="149" spans="1:8" x14ac:dyDescent="0.3">
      <c r="A149" t="s">
        <v>46</v>
      </c>
      <c r="B149" s="5" t="s">
        <v>23</v>
      </c>
      <c r="C149" t="s">
        <v>8</v>
      </c>
      <c r="D149" t="s">
        <v>16</v>
      </c>
      <c r="E149" s="2">
        <v>45074</v>
      </c>
      <c r="F149">
        <v>7</v>
      </c>
      <c r="G149">
        <v>1.5</v>
      </c>
      <c r="H149">
        <f t="shared" si="3"/>
        <v>10.5</v>
      </c>
    </row>
    <row r="150" spans="1:8" x14ac:dyDescent="0.3">
      <c r="A150" t="s">
        <v>87</v>
      </c>
      <c r="B150" s="10" t="s">
        <v>29</v>
      </c>
      <c r="C150" t="s">
        <v>208</v>
      </c>
      <c r="D150" t="s">
        <v>17</v>
      </c>
      <c r="E150" s="2">
        <v>45075</v>
      </c>
      <c r="F150">
        <v>8</v>
      </c>
      <c r="G150">
        <v>49</v>
      </c>
      <c r="H150">
        <f t="shared" si="3"/>
        <v>392</v>
      </c>
    </row>
    <row r="151" spans="1:8" x14ac:dyDescent="0.3">
      <c r="A151" t="s">
        <v>164</v>
      </c>
      <c r="B151" s="25" t="s">
        <v>161</v>
      </c>
      <c r="C151" t="s">
        <v>229</v>
      </c>
      <c r="D151" t="s">
        <v>22</v>
      </c>
      <c r="E151" s="2">
        <v>45076</v>
      </c>
      <c r="F151">
        <v>2</v>
      </c>
      <c r="G151">
        <v>8.5</v>
      </c>
      <c r="H151">
        <f t="shared" si="3"/>
        <v>17</v>
      </c>
    </row>
    <row r="152" spans="1:8" x14ac:dyDescent="0.3">
      <c r="A152" t="s">
        <v>167</v>
      </c>
      <c r="B152" s="24" t="s">
        <v>165</v>
      </c>
      <c r="C152" t="s">
        <v>239</v>
      </c>
      <c r="D152" t="s">
        <v>22</v>
      </c>
      <c r="E152" s="2">
        <v>45077</v>
      </c>
      <c r="F152">
        <v>4</v>
      </c>
      <c r="G152">
        <v>11.95</v>
      </c>
      <c r="H152">
        <f t="shared" si="3"/>
        <v>47.8</v>
      </c>
    </row>
    <row r="153" spans="1:8" x14ac:dyDescent="0.3">
      <c r="A153" t="s">
        <v>101</v>
      </c>
      <c r="B153" s="12" t="s">
        <v>31</v>
      </c>
      <c r="C153" t="s">
        <v>222</v>
      </c>
      <c r="D153" t="s">
        <v>17</v>
      </c>
      <c r="E153" s="2">
        <v>45078</v>
      </c>
      <c r="F153">
        <v>6</v>
      </c>
      <c r="G153">
        <v>58.75</v>
      </c>
      <c r="H153">
        <f t="shared" si="3"/>
        <v>352.5</v>
      </c>
    </row>
    <row r="154" spans="1:8" x14ac:dyDescent="0.3">
      <c r="A154" t="s">
        <v>41</v>
      </c>
      <c r="B154" s="5" t="s">
        <v>23</v>
      </c>
      <c r="C154" t="s">
        <v>170</v>
      </c>
      <c r="D154" t="s">
        <v>16</v>
      </c>
      <c r="E154" s="2">
        <v>45079</v>
      </c>
      <c r="F154">
        <v>4</v>
      </c>
      <c r="G154">
        <v>6.95</v>
      </c>
      <c r="H154">
        <f>(F154*G154)</f>
        <v>27.8</v>
      </c>
    </row>
    <row r="155" spans="1:8" x14ac:dyDescent="0.3">
      <c r="A155" t="s">
        <v>43</v>
      </c>
      <c r="B155" s="5" t="s">
        <v>23</v>
      </c>
      <c r="C155" t="s">
        <v>171</v>
      </c>
      <c r="D155" t="s">
        <v>16</v>
      </c>
      <c r="E155" s="2">
        <v>45080</v>
      </c>
      <c r="F155">
        <v>3</v>
      </c>
      <c r="G155">
        <v>0.7</v>
      </c>
      <c r="H155">
        <f t="shared" ref="H155:H163" si="4">(F155*G155)</f>
        <v>2.0999999999999996</v>
      </c>
    </row>
    <row r="156" spans="1:8" x14ac:dyDescent="0.3">
      <c r="A156" t="s">
        <v>162</v>
      </c>
      <c r="B156" s="25" t="s">
        <v>161</v>
      </c>
      <c r="C156" t="s">
        <v>223</v>
      </c>
      <c r="D156" t="s">
        <v>22</v>
      </c>
      <c r="E156" s="2">
        <v>45081</v>
      </c>
      <c r="F156">
        <v>5</v>
      </c>
      <c r="G156">
        <v>38.950000000000003</v>
      </c>
      <c r="H156">
        <f t="shared" si="4"/>
        <v>194.75</v>
      </c>
    </row>
    <row r="157" spans="1:8" x14ac:dyDescent="0.3">
      <c r="A157" t="s">
        <v>152</v>
      </c>
      <c r="B157" s="22" t="s">
        <v>139</v>
      </c>
      <c r="C157" t="s">
        <v>209</v>
      </c>
      <c r="D157" t="s">
        <v>21</v>
      </c>
      <c r="E157" s="2">
        <v>45082</v>
      </c>
      <c r="F157">
        <v>3</v>
      </c>
      <c r="G157">
        <v>23.95</v>
      </c>
      <c r="H157">
        <f t="shared" si="4"/>
        <v>71.849999999999994</v>
      </c>
    </row>
    <row r="158" spans="1:8" x14ac:dyDescent="0.3">
      <c r="A158" t="s">
        <v>71</v>
      </c>
      <c r="B158" s="3" t="s">
        <v>27</v>
      </c>
      <c r="C158" t="s">
        <v>196</v>
      </c>
      <c r="D158" t="s">
        <v>16</v>
      </c>
      <c r="E158" s="2">
        <v>45083</v>
      </c>
      <c r="F158">
        <v>5</v>
      </c>
      <c r="G158">
        <v>10.5</v>
      </c>
      <c r="H158">
        <f t="shared" si="4"/>
        <v>52.5</v>
      </c>
    </row>
    <row r="159" spans="1:8" x14ac:dyDescent="0.3">
      <c r="A159" t="s">
        <v>46</v>
      </c>
      <c r="B159" s="5" t="s">
        <v>23</v>
      </c>
      <c r="C159" t="s">
        <v>8</v>
      </c>
      <c r="D159" t="s">
        <v>16</v>
      </c>
      <c r="E159" s="2">
        <v>45084</v>
      </c>
      <c r="F159">
        <v>6</v>
      </c>
      <c r="G159">
        <v>1.5</v>
      </c>
      <c r="H159">
        <f t="shared" si="4"/>
        <v>9</v>
      </c>
    </row>
    <row r="160" spans="1:8" x14ac:dyDescent="0.3">
      <c r="A160" t="s">
        <v>87</v>
      </c>
      <c r="B160" s="10" t="s">
        <v>29</v>
      </c>
      <c r="C160" t="s">
        <v>208</v>
      </c>
      <c r="D160" t="s">
        <v>17</v>
      </c>
      <c r="E160" s="2">
        <v>45085</v>
      </c>
      <c r="F160">
        <v>4</v>
      </c>
      <c r="G160">
        <v>49</v>
      </c>
      <c r="H160">
        <f t="shared" si="4"/>
        <v>196</v>
      </c>
    </row>
    <row r="161" spans="1:8" x14ac:dyDescent="0.3">
      <c r="A161" t="s">
        <v>164</v>
      </c>
      <c r="B161" s="25" t="s">
        <v>161</v>
      </c>
      <c r="C161" t="s">
        <v>229</v>
      </c>
      <c r="D161" t="s">
        <v>22</v>
      </c>
      <c r="E161" s="2">
        <v>45086</v>
      </c>
      <c r="F161">
        <v>3</v>
      </c>
      <c r="G161">
        <v>8.5</v>
      </c>
      <c r="H161">
        <f t="shared" si="4"/>
        <v>25.5</v>
      </c>
    </row>
    <row r="162" spans="1:8" x14ac:dyDescent="0.3">
      <c r="A162" t="s">
        <v>167</v>
      </c>
      <c r="B162" s="24" t="s">
        <v>165</v>
      </c>
      <c r="C162" t="s">
        <v>239</v>
      </c>
      <c r="D162" t="s">
        <v>22</v>
      </c>
      <c r="E162" s="2">
        <v>45087</v>
      </c>
      <c r="F162">
        <v>2</v>
      </c>
      <c r="G162">
        <v>11.95</v>
      </c>
      <c r="H162">
        <f t="shared" si="4"/>
        <v>23.9</v>
      </c>
    </row>
    <row r="163" spans="1:8" x14ac:dyDescent="0.3">
      <c r="A163" t="s">
        <v>101</v>
      </c>
      <c r="B163" s="12" t="s">
        <v>31</v>
      </c>
      <c r="C163" t="s">
        <v>222</v>
      </c>
      <c r="D163" t="s">
        <v>17</v>
      </c>
      <c r="E163" s="2">
        <v>45088</v>
      </c>
      <c r="F163">
        <v>6</v>
      </c>
      <c r="G163">
        <v>58.75</v>
      </c>
      <c r="H163">
        <f t="shared" si="4"/>
        <v>352.5</v>
      </c>
    </row>
    <row r="164" spans="1:8" x14ac:dyDescent="0.3">
      <c r="A164" t="s">
        <v>41</v>
      </c>
      <c r="B164" s="5" t="s">
        <v>23</v>
      </c>
      <c r="C164" t="s">
        <v>170</v>
      </c>
      <c r="D164" t="s">
        <v>16</v>
      </c>
      <c r="E164" s="2">
        <v>45089</v>
      </c>
      <c r="F164">
        <v>4</v>
      </c>
      <c r="G164">
        <v>6.95</v>
      </c>
      <c r="H164">
        <f>(F164*G164)</f>
        <v>27.8</v>
      </c>
    </row>
    <row r="165" spans="1:8" x14ac:dyDescent="0.3">
      <c r="A165" t="s">
        <v>43</v>
      </c>
      <c r="B165" s="5" t="s">
        <v>23</v>
      </c>
      <c r="C165" t="s">
        <v>171</v>
      </c>
      <c r="D165" t="s">
        <v>16</v>
      </c>
      <c r="E165" s="2">
        <v>45090</v>
      </c>
      <c r="F165">
        <v>3</v>
      </c>
      <c r="G165">
        <v>0.7</v>
      </c>
      <c r="H165">
        <f t="shared" ref="H165:H173" si="5">(F165*G165)</f>
        <v>2.0999999999999996</v>
      </c>
    </row>
    <row r="166" spans="1:8" x14ac:dyDescent="0.3">
      <c r="A166" t="s">
        <v>162</v>
      </c>
      <c r="B166" s="25" t="s">
        <v>161</v>
      </c>
      <c r="C166" t="s">
        <v>223</v>
      </c>
      <c r="D166" t="s">
        <v>22</v>
      </c>
      <c r="E166" s="2">
        <v>45091</v>
      </c>
      <c r="F166">
        <v>2</v>
      </c>
      <c r="G166">
        <v>38.950000000000003</v>
      </c>
      <c r="H166">
        <f t="shared" si="5"/>
        <v>77.900000000000006</v>
      </c>
    </row>
    <row r="167" spans="1:8" x14ac:dyDescent="0.3">
      <c r="A167" t="s">
        <v>152</v>
      </c>
      <c r="B167" s="22" t="s">
        <v>139</v>
      </c>
      <c r="C167" t="s">
        <v>209</v>
      </c>
      <c r="D167" t="s">
        <v>21</v>
      </c>
      <c r="E167" s="2">
        <v>45092</v>
      </c>
      <c r="F167">
        <v>1</v>
      </c>
      <c r="G167">
        <v>23.95</v>
      </c>
      <c r="H167">
        <f t="shared" si="5"/>
        <v>23.95</v>
      </c>
    </row>
    <row r="168" spans="1:8" x14ac:dyDescent="0.3">
      <c r="A168" t="s">
        <v>71</v>
      </c>
      <c r="B168" s="3" t="s">
        <v>27</v>
      </c>
      <c r="C168" t="s">
        <v>196</v>
      </c>
      <c r="D168" t="s">
        <v>16</v>
      </c>
      <c r="E168" s="2">
        <v>45093</v>
      </c>
      <c r="F168">
        <v>4</v>
      </c>
      <c r="G168">
        <v>10.5</v>
      </c>
      <c r="H168">
        <f t="shared" si="5"/>
        <v>42</v>
      </c>
    </row>
    <row r="169" spans="1:8" x14ac:dyDescent="0.3">
      <c r="A169" t="s">
        <v>46</v>
      </c>
      <c r="B169" s="5" t="s">
        <v>23</v>
      </c>
      <c r="C169" t="s">
        <v>8</v>
      </c>
      <c r="D169" t="s">
        <v>16</v>
      </c>
      <c r="E169" s="2">
        <v>45094</v>
      </c>
      <c r="F169">
        <v>5</v>
      </c>
      <c r="G169">
        <v>1.5</v>
      </c>
      <c r="H169">
        <f t="shared" si="5"/>
        <v>7.5</v>
      </c>
    </row>
    <row r="170" spans="1:8" x14ac:dyDescent="0.3">
      <c r="A170" t="s">
        <v>87</v>
      </c>
      <c r="B170" s="10" t="s">
        <v>29</v>
      </c>
      <c r="C170" t="s">
        <v>208</v>
      </c>
      <c r="D170" t="s">
        <v>17</v>
      </c>
      <c r="E170" s="2">
        <v>45095</v>
      </c>
      <c r="F170">
        <v>3</v>
      </c>
      <c r="G170">
        <v>49</v>
      </c>
      <c r="H170">
        <f t="shared" si="5"/>
        <v>147</v>
      </c>
    </row>
    <row r="171" spans="1:8" x14ac:dyDescent="0.3">
      <c r="A171" t="s">
        <v>164</v>
      </c>
      <c r="B171" s="25" t="s">
        <v>161</v>
      </c>
      <c r="C171" t="s">
        <v>229</v>
      </c>
      <c r="D171" t="s">
        <v>22</v>
      </c>
      <c r="E171" s="2">
        <v>45096</v>
      </c>
      <c r="F171">
        <v>5</v>
      </c>
      <c r="G171">
        <v>8.5</v>
      </c>
      <c r="H171">
        <f t="shared" si="5"/>
        <v>42.5</v>
      </c>
    </row>
    <row r="172" spans="1:8" x14ac:dyDescent="0.3">
      <c r="A172" t="s">
        <v>167</v>
      </c>
      <c r="B172" s="24" t="s">
        <v>165</v>
      </c>
      <c r="C172" t="s">
        <v>239</v>
      </c>
      <c r="D172" t="s">
        <v>22</v>
      </c>
      <c r="E172" s="2">
        <v>45097</v>
      </c>
      <c r="F172">
        <v>3</v>
      </c>
      <c r="G172">
        <v>11.95</v>
      </c>
      <c r="H172">
        <f t="shared" si="5"/>
        <v>35.849999999999994</v>
      </c>
    </row>
    <row r="173" spans="1:8" x14ac:dyDescent="0.3">
      <c r="A173" t="s">
        <v>101</v>
      </c>
      <c r="B173" s="12" t="s">
        <v>31</v>
      </c>
      <c r="C173" t="s">
        <v>222</v>
      </c>
      <c r="D173" t="s">
        <v>17</v>
      </c>
      <c r="E173" s="2">
        <v>45098</v>
      </c>
      <c r="F173">
        <v>5</v>
      </c>
      <c r="G173">
        <v>58.75</v>
      </c>
      <c r="H173">
        <f t="shared" si="5"/>
        <v>293.75</v>
      </c>
    </row>
    <row r="174" spans="1:8" x14ac:dyDescent="0.3">
      <c r="A174" t="s">
        <v>41</v>
      </c>
      <c r="B174" s="5" t="s">
        <v>23</v>
      </c>
      <c r="C174" t="s">
        <v>170</v>
      </c>
      <c r="D174" t="s">
        <v>16</v>
      </c>
      <c r="E174" s="2">
        <v>45099</v>
      </c>
      <c r="F174">
        <v>3</v>
      </c>
      <c r="G174">
        <v>6.95</v>
      </c>
      <c r="H174">
        <f>(F174*G174)</f>
        <v>20.85</v>
      </c>
    </row>
    <row r="175" spans="1:8" x14ac:dyDescent="0.3">
      <c r="A175" t="s">
        <v>43</v>
      </c>
      <c r="B175" s="5" t="s">
        <v>23</v>
      </c>
      <c r="C175" t="s">
        <v>171</v>
      </c>
      <c r="D175" t="s">
        <v>16</v>
      </c>
      <c r="E175" s="2">
        <v>45100</v>
      </c>
      <c r="F175">
        <v>4</v>
      </c>
      <c r="G175">
        <v>0.7</v>
      </c>
      <c r="H175">
        <f t="shared" ref="H175:H183" si="6">(F175*G175)</f>
        <v>2.8</v>
      </c>
    </row>
    <row r="176" spans="1:8" x14ac:dyDescent="0.3">
      <c r="A176" t="s">
        <v>162</v>
      </c>
      <c r="B176" s="25" t="s">
        <v>161</v>
      </c>
      <c r="C176" t="s">
        <v>223</v>
      </c>
      <c r="D176" t="s">
        <v>22</v>
      </c>
      <c r="E176" s="2">
        <v>45101</v>
      </c>
      <c r="F176">
        <v>5</v>
      </c>
      <c r="G176">
        <v>38.950000000000003</v>
      </c>
      <c r="H176">
        <f t="shared" si="6"/>
        <v>194.75</v>
      </c>
    </row>
    <row r="177" spans="1:8" x14ac:dyDescent="0.3">
      <c r="A177" t="s">
        <v>152</v>
      </c>
      <c r="B177" s="22" t="s">
        <v>139</v>
      </c>
      <c r="C177" t="s">
        <v>209</v>
      </c>
      <c r="D177" t="s">
        <v>21</v>
      </c>
      <c r="E177" s="2">
        <v>45102</v>
      </c>
      <c r="F177">
        <v>6</v>
      </c>
      <c r="G177">
        <v>23.95</v>
      </c>
      <c r="H177">
        <f t="shared" si="6"/>
        <v>143.69999999999999</v>
      </c>
    </row>
    <row r="178" spans="1:8" x14ac:dyDescent="0.3">
      <c r="A178" t="s">
        <v>71</v>
      </c>
      <c r="B178" s="3" t="s">
        <v>27</v>
      </c>
      <c r="C178" t="s">
        <v>196</v>
      </c>
      <c r="D178" t="s">
        <v>16</v>
      </c>
      <c r="E178" s="2">
        <v>45103</v>
      </c>
      <c r="F178">
        <v>5</v>
      </c>
      <c r="G178">
        <v>10.5</v>
      </c>
      <c r="H178">
        <f t="shared" si="6"/>
        <v>52.5</v>
      </c>
    </row>
    <row r="179" spans="1:8" x14ac:dyDescent="0.3">
      <c r="A179" t="s">
        <v>46</v>
      </c>
      <c r="B179" s="5" t="s">
        <v>23</v>
      </c>
      <c r="C179" t="s">
        <v>8</v>
      </c>
      <c r="D179" t="s">
        <v>16</v>
      </c>
      <c r="E179" s="2">
        <v>45104</v>
      </c>
      <c r="F179">
        <v>6</v>
      </c>
      <c r="G179">
        <v>1.5</v>
      </c>
      <c r="H179">
        <f t="shared" si="6"/>
        <v>9</v>
      </c>
    </row>
    <row r="180" spans="1:8" x14ac:dyDescent="0.3">
      <c r="A180" t="s">
        <v>87</v>
      </c>
      <c r="B180" s="10" t="s">
        <v>29</v>
      </c>
      <c r="C180" t="s">
        <v>208</v>
      </c>
      <c r="D180" t="s">
        <v>17</v>
      </c>
      <c r="E180" s="2">
        <v>45105</v>
      </c>
      <c r="F180">
        <v>3</v>
      </c>
      <c r="G180">
        <v>49</v>
      </c>
      <c r="H180">
        <f t="shared" si="6"/>
        <v>147</v>
      </c>
    </row>
    <row r="181" spans="1:8" x14ac:dyDescent="0.3">
      <c r="A181" t="s">
        <v>164</v>
      </c>
      <c r="B181" s="25" t="s">
        <v>161</v>
      </c>
      <c r="C181" t="s">
        <v>229</v>
      </c>
      <c r="D181" t="s">
        <v>22</v>
      </c>
      <c r="E181" s="2">
        <v>45106</v>
      </c>
      <c r="F181">
        <v>2</v>
      </c>
      <c r="G181">
        <v>8.5</v>
      </c>
      <c r="H181">
        <f t="shared" si="6"/>
        <v>17</v>
      </c>
    </row>
    <row r="182" spans="1:8" x14ac:dyDescent="0.3">
      <c r="A182" t="s">
        <v>167</v>
      </c>
      <c r="B182" s="24" t="s">
        <v>165</v>
      </c>
      <c r="C182" t="s">
        <v>239</v>
      </c>
      <c r="D182" t="s">
        <v>22</v>
      </c>
      <c r="E182" s="2">
        <v>45107</v>
      </c>
      <c r="F182">
        <v>5</v>
      </c>
      <c r="G182">
        <v>11.95</v>
      </c>
      <c r="H182">
        <f t="shared" si="6"/>
        <v>59.75</v>
      </c>
    </row>
    <row r="183" spans="1:8" x14ac:dyDescent="0.3">
      <c r="A183" t="s">
        <v>101</v>
      </c>
      <c r="B183" s="12" t="s">
        <v>31</v>
      </c>
      <c r="C183" t="s">
        <v>222</v>
      </c>
      <c r="D183" t="s">
        <v>17</v>
      </c>
      <c r="E183" s="2">
        <v>45108</v>
      </c>
      <c r="F183">
        <v>3</v>
      </c>
      <c r="G183">
        <v>58.75</v>
      </c>
      <c r="H183">
        <f t="shared" si="6"/>
        <v>176.25</v>
      </c>
    </row>
    <row r="184" spans="1:8" x14ac:dyDescent="0.3">
      <c r="A184" t="s">
        <v>41</v>
      </c>
      <c r="B184" s="5" t="s">
        <v>23</v>
      </c>
      <c r="C184" t="s">
        <v>170</v>
      </c>
      <c r="D184" t="s">
        <v>16</v>
      </c>
      <c r="E184" s="2">
        <v>45109</v>
      </c>
      <c r="F184">
        <v>4</v>
      </c>
      <c r="G184">
        <v>6.95</v>
      </c>
      <c r="H184">
        <f>(F184*G184)</f>
        <v>27.8</v>
      </c>
    </row>
    <row r="185" spans="1:8" x14ac:dyDescent="0.3">
      <c r="A185" t="s">
        <v>43</v>
      </c>
      <c r="B185" s="5" t="s">
        <v>23</v>
      </c>
      <c r="C185" t="s">
        <v>171</v>
      </c>
      <c r="D185" t="s">
        <v>16</v>
      </c>
      <c r="E185" s="2">
        <v>45110</v>
      </c>
      <c r="F185">
        <v>5</v>
      </c>
      <c r="G185">
        <v>0.7</v>
      </c>
      <c r="H185">
        <f t="shared" ref="H185:H193" si="7">(F185*G185)</f>
        <v>3.5</v>
      </c>
    </row>
    <row r="186" spans="1:8" x14ac:dyDescent="0.3">
      <c r="A186" t="s">
        <v>162</v>
      </c>
      <c r="B186" s="25" t="s">
        <v>161</v>
      </c>
      <c r="C186" t="s">
        <v>223</v>
      </c>
      <c r="D186" t="s">
        <v>22</v>
      </c>
      <c r="E186" s="2">
        <v>45111</v>
      </c>
      <c r="F186">
        <v>6</v>
      </c>
      <c r="G186">
        <v>38.950000000000003</v>
      </c>
      <c r="H186">
        <f t="shared" si="7"/>
        <v>233.70000000000002</v>
      </c>
    </row>
    <row r="187" spans="1:8" x14ac:dyDescent="0.3">
      <c r="A187" t="s">
        <v>152</v>
      </c>
      <c r="B187" s="22" t="s">
        <v>139</v>
      </c>
      <c r="C187" t="s">
        <v>209</v>
      </c>
      <c r="D187" t="s">
        <v>21</v>
      </c>
      <c r="E187" s="2">
        <v>45112</v>
      </c>
      <c r="F187">
        <v>4</v>
      </c>
      <c r="G187">
        <v>23.95</v>
      </c>
      <c r="H187">
        <f t="shared" si="7"/>
        <v>95.8</v>
      </c>
    </row>
    <row r="188" spans="1:8" x14ac:dyDescent="0.3">
      <c r="A188" t="s">
        <v>71</v>
      </c>
      <c r="B188" s="3" t="s">
        <v>27</v>
      </c>
      <c r="C188" t="s">
        <v>196</v>
      </c>
      <c r="D188" t="s">
        <v>16</v>
      </c>
      <c r="E188" s="2">
        <v>45113</v>
      </c>
      <c r="F188">
        <v>3</v>
      </c>
      <c r="G188">
        <v>10.5</v>
      </c>
      <c r="H188">
        <f t="shared" si="7"/>
        <v>31.5</v>
      </c>
    </row>
    <row r="189" spans="1:8" x14ac:dyDescent="0.3">
      <c r="A189" t="s">
        <v>46</v>
      </c>
      <c r="B189" s="5" t="s">
        <v>23</v>
      </c>
      <c r="C189" t="s">
        <v>8</v>
      </c>
      <c r="D189" t="s">
        <v>16</v>
      </c>
      <c r="E189" s="2">
        <v>45114</v>
      </c>
      <c r="F189">
        <v>3</v>
      </c>
      <c r="G189">
        <v>1.5</v>
      </c>
      <c r="H189">
        <f t="shared" si="7"/>
        <v>4.5</v>
      </c>
    </row>
    <row r="190" spans="1:8" x14ac:dyDescent="0.3">
      <c r="A190" t="s">
        <v>87</v>
      </c>
      <c r="B190" s="10" t="s">
        <v>29</v>
      </c>
      <c r="C190" t="s">
        <v>208</v>
      </c>
      <c r="D190" t="s">
        <v>17</v>
      </c>
      <c r="E190" s="2">
        <v>45115</v>
      </c>
      <c r="F190">
        <v>2</v>
      </c>
      <c r="G190">
        <v>49</v>
      </c>
      <c r="H190">
        <f t="shared" si="7"/>
        <v>98</v>
      </c>
    </row>
    <row r="191" spans="1:8" x14ac:dyDescent="0.3">
      <c r="A191" t="s">
        <v>164</v>
      </c>
      <c r="B191" s="25" t="s">
        <v>161</v>
      </c>
      <c r="C191" t="s">
        <v>229</v>
      </c>
      <c r="D191" t="s">
        <v>22</v>
      </c>
      <c r="E191" s="2">
        <v>45116</v>
      </c>
      <c r="F191">
        <v>6</v>
      </c>
      <c r="G191">
        <v>8.5</v>
      </c>
      <c r="H191">
        <f t="shared" si="7"/>
        <v>51</v>
      </c>
    </row>
    <row r="192" spans="1:8" x14ac:dyDescent="0.3">
      <c r="A192" t="s">
        <v>167</v>
      </c>
      <c r="B192" s="24" t="s">
        <v>165</v>
      </c>
      <c r="C192" t="s">
        <v>239</v>
      </c>
      <c r="D192" t="s">
        <v>22</v>
      </c>
      <c r="E192" s="2">
        <v>45117</v>
      </c>
      <c r="F192">
        <v>8</v>
      </c>
      <c r="G192">
        <v>11.95</v>
      </c>
      <c r="H192">
        <f t="shared" si="7"/>
        <v>95.6</v>
      </c>
    </row>
    <row r="193" spans="1:8" x14ac:dyDescent="0.3">
      <c r="A193" t="s">
        <v>101</v>
      </c>
      <c r="B193" s="12" t="s">
        <v>31</v>
      </c>
      <c r="C193" t="s">
        <v>222</v>
      </c>
      <c r="D193" t="s">
        <v>17</v>
      </c>
      <c r="E193" s="2">
        <v>45118</v>
      </c>
      <c r="F193">
        <v>4</v>
      </c>
      <c r="G193">
        <v>58.75</v>
      </c>
      <c r="H193">
        <f t="shared" si="7"/>
        <v>235</v>
      </c>
    </row>
    <row r="194" spans="1:8" x14ac:dyDescent="0.3">
      <c r="A194" t="s">
        <v>41</v>
      </c>
      <c r="B194" s="5" t="s">
        <v>23</v>
      </c>
      <c r="C194" t="s">
        <v>170</v>
      </c>
      <c r="D194" t="s">
        <v>16</v>
      </c>
      <c r="E194" s="2">
        <v>45119</v>
      </c>
      <c r="F194">
        <v>6</v>
      </c>
      <c r="G194">
        <v>6.95</v>
      </c>
      <c r="H194">
        <f>(F194*G194)</f>
        <v>41.7</v>
      </c>
    </row>
    <row r="195" spans="1:8" x14ac:dyDescent="0.3">
      <c r="A195" t="s">
        <v>43</v>
      </c>
      <c r="B195" s="5" t="s">
        <v>23</v>
      </c>
      <c r="C195" t="s">
        <v>171</v>
      </c>
      <c r="D195" t="s">
        <v>16</v>
      </c>
      <c r="E195" s="2">
        <v>45120</v>
      </c>
      <c r="F195">
        <v>4</v>
      </c>
      <c r="G195">
        <v>0.7</v>
      </c>
      <c r="H195">
        <f t="shared" ref="H195:H203" si="8">(F195*G195)</f>
        <v>2.8</v>
      </c>
    </row>
    <row r="196" spans="1:8" x14ac:dyDescent="0.3">
      <c r="A196" t="s">
        <v>162</v>
      </c>
      <c r="B196" s="25" t="s">
        <v>161</v>
      </c>
      <c r="C196" t="s">
        <v>223</v>
      </c>
      <c r="D196" t="s">
        <v>22</v>
      </c>
      <c r="E196" s="2">
        <v>45121</v>
      </c>
      <c r="F196">
        <v>2</v>
      </c>
      <c r="G196">
        <v>38.950000000000003</v>
      </c>
      <c r="H196">
        <f>(F196*G196)</f>
        <v>77.900000000000006</v>
      </c>
    </row>
    <row r="197" spans="1:8" x14ac:dyDescent="0.3">
      <c r="A197" t="s">
        <v>152</v>
      </c>
      <c r="B197" s="22" t="s">
        <v>139</v>
      </c>
      <c r="C197" t="s">
        <v>209</v>
      </c>
      <c r="D197" t="s">
        <v>21</v>
      </c>
      <c r="E197" s="2">
        <v>45122</v>
      </c>
      <c r="F197">
        <v>7</v>
      </c>
      <c r="G197">
        <v>23.95</v>
      </c>
      <c r="H197">
        <f t="shared" si="8"/>
        <v>167.65</v>
      </c>
    </row>
    <row r="198" spans="1:8" x14ac:dyDescent="0.3">
      <c r="A198" t="s">
        <v>71</v>
      </c>
      <c r="B198" s="3" t="s">
        <v>27</v>
      </c>
      <c r="C198" t="s">
        <v>196</v>
      </c>
      <c r="D198" t="s">
        <v>16</v>
      </c>
      <c r="E198" s="2">
        <v>45123</v>
      </c>
      <c r="F198">
        <v>3</v>
      </c>
      <c r="G198">
        <v>10.5</v>
      </c>
      <c r="H198">
        <f t="shared" si="8"/>
        <v>31.5</v>
      </c>
    </row>
    <row r="199" spans="1:8" x14ac:dyDescent="0.3">
      <c r="A199" t="s">
        <v>46</v>
      </c>
      <c r="B199" s="5" t="s">
        <v>23</v>
      </c>
      <c r="C199" t="s">
        <v>8</v>
      </c>
      <c r="D199" t="s">
        <v>16</v>
      </c>
      <c r="E199" s="2">
        <v>45124</v>
      </c>
      <c r="F199">
        <v>5</v>
      </c>
      <c r="G199">
        <v>1.5</v>
      </c>
      <c r="H199">
        <f t="shared" si="8"/>
        <v>7.5</v>
      </c>
    </row>
    <row r="200" spans="1:8" x14ac:dyDescent="0.3">
      <c r="A200" t="s">
        <v>87</v>
      </c>
      <c r="B200" s="10" t="s">
        <v>29</v>
      </c>
      <c r="C200" t="s">
        <v>208</v>
      </c>
      <c r="D200" t="s">
        <v>17</v>
      </c>
      <c r="E200" s="2">
        <v>45125</v>
      </c>
      <c r="F200">
        <v>3</v>
      </c>
      <c r="G200">
        <v>49</v>
      </c>
      <c r="H200">
        <f t="shared" si="8"/>
        <v>147</v>
      </c>
    </row>
    <row r="201" spans="1:8" x14ac:dyDescent="0.3">
      <c r="A201" t="s">
        <v>164</v>
      </c>
      <c r="B201" s="25" t="s">
        <v>161</v>
      </c>
      <c r="C201" t="s">
        <v>229</v>
      </c>
      <c r="D201" t="s">
        <v>22</v>
      </c>
      <c r="E201" s="2">
        <v>45126</v>
      </c>
      <c r="F201">
        <v>2</v>
      </c>
      <c r="G201">
        <v>8.5</v>
      </c>
      <c r="H201">
        <f t="shared" si="8"/>
        <v>17</v>
      </c>
    </row>
    <row r="202" spans="1:8" x14ac:dyDescent="0.3">
      <c r="A202" t="s">
        <v>167</v>
      </c>
      <c r="B202" s="24" t="s">
        <v>165</v>
      </c>
      <c r="C202" t="s">
        <v>239</v>
      </c>
      <c r="D202" t="s">
        <v>22</v>
      </c>
      <c r="E202" s="2">
        <v>45127</v>
      </c>
      <c r="F202">
        <v>6</v>
      </c>
      <c r="G202">
        <v>11.95</v>
      </c>
      <c r="H202">
        <f t="shared" si="8"/>
        <v>71.699999999999989</v>
      </c>
    </row>
    <row r="203" spans="1:8" x14ac:dyDescent="0.3">
      <c r="A203" t="s">
        <v>101</v>
      </c>
      <c r="B203" s="12" t="s">
        <v>31</v>
      </c>
      <c r="C203" t="s">
        <v>222</v>
      </c>
      <c r="D203" t="s">
        <v>17</v>
      </c>
      <c r="E203" s="2">
        <v>45128</v>
      </c>
      <c r="F203">
        <v>4</v>
      </c>
      <c r="G203">
        <v>58.75</v>
      </c>
      <c r="H203">
        <f t="shared" si="8"/>
        <v>235</v>
      </c>
    </row>
    <row r="204" spans="1:8" x14ac:dyDescent="0.3">
      <c r="A204" t="s">
        <v>41</v>
      </c>
      <c r="B204" s="5" t="s">
        <v>23</v>
      </c>
      <c r="C204" t="s">
        <v>170</v>
      </c>
      <c r="D204" t="s">
        <v>16</v>
      </c>
      <c r="E204" s="2">
        <v>45129</v>
      </c>
      <c r="F204">
        <v>4</v>
      </c>
      <c r="G204">
        <v>6.95</v>
      </c>
      <c r="H204">
        <f>(F204*G204)</f>
        <v>27.8</v>
      </c>
    </row>
    <row r="205" spans="1:8" x14ac:dyDescent="0.3">
      <c r="A205" t="s">
        <v>43</v>
      </c>
      <c r="B205" s="5" t="s">
        <v>23</v>
      </c>
      <c r="C205" t="s">
        <v>171</v>
      </c>
      <c r="D205" t="s">
        <v>16</v>
      </c>
      <c r="E205" s="2">
        <v>45130</v>
      </c>
      <c r="F205">
        <v>3</v>
      </c>
      <c r="G205">
        <v>0.7</v>
      </c>
      <c r="H205">
        <f t="shared" ref="H205:H213" si="9">(F205*G205)</f>
        <v>2.0999999999999996</v>
      </c>
    </row>
    <row r="206" spans="1:8" x14ac:dyDescent="0.3">
      <c r="A206" t="s">
        <v>162</v>
      </c>
      <c r="B206" s="25" t="s">
        <v>161</v>
      </c>
      <c r="C206" t="s">
        <v>223</v>
      </c>
      <c r="D206" t="s">
        <v>22</v>
      </c>
      <c r="E206" s="2">
        <v>45131</v>
      </c>
      <c r="F206">
        <v>3</v>
      </c>
      <c r="G206">
        <v>38.950000000000003</v>
      </c>
      <c r="H206">
        <f t="shared" si="9"/>
        <v>116.85000000000001</v>
      </c>
    </row>
    <row r="207" spans="1:8" x14ac:dyDescent="0.3">
      <c r="A207" t="s">
        <v>152</v>
      </c>
      <c r="B207" s="22" t="s">
        <v>139</v>
      </c>
      <c r="C207" t="s">
        <v>209</v>
      </c>
      <c r="D207" t="s">
        <v>21</v>
      </c>
      <c r="E207" s="2">
        <v>45132</v>
      </c>
      <c r="F207">
        <v>6</v>
      </c>
      <c r="G207">
        <v>23.95</v>
      </c>
      <c r="H207">
        <f t="shared" si="9"/>
        <v>143.69999999999999</v>
      </c>
    </row>
    <row r="208" spans="1:8" x14ac:dyDescent="0.3">
      <c r="A208" t="s">
        <v>71</v>
      </c>
      <c r="B208" s="3" t="s">
        <v>27</v>
      </c>
      <c r="C208" t="s">
        <v>196</v>
      </c>
      <c r="D208" t="s">
        <v>16</v>
      </c>
      <c r="E208" s="2">
        <v>45133</v>
      </c>
      <c r="F208">
        <v>4</v>
      </c>
      <c r="G208">
        <v>10.5</v>
      </c>
      <c r="H208">
        <f t="shared" si="9"/>
        <v>42</v>
      </c>
    </row>
    <row r="209" spans="1:8" x14ac:dyDescent="0.3">
      <c r="A209" t="s">
        <v>46</v>
      </c>
      <c r="B209" s="5" t="s">
        <v>23</v>
      </c>
      <c r="C209" t="s">
        <v>8</v>
      </c>
      <c r="D209" t="s">
        <v>16</v>
      </c>
      <c r="E209" s="2">
        <v>45134</v>
      </c>
      <c r="F209">
        <v>3</v>
      </c>
      <c r="G209">
        <v>1.5</v>
      </c>
      <c r="H209">
        <f t="shared" si="9"/>
        <v>4.5</v>
      </c>
    </row>
    <row r="210" spans="1:8" x14ac:dyDescent="0.3">
      <c r="A210" t="s">
        <v>87</v>
      </c>
      <c r="B210" s="10" t="s">
        <v>29</v>
      </c>
      <c r="C210" t="s">
        <v>208</v>
      </c>
      <c r="D210" t="s">
        <v>17</v>
      </c>
      <c r="E210" s="2">
        <v>45135</v>
      </c>
      <c r="F210">
        <v>4</v>
      </c>
      <c r="G210">
        <v>49</v>
      </c>
      <c r="H210">
        <f t="shared" si="9"/>
        <v>196</v>
      </c>
    </row>
    <row r="211" spans="1:8" x14ac:dyDescent="0.3">
      <c r="A211" t="s">
        <v>164</v>
      </c>
      <c r="B211" s="25" t="s">
        <v>161</v>
      </c>
      <c r="C211" t="s">
        <v>229</v>
      </c>
      <c r="D211" t="s">
        <v>22</v>
      </c>
      <c r="E211" s="2">
        <v>45136</v>
      </c>
      <c r="F211">
        <v>5</v>
      </c>
      <c r="G211">
        <v>8.5</v>
      </c>
      <c r="H211">
        <f t="shared" si="9"/>
        <v>42.5</v>
      </c>
    </row>
    <row r="212" spans="1:8" x14ac:dyDescent="0.3">
      <c r="A212" t="s">
        <v>167</v>
      </c>
      <c r="B212" s="24" t="s">
        <v>165</v>
      </c>
      <c r="C212" t="s">
        <v>239</v>
      </c>
      <c r="D212" t="s">
        <v>22</v>
      </c>
      <c r="E212" s="2">
        <v>45137</v>
      </c>
      <c r="F212">
        <v>3</v>
      </c>
      <c r="G212">
        <v>11.95</v>
      </c>
      <c r="H212">
        <f t="shared" si="9"/>
        <v>35.849999999999994</v>
      </c>
    </row>
    <row r="213" spans="1:8" x14ac:dyDescent="0.3">
      <c r="A213" t="s">
        <v>101</v>
      </c>
      <c r="B213" s="12" t="s">
        <v>31</v>
      </c>
      <c r="C213" t="s">
        <v>222</v>
      </c>
      <c r="D213" t="s">
        <v>17</v>
      </c>
      <c r="E213" s="2">
        <v>45138</v>
      </c>
      <c r="F213">
        <v>5</v>
      </c>
      <c r="G213">
        <v>58.75</v>
      </c>
      <c r="H213">
        <f t="shared" si="9"/>
        <v>293.75</v>
      </c>
    </row>
    <row r="214" spans="1:8" x14ac:dyDescent="0.3">
      <c r="A214" t="s">
        <v>41</v>
      </c>
      <c r="B214" s="5" t="s">
        <v>23</v>
      </c>
      <c r="C214" t="s">
        <v>170</v>
      </c>
      <c r="D214" t="s">
        <v>16</v>
      </c>
      <c r="E214" s="2">
        <v>45139</v>
      </c>
      <c r="F214">
        <v>3</v>
      </c>
      <c r="G214">
        <v>6.95</v>
      </c>
      <c r="H214">
        <f>(F214*G214)</f>
        <v>20.85</v>
      </c>
    </row>
    <row r="215" spans="1:8" x14ac:dyDescent="0.3">
      <c r="A215" t="s">
        <v>43</v>
      </c>
      <c r="B215" s="5" t="s">
        <v>23</v>
      </c>
      <c r="C215" t="s">
        <v>171</v>
      </c>
      <c r="D215" t="s">
        <v>16</v>
      </c>
      <c r="E215" s="2">
        <v>45140</v>
      </c>
      <c r="F215">
        <v>4</v>
      </c>
      <c r="G215">
        <v>0.7</v>
      </c>
      <c r="H215">
        <f t="shared" ref="H215:H223" si="10">(F215*G215)</f>
        <v>2.8</v>
      </c>
    </row>
    <row r="216" spans="1:8" x14ac:dyDescent="0.3">
      <c r="A216" t="s">
        <v>162</v>
      </c>
      <c r="B216" s="25" t="s">
        <v>161</v>
      </c>
      <c r="C216" t="s">
        <v>223</v>
      </c>
      <c r="D216" t="s">
        <v>22</v>
      </c>
      <c r="E216" s="2">
        <v>45141</v>
      </c>
      <c r="F216">
        <v>3</v>
      </c>
      <c r="G216">
        <v>38.950000000000003</v>
      </c>
      <c r="H216">
        <f t="shared" si="10"/>
        <v>116.85000000000001</v>
      </c>
    </row>
    <row r="217" spans="1:8" x14ac:dyDescent="0.3">
      <c r="A217" t="s">
        <v>152</v>
      </c>
      <c r="B217" s="22" t="s">
        <v>139</v>
      </c>
      <c r="C217" t="s">
        <v>209</v>
      </c>
      <c r="D217" t="s">
        <v>21</v>
      </c>
      <c r="E217" s="2">
        <v>45142</v>
      </c>
      <c r="F217">
        <v>6</v>
      </c>
      <c r="G217">
        <v>23.95</v>
      </c>
      <c r="H217">
        <f t="shared" si="10"/>
        <v>143.69999999999999</v>
      </c>
    </row>
    <row r="218" spans="1:8" x14ac:dyDescent="0.3">
      <c r="A218" t="s">
        <v>71</v>
      </c>
      <c r="B218" s="3" t="s">
        <v>27</v>
      </c>
      <c r="C218" t="s">
        <v>196</v>
      </c>
      <c r="D218" t="s">
        <v>16</v>
      </c>
      <c r="E218" s="2">
        <v>45143</v>
      </c>
      <c r="F218">
        <v>7</v>
      </c>
      <c r="G218">
        <v>10.5</v>
      </c>
      <c r="H218">
        <f t="shared" si="10"/>
        <v>73.5</v>
      </c>
    </row>
    <row r="219" spans="1:8" x14ac:dyDescent="0.3">
      <c r="A219" t="s">
        <v>46</v>
      </c>
      <c r="B219" s="5" t="s">
        <v>23</v>
      </c>
      <c r="C219" t="s">
        <v>8</v>
      </c>
      <c r="D219" t="s">
        <v>16</v>
      </c>
      <c r="E219" s="2">
        <v>45144</v>
      </c>
      <c r="F219">
        <v>3</v>
      </c>
      <c r="G219">
        <v>1.5</v>
      </c>
      <c r="H219">
        <f t="shared" si="10"/>
        <v>4.5</v>
      </c>
    </row>
    <row r="220" spans="1:8" x14ac:dyDescent="0.3">
      <c r="A220" t="s">
        <v>87</v>
      </c>
      <c r="B220" s="10" t="s">
        <v>29</v>
      </c>
      <c r="C220" t="s">
        <v>208</v>
      </c>
      <c r="D220" t="s">
        <v>17</v>
      </c>
      <c r="E220" s="2">
        <v>45145</v>
      </c>
      <c r="F220">
        <v>5</v>
      </c>
      <c r="G220">
        <v>49</v>
      </c>
      <c r="H220">
        <f t="shared" si="10"/>
        <v>245</v>
      </c>
    </row>
    <row r="221" spans="1:8" x14ac:dyDescent="0.3">
      <c r="A221" t="s">
        <v>164</v>
      </c>
      <c r="B221" s="25" t="s">
        <v>161</v>
      </c>
      <c r="C221" t="s">
        <v>229</v>
      </c>
      <c r="D221" t="s">
        <v>22</v>
      </c>
      <c r="E221" s="2">
        <v>45146</v>
      </c>
      <c r="F221">
        <v>3</v>
      </c>
      <c r="G221">
        <v>8.5</v>
      </c>
      <c r="H221">
        <f t="shared" si="10"/>
        <v>25.5</v>
      </c>
    </row>
    <row r="222" spans="1:8" x14ac:dyDescent="0.3">
      <c r="A222" t="s">
        <v>167</v>
      </c>
      <c r="B222" s="24" t="s">
        <v>165</v>
      </c>
      <c r="C222" t="s">
        <v>239</v>
      </c>
      <c r="D222" t="s">
        <v>22</v>
      </c>
      <c r="E222" s="2">
        <v>45147</v>
      </c>
      <c r="F222">
        <v>4</v>
      </c>
      <c r="G222">
        <v>11.95</v>
      </c>
      <c r="H222">
        <f t="shared" si="10"/>
        <v>47.8</v>
      </c>
    </row>
    <row r="223" spans="1:8" x14ac:dyDescent="0.3">
      <c r="A223" t="s">
        <v>101</v>
      </c>
      <c r="B223" s="12" t="s">
        <v>31</v>
      </c>
      <c r="C223" t="s">
        <v>222</v>
      </c>
      <c r="D223" t="s">
        <v>17</v>
      </c>
      <c r="E223" s="2">
        <v>45148</v>
      </c>
      <c r="F223">
        <v>6</v>
      </c>
      <c r="G223">
        <v>58.75</v>
      </c>
      <c r="H223">
        <f t="shared" si="10"/>
        <v>352.5</v>
      </c>
    </row>
    <row r="224" spans="1:8" x14ac:dyDescent="0.3">
      <c r="A224" t="s">
        <v>101</v>
      </c>
      <c r="B224" s="12" t="s">
        <v>31</v>
      </c>
      <c r="C224" t="s">
        <v>222</v>
      </c>
      <c r="D224" t="s">
        <v>17</v>
      </c>
      <c r="E224" s="2">
        <v>45149</v>
      </c>
      <c r="F224">
        <v>3</v>
      </c>
      <c r="G224">
        <v>58.75</v>
      </c>
      <c r="H224">
        <f t="shared" ref="H224:H233" si="11">(F224*G224)</f>
        <v>176.25</v>
      </c>
    </row>
    <row r="225" spans="1:8" x14ac:dyDescent="0.3">
      <c r="A225" t="s">
        <v>101</v>
      </c>
      <c r="B225" s="12" t="s">
        <v>31</v>
      </c>
      <c r="C225" t="s">
        <v>171</v>
      </c>
      <c r="D225" t="s">
        <v>17</v>
      </c>
      <c r="E225" s="2">
        <v>45150</v>
      </c>
      <c r="F225">
        <v>4</v>
      </c>
      <c r="G225">
        <v>58.75</v>
      </c>
      <c r="H225">
        <f t="shared" si="11"/>
        <v>235</v>
      </c>
    </row>
    <row r="226" spans="1:8" x14ac:dyDescent="0.3">
      <c r="A226" t="s">
        <v>101</v>
      </c>
      <c r="B226" s="12" t="s">
        <v>31</v>
      </c>
      <c r="C226" t="s">
        <v>223</v>
      </c>
      <c r="D226" t="s">
        <v>17</v>
      </c>
      <c r="E226" s="2">
        <v>45151</v>
      </c>
      <c r="F226">
        <v>2</v>
      </c>
      <c r="G226">
        <v>58.75</v>
      </c>
      <c r="H226">
        <f t="shared" si="11"/>
        <v>117.5</v>
      </c>
    </row>
    <row r="227" spans="1:8" x14ac:dyDescent="0.3">
      <c r="A227" t="s">
        <v>101</v>
      </c>
      <c r="B227" s="12" t="s">
        <v>31</v>
      </c>
      <c r="C227" t="s">
        <v>229</v>
      </c>
      <c r="D227" t="s">
        <v>17</v>
      </c>
      <c r="E227" s="2">
        <v>45152</v>
      </c>
      <c r="F227">
        <v>5</v>
      </c>
      <c r="G227">
        <v>58.75</v>
      </c>
      <c r="H227">
        <f t="shared" si="11"/>
        <v>293.75</v>
      </c>
    </row>
    <row r="228" spans="1:8" x14ac:dyDescent="0.3">
      <c r="A228" t="s">
        <v>101</v>
      </c>
      <c r="B228" s="12" t="s">
        <v>31</v>
      </c>
      <c r="C228" t="s">
        <v>239</v>
      </c>
      <c r="D228" t="s">
        <v>17</v>
      </c>
      <c r="E228" s="2">
        <v>45153</v>
      </c>
      <c r="F228">
        <v>1</v>
      </c>
      <c r="G228">
        <v>58.75</v>
      </c>
      <c r="H228">
        <f t="shared" si="11"/>
        <v>58.75</v>
      </c>
    </row>
    <row r="229" spans="1:8" x14ac:dyDescent="0.3">
      <c r="A229" t="s">
        <v>101</v>
      </c>
      <c r="B229" s="12" t="s">
        <v>31</v>
      </c>
      <c r="C229" t="s">
        <v>223</v>
      </c>
      <c r="D229" t="s">
        <v>17</v>
      </c>
      <c r="E229" s="2">
        <v>45154</v>
      </c>
      <c r="F229">
        <v>4</v>
      </c>
      <c r="G229">
        <v>58.75</v>
      </c>
      <c r="H229">
        <f t="shared" si="11"/>
        <v>235</v>
      </c>
    </row>
    <row r="230" spans="1:8" x14ac:dyDescent="0.3">
      <c r="A230" t="s">
        <v>101</v>
      </c>
      <c r="B230" s="12" t="s">
        <v>31</v>
      </c>
      <c r="C230" t="s">
        <v>243</v>
      </c>
      <c r="D230" t="s">
        <v>17</v>
      </c>
      <c r="E230" s="2">
        <v>45155</v>
      </c>
      <c r="F230">
        <v>3</v>
      </c>
      <c r="G230">
        <v>58.75</v>
      </c>
      <c r="H230">
        <f t="shared" si="11"/>
        <v>176.25</v>
      </c>
    </row>
    <row r="231" spans="1:8" x14ac:dyDescent="0.3">
      <c r="A231" t="s">
        <v>167</v>
      </c>
      <c r="B231" s="24" t="s">
        <v>165</v>
      </c>
      <c r="C231" t="s">
        <v>239</v>
      </c>
      <c r="D231" t="s">
        <v>22</v>
      </c>
      <c r="E231" s="2">
        <v>45156</v>
      </c>
      <c r="F231">
        <v>3</v>
      </c>
      <c r="G231">
        <v>11.95</v>
      </c>
      <c r="H231">
        <f t="shared" si="11"/>
        <v>35.849999999999994</v>
      </c>
    </row>
    <row r="232" spans="1:8" x14ac:dyDescent="0.3">
      <c r="A232" t="s">
        <v>167</v>
      </c>
      <c r="B232" s="24" t="s">
        <v>165</v>
      </c>
      <c r="C232" t="s">
        <v>208</v>
      </c>
      <c r="D232" t="s">
        <v>22</v>
      </c>
      <c r="E232" s="2">
        <v>45157</v>
      </c>
      <c r="F232">
        <v>2</v>
      </c>
      <c r="G232">
        <v>11.95</v>
      </c>
      <c r="H232">
        <f t="shared" si="11"/>
        <v>23.9</v>
      </c>
    </row>
    <row r="233" spans="1:8" x14ac:dyDescent="0.3">
      <c r="A233" t="s">
        <v>167</v>
      </c>
      <c r="B233" s="24" t="s">
        <v>165</v>
      </c>
      <c r="C233" t="s">
        <v>175</v>
      </c>
      <c r="D233" t="s">
        <v>22</v>
      </c>
      <c r="E233" s="2">
        <v>45158</v>
      </c>
      <c r="F233">
        <v>1</v>
      </c>
      <c r="G233">
        <v>11.95</v>
      </c>
      <c r="H233">
        <f t="shared" si="11"/>
        <v>11.95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OSVALDO GARCIA HERNANDEZ</cp:lastModifiedBy>
  <dcterms:created xsi:type="dcterms:W3CDTF">2025-04-07T16:04:02Z</dcterms:created>
  <dcterms:modified xsi:type="dcterms:W3CDTF">2025-04-10T22:05:28Z</dcterms:modified>
</cp:coreProperties>
</file>