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Ondrej\Onekkjhvmbbvmjh Drive\Documents\GitHub\iCat\support\"/>
    </mc:Choice>
  </mc:AlternateContent>
  <xr:revisionPtr revIDLastSave="0" documentId="13_ncr:1_{643D68F0-5258-48BC-96B3-FF9321D2E4D7}" xr6:coauthVersionLast="47" xr6:coauthVersionMax="47" xr10:uidLastSave="{00000000-0000-0000-0000-000000000000}"/>
  <bookViews>
    <workbookView xWindow="28680" yWindow="-120" windowWidth="18240" windowHeight="28590" xr2:uid="{00000000-000D-0000-FFFF-FFFF00000000}"/>
  </bookViews>
  <sheets>
    <sheet name="components" sheetId="1" r:id="rId1"/>
    <sheet name="pinou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1" l="1"/>
  <c r="M11" i="1"/>
  <c r="M7" i="1"/>
  <c r="L12" i="1"/>
  <c r="L8" i="1"/>
  <c r="L7" i="1"/>
  <c r="E46" i="1"/>
  <c r="M12" i="1" s="1"/>
  <c r="H44" i="1"/>
  <c r="E15" i="1"/>
  <c r="E16" i="1"/>
  <c r="E18" i="1"/>
  <c r="M8" i="1" s="1"/>
  <c r="E19" i="1"/>
  <c r="E20" i="1"/>
  <c r="E21" i="1"/>
  <c r="E22" i="1"/>
  <c r="E23" i="1"/>
  <c r="E24" i="1"/>
  <c r="E25" i="1"/>
  <c r="E26" i="1"/>
  <c r="E27" i="1"/>
  <c r="E28" i="1"/>
  <c r="E29" i="1"/>
  <c r="E30" i="1"/>
  <c r="E32" i="1"/>
  <c r="M9" i="1" s="1"/>
  <c r="E34" i="1"/>
  <c r="E35" i="1"/>
  <c r="E36" i="1"/>
  <c r="E37" i="1"/>
  <c r="E40" i="1"/>
  <c r="M10" i="1" s="1"/>
  <c r="E41" i="1"/>
  <c r="E43" i="1"/>
  <c r="E44" i="1"/>
  <c r="E45" i="1"/>
  <c r="H27" i="1"/>
  <c r="H30" i="1"/>
  <c r="H40" i="1"/>
  <c r="N10" i="1" s="1"/>
  <c r="H37" i="1"/>
  <c r="H32" i="1"/>
  <c r="N9" i="1" s="1"/>
  <c r="H33" i="1"/>
  <c r="H34" i="1"/>
  <c r="H35" i="1"/>
  <c r="H36" i="1"/>
  <c r="H43" i="1"/>
  <c r="N12" i="1" s="1"/>
  <c r="H41" i="1"/>
  <c r="H23" i="1"/>
  <c r="H26" i="1"/>
  <c r="H25" i="1"/>
  <c r="H22" i="1"/>
  <c r="H45" i="1"/>
  <c r="H21" i="1"/>
  <c r="H16" i="1"/>
  <c r="H20" i="1"/>
  <c r="H19" i="1"/>
  <c r="H18" i="1"/>
  <c r="N8" i="1" s="1"/>
  <c r="H28" i="1"/>
  <c r="E6" i="1"/>
  <c r="E11" i="1"/>
  <c r="H15" i="1"/>
  <c r="E13" i="1"/>
  <c r="E12" i="1"/>
  <c r="H12" i="1"/>
  <c r="H13" i="1"/>
  <c r="E14" i="1"/>
  <c r="E10" i="1"/>
  <c r="H10" i="1"/>
  <c r="H9" i="1"/>
  <c r="E9" i="1"/>
  <c r="H8" i="1"/>
  <c r="H7" i="1"/>
  <c r="H6" i="1"/>
  <c r="H5" i="1"/>
  <c r="H4" i="1"/>
  <c r="N7" i="1" s="1"/>
  <c r="N14" i="1" s="1"/>
  <c r="E8" i="1"/>
  <c r="E7" i="1"/>
  <c r="E5" i="1"/>
  <c r="E4" i="1"/>
  <c r="N13" i="1" l="1"/>
  <c r="M13" i="1"/>
  <c r="M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tc={347F1B6F-916D-46A5-BBDF-E459439CE371}</author>
    <author>tc={38103908-ADF8-49FA-A607-55D1B30C2D9E}</author>
    <author>tc={4EB2F827-3225-44FC-A21A-D97BB402BBDD}</author>
    <author>tc={8C24B3C2-E4D9-49A0-8518-62AD0CF3F5E4}</author>
  </authors>
  <commentList>
    <comment ref="E3" authorId="0" shapeId="0" xr:uid="{347F1B6F-916D-46A5-BBDF-E459439CE371}">
      <text>
        <t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Valid on 21.3.2024</t>
      </text>
    </comment>
    <comment ref="H3" authorId="1" shapeId="0" xr:uid="{38103908-ADF8-49FA-A607-55D1B30C2D9E}">
      <text>
        <t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Valid on 21.3.2024</t>
      </text>
    </comment>
    <comment ref="C28" authorId="2" shapeId="0" xr:uid="{4EB2F827-3225-44FC-A21A-D97BB402BBDD}">
      <text>
        <t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https://huiskenlab.com/sample-mounting/</t>
      </text>
    </comment>
    <comment ref="E33" authorId="3" shapeId="0" xr:uid="{8C24B3C2-E4D9-49A0-8518-62AD0CF3F5E4}">
      <text>
        <t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See above</t>
      </text>
    </comment>
  </commentList>
</comments>
</file>

<file path=xl/sharedStrings.xml><?xml version="1.0" encoding="utf-8"?>
<sst xmlns="http://schemas.openxmlformats.org/spreadsheetml/2006/main" count="305" uniqueCount="215">
  <si>
    <t>Item</t>
  </si>
  <si>
    <t>Electronics</t>
  </si>
  <si>
    <t>Tools</t>
  </si>
  <si>
    <t>Accessories</t>
  </si>
  <si>
    <t>Wiring</t>
  </si>
  <si>
    <t>3D print</t>
  </si>
  <si>
    <t>Arducam</t>
  </si>
  <si>
    <t>Arduino Uno Rev3</t>
  </si>
  <si>
    <t>https://www.aliexpress.us/item/3256805071306083.html</t>
  </si>
  <si>
    <t>https://www.amazon.com/Arduino-A000066-ARDUINO-UNO-R3/dp/B008GRTSV6</t>
  </si>
  <si>
    <t>https://www.amazon.com/Arducam-Module-Camera-Arduino-Mega2560/dp/B013JUKZ48/</t>
  </si>
  <si>
    <t>https://www.alibaba.com/product-detail/ARDUCAM-5MP-PLUS-OV5642-MINI-CAM_1600630833583.html</t>
  </si>
  <si>
    <t>IRF520 Driver Module</t>
  </si>
  <si>
    <t>https://www.aliexpress.com/item/32967974360.html</t>
  </si>
  <si>
    <t>https://www.amazon.com/WWZMDiB-CNC-Shield-V3-Engraving/dp/B0BQDW1H8Z/</t>
  </si>
  <si>
    <t>https://www.aliexpress.com/item/1005002756457153.html</t>
  </si>
  <si>
    <t>CNC Shield V3</t>
  </si>
  <si>
    <t>https://www.amazon.com/Teyleten-Robot-Printer-DRV8825-StepStick/dp/B0CP92T4QR/</t>
  </si>
  <si>
    <t>DRV8825 Stepper Motor Driver</t>
  </si>
  <si>
    <t>https://www.aliexpress.com/item/1005006133851072.html</t>
  </si>
  <si>
    <t>17HS2408 Stepper Motor</t>
  </si>
  <si>
    <t>https://www.amazon.com/Printer-17HS2408-Stepper-Certification-4-Lead/dp/B098L2R5M4/</t>
  </si>
  <si>
    <t>https://www.aliexpress.com/item/1005005074685168.html</t>
  </si>
  <si>
    <t>Peltier plate module TEC1-12706</t>
  </si>
  <si>
    <t>https://www.aliexpress.com/item/1005006080475551.html</t>
  </si>
  <si>
    <t>https://www.amazon.com/HiLetgo-TEC1-12706-Semiconductor-Refrigeration-Thermoelectric/dp/B00M1PM7H6/</t>
  </si>
  <si>
    <t>NTC Thermistor 10K 1% 3950</t>
  </si>
  <si>
    <t>Note</t>
  </si>
  <si>
    <t>5 pcs</t>
  </si>
  <si>
    <t>-</t>
  </si>
  <si>
    <t>https://www.aliexpress.com/item/1005002882657685.html</t>
  </si>
  <si>
    <t>https://www.amazon.com/HiLetgo-Single-Joint-Potentiometer-Variable-Resistors/dp/B00MCK7JMS/</t>
  </si>
  <si>
    <t>20 pcs</t>
  </si>
  <si>
    <t>https://www.aliexpress.com/item/1005006259158854.html</t>
  </si>
  <si>
    <t>10K Ohm potentiometer</t>
  </si>
  <si>
    <t>https://www.aliexpress.com/item/1005005669886834.html</t>
  </si>
  <si>
    <t>100 pcs</t>
  </si>
  <si>
    <t>https://www.amazon.com/EDGELEC-Resistor-Tolerance-Resistance-Optional/dp/B07HDFLWNB</t>
  </si>
  <si>
    <t>4.7 kOhm resistor</t>
  </si>
  <si>
    <t>10 kOhm resistor</t>
  </si>
  <si>
    <t>https://www.aliexpress.com/item/1005006127462938.html</t>
  </si>
  <si>
    <t>https://www.ebay.com/itm/255345211017</t>
  </si>
  <si>
    <t>3W High Power LED Module LED with PCB Chassis for Arduino</t>
  </si>
  <si>
    <t>https://www.ebay.com/itm/315179700963</t>
  </si>
  <si>
    <t>https://www.ebay.com/itm/253658203940</t>
  </si>
  <si>
    <t>https://www.alibaba.com/product-detail/Small-size-clear-FEP-tube-and_62201607168.html</t>
  </si>
  <si>
    <t>https://www.proliquid.de/index.php?Schlauchfinder</t>
  </si>
  <si>
    <t>https://www.bola.de/en/tubing-bola?c=179</t>
  </si>
  <si>
    <t>5 meters</t>
  </si>
  <si>
    <t>25 meters</t>
  </si>
  <si>
    <t>FEP tube clear - other sizes</t>
  </si>
  <si>
    <t>FEP tube clear 0.8 I.D./1.2 O.D.</t>
  </si>
  <si>
    <t>https://www.amazon.com/Quickun-Silicone-Brewing-Kegerator-Aquaponics/dp/B08JQQ68R7/</t>
  </si>
  <si>
    <t>3 meters</t>
  </si>
  <si>
    <t>https://www.aliexpress.com/item/32999887844.html</t>
  </si>
  <si>
    <t>https://www.amazon.com/WINSINN-Aluminum-Synchronous-Timing-Printer/dp/B077GMR328/r</t>
  </si>
  <si>
    <t>GT2 Pulley 16 Teeth 5mm bore 6 mm width</t>
  </si>
  <si>
    <t>https://www.aliexpress.com/item/32781681772.html</t>
  </si>
  <si>
    <t>https://www.aliexpress.com/item/32890073873.html</t>
  </si>
  <si>
    <t>GT2 Idler 20 Teeth 5mm bore 3 mm width without teeth</t>
  </si>
  <si>
    <t>https://www.amazon.com/HJ-Garden-Aluminium-Synchronous-Mechanical/dp/B07LGTSYQ5/</t>
  </si>
  <si>
    <t>2 pcs</t>
  </si>
  <si>
    <t>https://www.amazon.com/SIMAX3D-Alumium-20teeth-3D-Printer/dp/B07TZZ2YCS/</t>
  </si>
  <si>
    <t>GT2 Open Timing Belt 2mm Pitch 6mm Width</t>
  </si>
  <si>
    <t>https://www.aliexpress.com/item/32921042288.html</t>
  </si>
  <si>
    <t>https://www.amazon.com/Power-Supply12Volt-Adapter-Connectivity-Devices/dp/B0BMPYVBDT/</t>
  </si>
  <si>
    <t>12V 3A Power Supply</t>
  </si>
  <si>
    <t>https://www.aliexpress.com/item/1005005815301733.html</t>
  </si>
  <si>
    <t>https://www.aliexpress.com/item/1000007480470.html</t>
  </si>
  <si>
    <t>MGN9H 100mm linear guide rail with carriage</t>
  </si>
  <si>
    <t>https://www.amazon.com/100mm-Miniature-Bearing-Linear-Motion/dp/B07MR1S43Z/</t>
  </si>
  <si>
    <t>https://www.aliexpress.com/item/1005005940788522.html</t>
  </si>
  <si>
    <t>Crimp Terminals Set Kit</t>
  </si>
  <si>
    <t>Crimping Tools SN-58B + 4 jaws</t>
  </si>
  <si>
    <t>https://www.amazon.com/dp/B0BX44TF3R/</t>
  </si>
  <si>
    <t>https://www.aliexpress.com/item/32977835401.html</t>
  </si>
  <si>
    <t>https://www.amazon.com/Electrical-Terminals-Connectors-0-5-2-5mm2-Inflaming/dp/B078S6SMQ2/</t>
  </si>
  <si>
    <t>https://www.aliexpress.com/item/10000139502321.html</t>
  </si>
  <si>
    <t>3x50 pcs</t>
  </si>
  <si>
    <t>https://www.amazon.com/Ochoos-Stainless-DIN912-Hexagon-Socket/dp/B07R68NQYP/</t>
  </si>
  <si>
    <t>Microscope Cover Glass, 24x40mm</t>
  </si>
  <si>
    <t>https://www.amazon.com/Microscope-Cover-Glass-24x40mm-thickness/dp/B00CD80JI0/</t>
  </si>
  <si>
    <t>https://www.alibaba.com/product-detail/Medical-Micro-18x18-20x20-22x22-24x24_1600166160763.html</t>
  </si>
  <si>
    <t>10 pcs</t>
  </si>
  <si>
    <t>https://www.amazon.com/Krytox-GPL-205-GD0-Lubricant-GPL-205-Mechanical-Stabilizers/dp/B0CQV2TXLB/</t>
  </si>
  <si>
    <t>Lubricant in the syringe</t>
  </si>
  <si>
    <t>https://www.allworldmachinery.com/itemdetail/?itemCode=NBU-15%20%2830CC%20SYRINGE%29</t>
  </si>
  <si>
    <t>https://www.aliexpress.com/item/1005003923351753.html</t>
  </si>
  <si>
    <t>1/3 meter</t>
  </si>
  <si>
    <t>https://www.amazon.com/Alex-Tech-10ft-Protector-Sleeving/dp/B07FW3GTXB/</t>
  </si>
  <si>
    <t>Sleeving Cord Protector, 6-12 mm</t>
  </si>
  <si>
    <t>Stainless Steel DIN912 Hexagon Hex Socket Head Cap Allen Bolt Screw, M3x4, M3x5, M3x6, M3x14</t>
  </si>
  <si>
    <t>10 ft</t>
  </si>
  <si>
    <t>https://www.amazon.com/Mriuuod-Hex-M3-Nuts-Replacement/dp/B0CR3S4MZT/</t>
  </si>
  <si>
    <t>M3 hex nut</t>
  </si>
  <si>
    <t>https://www.aliexpress.com/item/1005003241995713.html</t>
  </si>
  <si>
    <t>10x10 pcs</t>
  </si>
  <si>
    <t>https://www.aliexpress.com/item/1005002285099311.html</t>
  </si>
  <si>
    <t>Neodymium Magnet 5mm x 2mm</t>
  </si>
  <si>
    <t>50 pcs</t>
  </si>
  <si>
    <t>https://www.amazon.com/Magnets-Refrigerator-Neodymium-Whiteboard-Kitchen/dp/B0CCXY6WBR/</t>
  </si>
  <si>
    <t>https://www.aliexpress.com/item/1005004599068177.html</t>
  </si>
  <si>
    <t>Male Female Plug 12V DC Power Pigtail Cable Jack</t>
  </si>
  <si>
    <t>https://www.aliexpress.com/item/1005005601514426.html</t>
  </si>
  <si>
    <t>Female And Male DC Connectors 2.1x5.5mm</t>
  </si>
  <si>
    <t>5+5 pcs</t>
  </si>
  <si>
    <t>10+10 pcs</t>
  </si>
  <si>
    <t>https://www.amazon.com/43x2pcs-Connector-Security-Surveillance-MILAPEAK/dp/B07CWQPPTW/</t>
  </si>
  <si>
    <t>https://www.aliexpress.com/item/1005006127479576.html</t>
  </si>
  <si>
    <t xml:space="preserve">Dupont Line M-M + F-M + F-F Jumper Wire 10cm, 20CM </t>
  </si>
  <si>
    <t>3 sets/pc</t>
  </si>
  <si>
    <t>https://www.amazon.com/Solderless-Multicolor-Electronic-Breadboard-Protoboard/dp/B09FPJ9TSP/</t>
  </si>
  <si>
    <t>https://www.aliexpress.com/item/1005005235755503.html</t>
  </si>
  <si>
    <t>WAGO Terminals Series Splicing Connector 221-413</t>
  </si>
  <si>
    <t>https://www.ebay.com/itm/224381797069</t>
  </si>
  <si>
    <t>https://www.amazon.com/Gikfun-Solderless-Prototype-Breadboard-Arduino/dp/B0146MGBWI/</t>
  </si>
  <si>
    <t>7 pcs</t>
  </si>
  <si>
    <t>Mini Solderless Prototype Breadboard</t>
  </si>
  <si>
    <t>https://www.aliexpress.com/item/1005006440382823.html</t>
  </si>
  <si>
    <t>3D printer</t>
  </si>
  <si>
    <t>https://www.amazon.com/PRUSA-ORIGINAL-MINI-Semi-Assembled/dp/B0933LV2JW/</t>
  </si>
  <si>
    <t>https://www.prusa3d.com/en/product/original-prusa-mini-semi-assembled-3d-printer-4/</t>
  </si>
  <si>
    <t>Multiple pieces are included within 1 item  most of the time</t>
  </si>
  <si>
    <t>Purchasing through local stores or other suppliers (www.mouser.com) is recommended</t>
  </si>
  <si>
    <t>https://www.amazon.com/SUNLU-Filament-Transparent-Dimensional-Accuracy/dp/B07ZNG4L9P/</t>
  </si>
  <si>
    <t>3D Printer Filament 1.75mm - transparent, black</t>
  </si>
  <si>
    <t>https://www.prusa3d.com/en/category/pla/</t>
  </si>
  <si>
    <t>https://www.amazon.com/ONiLAB-Pipette-Scientific-Disposable-Pipettes/dp/B0B1QB53F8/</t>
  </si>
  <si>
    <t>Pipette Pump 10ml</t>
  </si>
  <si>
    <t>https://www.aliexpress.com/item/1005005171730265.html</t>
  </si>
  <si>
    <t>https://www.amazon.com/Kimble-883350-0009-Borosilicate-Pipettes-Disposable/dp/B015145GM6/</t>
  </si>
  <si>
    <t>Borosilicate Glass Pasteur Pipettes</t>
  </si>
  <si>
    <t>250 pcs</t>
  </si>
  <si>
    <t>https://www.aliexpress.com/item/4000432467039.html</t>
  </si>
  <si>
    <t>Screwdriver Set</t>
  </si>
  <si>
    <t>https://www.aliexpress.com/item/1005005449368419.html</t>
  </si>
  <si>
    <t>https://www.amazon.com/Screwdriver-Precision-Electronics-Eyeglasses-tasainu/dp/B0BQFG32DV/</t>
  </si>
  <si>
    <t>10 meters, this source has not been tested</t>
  </si>
  <si>
    <t>Quantity</t>
  </si>
  <si>
    <t>3D printing (filament only)</t>
  </si>
  <si>
    <t>Price</t>
  </si>
  <si>
    <t>Link</t>
  </si>
  <si>
    <t>Option 1</t>
  </si>
  <si>
    <t>Option 2</t>
  </si>
  <si>
    <t>3D printing (incl. printer)</t>
  </si>
  <si>
    <t>TOTAL (incl. printer)</t>
  </si>
  <si>
    <t>TOTAL (iCat)</t>
  </si>
  <si>
    <t>Prices are only approximate and links mainly serve for quick reference</t>
  </si>
  <si>
    <t>Arduino Pin Number</t>
  </si>
  <si>
    <t>Input/Output</t>
  </si>
  <si>
    <t>Function</t>
  </si>
  <si>
    <t>CNC Shield Pin</t>
  </si>
  <si>
    <t>iCat Pin</t>
  </si>
  <si>
    <t>Digital I/O</t>
  </si>
  <si>
    <t>RX (Serial Input)</t>
  </si>
  <si>
    <t>TX (Serial Output)</t>
  </si>
  <si>
    <t>STEP X</t>
  </si>
  <si>
    <t>Driver - STEP X</t>
  </si>
  <si>
    <t>PWM</t>
  </si>
  <si>
    <t>STEP Y</t>
  </si>
  <si>
    <t>MOSFET - PWM</t>
  </si>
  <si>
    <t>STEP Z</t>
  </si>
  <si>
    <t>Driver - STEP Y</t>
  </si>
  <si>
    <t>DIR X</t>
  </si>
  <si>
    <t>Driver - DIR X</t>
  </si>
  <si>
    <t>DIR Y</t>
  </si>
  <si>
    <t xml:space="preserve">LED - PWM </t>
  </si>
  <si>
    <t>DIR Z</t>
  </si>
  <si>
    <t>Driver - DIR Y</t>
  </si>
  <si>
    <t>EN</t>
  </si>
  <si>
    <t>Driver - EN</t>
  </si>
  <si>
    <t>X Endstop</t>
  </si>
  <si>
    <t>Y Endstop</t>
  </si>
  <si>
    <t>Arducam - CS</t>
  </si>
  <si>
    <t>Z Endstop</t>
  </si>
  <si>
    <t>Arducam - MOSI</t>
  </si>
  <si>
    <t>SpnEn</t>
  </si>
  <si>
    <t>Arducam - MISO</t>
  </si>
  <si>
    <t>SpnDir</t>
  </si>
  <si>
    <t>Arducam - SCK</t>
  </si>
  <si>
    <t>A0</t>
  </si>
  <si>
    <t>Analog Input, Digital I/O</t>
  </si>
  <si>
    <t>Abort</t>
  </si>
  <si>
    <t>A1</t>
  </si>
  <si>
    <t>Hold</t>
  </si>
  <si>
    <t>Zeiss - IN</t>
  </si>
  <si>
    <t>A2</t>
  </si>
  <si>
    <t>Resume</t>
  </si>
  <si>
    <t>A3</t>
  </si>
  <si>
    <t>Coolant</t>
  </si>
  <si>
    <t>A4</t>
  </si>
  <si>
    <t>SDA</t>
  </si>
  <si>
    <t>Arducam - SDA</t>
  </si>
  <si>
    <t>A5</t>
  </si>
  <si>
    <t>SCL</t>
  </si>
  <si>
    <t>Arducam - SCL</t>
  </si>
  <si>
    <t>AREF</t>
  </si>
  <si>
    <t>Analog Input</t>
  </si>
  <si>
    <t>Analog Reference</t>
  </si>
  <si>
    <t>GND</t>
  </si>
  <si>
    <t>Ground</t>
  </si>
  <si>
    <t>RESET</t>
  </si>
  <si>
    <t>Reset</t>
  </si>
  <si>
    <t>3.3V</t>
  </si>
  <si>
    <t>3.3V Output</t>
  </si>
  <si>
    <t>5V</t>
  </si>
  <si>
    <t>5V Output</t>
  </si>
  <si>
    <t>VIN</t>
  </si>
  <si>
    <t>Voltage Input</t>
  </si>
  <si>
    <t>https://www.amazon.com/ZYAMY-2-54mm-Standard-Circuit-Connection/dp/B077957RN7/</t>
  </si>
  <si>
    <t>Black Jumper Caps</t>
  </si>
  <si>
    <t>30 pcs</t>
  </si>
  <si>
    <t>https://www.aliexpress.com/item/1005005414075962.html</t>
  </si>
  <si>
    <t>Thermistor - NTC</t>
  </si>
  <si>
    <t>Silicon rubber  tube 1x2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</si>
</sst>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* #,##0.0_);_(&quot;$&quot;* \(#,##0.0\);_(&quot;$&quot;* &quot;-&quot;??_);_(@_)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b/>
      <sz val="10.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.5"/>
      <color theme="1"/>
      <name val="Calibri"/>
      <family val="2"/>
      <charset val="238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0" fontId="8" fillId="0" borderId="0"/>
  </cellStyleXfs>
  <cellXfs count="97">
    <xf numFmtId="0" fontId="0" fillId="0" borderId="0" xfId="0"/>
    <xf numFmtId="0" fontId="1" fillId="0" borderId="0" xfId="0" applyFont="1"/>
    <xf numFmtId="0" fontId="6" fillId="2" borderId="0" xfId="0" applyFont="1" applyFill="1"/>
    <xf numFmtId="0" fontId="4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1" xfId="0" applyBorder="1"/>
    <xf numFmtId="0" fontId="1" fillId="0" borderId="5" xfId="0" applyFont="1" applyBorder="1"/>
    <xf numFmtId="0" fontId="0" fillId="0" borderId="5" xfId="0" applyBorder="1"/>
    <xf numFmtId="0" fontId="1" fillId="0" borderId="4" xfId="0" applyFont="1" applyBorder="1"/>
    <xf numFmtId="0" fontId="0" fillId="2" borderId="0" xfId="0" applyFill="1" applyAlignment="1">
      <alignment wrapText="1"/>
    </xf>
    <xf numFmtId="0" fontId="0" fillId="0" borderId="7" xfId="0" applyBorder="1"/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4" fillId="0" borderId="12" xfId="0" applyFont="1" applyBorder="1" applyAlignment="1">
      <alignment horizontal="left" vertical="center" wrapText="1"/>
    </xf>
    <xf numFmtId="0" fontId="0" fillId="0" borderId="13" xfId="0" applyBorder="1" applyAlignment="1">
      <alignment wrapText="1"/>
    </xf>
    <xf numFmtId="0" fontId="0" fillId="3" borderId="15" xfId="0" applyFill="1" applyBorder="1" applyAlignment="1">
      <alignment wrapText="1"/>
    </xf>
    <xf numFmtId="0" fontId="0" fillId="4" borderId="16" xfId="0" applyFill="1" applyBorder="1" applyAlignment="1">
      <alignment wrapText="1"/>
    </xf>
    <xf numFmtId="0" fontId="4" fillId="0" borderId="17" xfId="0" applyFont="1" applyBorder="1" applyAlignment="1">
      <alignment horizontal="left" vertical="center" wrapText="1"/>
    </xf>
    <xf numFmtId="0" fontId="0" fillId="0" borderId="18" xfId="0" applyBorder="1" applyAlignment="1">
      <alignment wrapText="1"/>
    </xf>
    <xf numFmtId="0" fontId="0" fillId="3" borderId="20" xfId="0" applyFill="1" applyBorder="1" applyAlignment="1">
      <alignment wrapText="1"/>
    </xf>
    <xf numFmtId="0" fontId="0" fillId="4" borderId="21" xfId="0" applyFill="1" applyBorder="1" applyAlignment="1">
      <alignment wrapText="1"/>
    </xf>
    <xf numFmtId="0" fontId="4" fillId="0" borderId="22" xfId="0" applyFont="1" applyBorder="1" applyAlignment="1">
      <alignment horizontal="left" vertical="center" wrapText="1"/>
    </xf>
    <xf numFmtId="0" fontId="0" fillId="0" borderId="23" xfId="0" applyBorder="1" applyAlignment="1">
      <alignment wrapText="1"/>
    </xf>
    <xf numFmtId="0" fontId="0" fillId="3" borderId="25" xfId="0" applyFill="1" applyBorder="1" applyAlignment="1">
      <alignment wrapText="1"/>
    </xf>
    <xf numFmtId="0" fontId="0" fillId="4" borderId="26" xfId="0" applyFill="1" applyBorder="1" applyAlignment="1">
      <alignment wrapText="1"/>
    </xf>
    <xf numFmtId="0" fontId="3" fillId="3" borderId="28" xfId="1" applyFill="1" applyBorder="1"/>
    <xf numFmtId="0" fontId="3" fillId="3" borderId="29" xfId="1" applyFill="1" applyBorder="1"/>
    <xf numFmtId="0" fontId="3" fillId="3" borderId="30" xfId="1" applyFill="1" applyBorder="1"/>
    <xf numFmtId="0" fontId="3" fillId="4" borderId="28" xfId="1" applyFill="1" applyBorder="1"/>
    <xf numFmtId="0" fontId="3" fillId="4" borderId="29" xfId="1" applyFill="1" applyBorder="1"/>
    <xf numFmtId="0" fontId="0" fillId="4" borderId="29" xfId="0" applyFill="1" applyBorder="1" applyAlignment="1">
      <alignment horizontal="right"/>
    </xf>
    <xf numFmtId="0" fontId="3" fillId="4" borderId="30" xfId="1" applyFill="1" applyBorder="1"/>
    <xf numFmtId="0" fontId="1" fillId="0" borderId="11" xfId="0" applyFont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27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  <xf numFmtId="0" fontId="1" fillId="4" borderId="27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wrapText="1"/>
    </xf>
    <xf numFmtId="165" fontId="0" fillId="3" borderId="14" xfId="2" applyNumberFormat="1" applyFont="1" applyFill="1" applyBorder="1" applyAlignment="1">
      <alignment wrapText="1"/>
    </xf>
    <xf numFmtId="165" fontId="0" fillId="3" borderId="19" xfId="2" applyNumberFormat="1" applyFont="1" applyFill="1" applyBorder="1" applyAlignment="1">
      <alignment wrapText="1"/>
    </xf>
    <xf numFmtId="165" fontId="2" fillId="3" borderId="19" xfId="2" applyNumberFormat="1" applyFont="1" applyFill="1" applyBorder="1" applyAlignment="1">
      <alignment horizontal="right" vertical="center" wrapText="1"/>
    </xf>
    <xf numFmtId="165" fontId="0" fillId="3" borderId="24" xfId="2" applyNumberFormat="1" applyFont="1" applyFill="1" applyBorder="1" applyAlignment="1">
      <alignment wrapText="1"/>
    </xf>
    <xf numFmtId="165" fontId="0" fillId="4" borderId="14" xfId="2" applyNumberFormat="1" applyFont="1" applyFill="1" applyBorder="1" applyAlignment="1">
      <alignment wrapText="1"/>
    </xf>
    <xf numFmtId="165" fontId="0" fillId="4" borderId="19" xfId="2" applyNumberFormat="1" applyFont="1" applyFill="1" applyBorder="1" applyAlignment="1">
      <alignment wrapText="1"/>
    </xf>
    <xf numFmtId="165" fontId="0" fillId="4" borderId="19" xfId="2" applyNumberFormat="1" applyFont="1" applyFill="1" applyBorder="1" applyAlignment="1">
      <alignment horizontal="right" wrapText="1"/>
    </xf>
    <xf numFmtId="165" fontId="0" fillId="4" borderId="24" xfId="2" applyNumberFormat="1" applyFont="1" applyFill="1" applyBorder="1" applyAlignment="1">
      <alignment wrapText="1"/>
    </xf>
    <xf numFmtId="0" fontId="1" fillId="0" borderId="17" xfId="0" applyFont="1" applyBorder="1" applyAlignment="1">
      <alignment wrapText="1"/>
    </xf>
    <xf numFmtId="165" fontId="0" fillId="0" borderId="19" xfId="2" applyNumberFormat="1" applyFont="1" applyFill="1" applyBorder="1" applyAlignment="1">
      <alignment wrapText="1"/>
    </xf>
    <xf numFmtId="0" fontId="0" fillId="0" borderId="29" xfId="0" applyBorder="1"/>
    <xf numFmtId="0" fontId="0" fillId="0" borderId="20" xfId="0" applyBorder="1" applyAlignment="1">
      <alignment wrapText="1"/>
    </xf>
    <xf numFmtId="0" fontId="0" fillId="0" borderId="21" xfId="0" applyBorder="1" applyAlignment="1">
      <alignment wrapText="1"/>
    </xf>
    <xf numFmtId="0" fontId="3" fillId="0" borderId="29" xfId="1" applyFill="1" applyBorder="1"/>
    <xf numFmtId="0" fontId="0" fillId="0" borderId="35" xfId="0" applyBorder="1"/>
    <xf numFmtId="0" fontId="0" fillId="0" borderId="13" xfId="0" applyBorder="1"/>
    <xf numFmtId="164" fontId="0" fillId="0" borderId="13" xfId="2" applyFont="1" applyBorder="1"/>
    <xf numFmtId="0" fontId="0" fillId="0" borderId="18" xfId="0" applyBorder="1"/>
    <xf numFmtId="164" fontId="0" fillId="0" borderId="18" xfId="2" applyFont="1" applyBorder="1"/>
    <xf numFmtId="0" fontId="7" fillId="0" borderId="18" xfId="0" applyFont="1" applyBorder="1"/>
    <xf numFmtId="164" fontId="7" fillId="0" borderId="18" xfId="0" applyNumberFormat="1" applyFont="1" applyBorder="1"/>
    <xf numFmtId="0" fontId="7" fillId="0" borderId="36" xfId="0" applyFont="1" applyBorder="1"/>
    <xf numFmtId="164" fontId="7" fillId="0" borderId="36" xfId="0" applyNumberFormat="1" applyFont="1" applyBorder="1"/>
    <xf numFmtId="0" fontId="9" fillId="3" borderId="37" xfId="3" applyFont="1" applyFill="1" applyBorder="1"/>
    <xf numFmtId="0" fontId="9" fillId="3" borderId="38" xfId="3" applyFont="1" applyFill="1" applyBorder="1" applyAlignment="1">
      <alignment horizontal="left"/>
    </xf>
    <xf numFmtId="0" fontId="9" fillId="3" borderId="39" xfId="3" applyFont="1" applyFill="1" applyBorder="1" applyAlignment="1">
      <alignment horizontal="left"/>
    </xf>
    <xf numFmtId="0" fontId="9" fillId="4" borderId="38" xfId="3" applyFont="1" applyFill="1" applyBorder="1" applyAlignment="1">
      <alignment horizontal="left"/>
    </xf>
    <xf numFmtId="0" fontId="9" fillId="5" borderId="40" xfId="3" applyFont="1" applyFill="1" applyBorder="1" applyAlignment="1">
      <alignment horizontal="left"/>
    </xf>
    <xf numFmtId="0" fontId="10" fillId="0" borderId="0" xfId="3" applyFont="1"/>
    <xf numFmtId="0" fontId="11" fillId="3" borderId="41" xfId="3" applyFont="1" applyFill="1" applyBorder="1"/>
    <xf numFmtId="0" fontId="11" fillId="3" borderId="13" xfId="3" applyFont="1" applyFill="1" applyBorder="1" applyAlignment="1">
      <alignment horizontal="left"/>
    </xf>
    <xf numFmtId="0" fontId="11" fillId="3" borderId="14" xfId="3" applyFont="1" applyFill="1" applyBorder="1" applyAlignment="1">
      <alignment horizontal="left"/>
    </xf>
    <xf numFmtId="0" fontId="11" fillId="4" borderId="13" xfId="3" applyFont="1" applyFill="1" applyBorder="1" applyAlignment="1">
      <alignment horizontal="left"/>
    </xf>
    <xf numFmtId="0" fontId="8" fillId="5" borderId="16" xfId="3" applyFill="1" applyBorder="1" applyAlignment="1">
      <alignment horizontal="left"/>
    </xf>
    <xf numFmtId="0" fontId="8" fillId="0" borderId="0" xfId="3"/>
    <xf numFmtId="0" fontId="11" fillId="3" borderId="42" xfId="3" applyFont="1" applyFill="1" applyBorder="1"/>
    <xf numFmtId="0" fontId="11" fillId="3" borderId="18" xfId="3" applyFont="1" applyFill="1" applyBorder="1" applyAlignment="1">
      <alignment horizontal="left"/>
    </xf>
    <xf numFmtId="0" fontId="11" fillId="3" borderId="19" xfId="3" applyFont="1" applyFill="1" applyBorder="1" applyAlignment="1">
      <alignment horizontal="left"/>
    </xf>
    <xf numFmtId="0" fontId="11" fillId="4" borderId="18" xfId="3" applyFont="1" applyFill="1" applyBorder="1" applyAlignment="1">
      <alignment horizontal="left"/>
    </xf>
    <xf numFmtId="0" fontId="8" fillId="5" borderId="21" xfId="3" applyFill="1" applyBorder="1" applyAlignment="1">
      <alignment horizontal="left"/>
    </xf>
    <xf numFmtId="0" fontId="12" fillId="5" borderId="21" xfId="3" applyFont="1" applyFill="1" applyBorder="1" applyAlignment="1">
      <alignment horizontal="left"/>
    </xf>
    <xf numFmtId="0" fontId="8" fillId="4" borderId="18" xfId="3" applyFill="1" applyBorder="1" applyAlignment="1">
      <alignment horizontal="left"/>
    </xf>
    <xf numFmtId="0" fontId="8" fillId="3" borderId="19" xfId="3" applyFill="1" applyBorder="1" applyAlignment="1">
      <alignment horizontal="left"/>
    </xf>
    <xf numFmtId="0" fontId="8" fillId="3" borderId="42" xfId="3" applyFill="1" applyBorder="1" applyAlignment="1">
      <alignment horizontal="right"/>
    </xf>
    <xf numFmtId="0" fontId="11" fillId="3" borderId="42" xfId="3" applyFont="1" applyFill="1" applyBorder="1" applyAlignment="1">
      <alignment horizontal="right"/>
    </xf>
    <xf numFmtId="0" fontId="11" fillId="3" borderId="43" xfId="3" applyFont="1" applyFill="1" applyBorder="1" applyAlignment="1">
      <alignment horizontal="right"/>
    </xf>
    <xf numFmtId="0" fontId="11" fillId="3" borderId="23" xfId="3" applyFont="1" applyFill="1" applyBorder="1" applyAlignment="1">
      <alignment horizontal="left"/>
    </xf>
    <xf numFmtId="0" fontId="11" fillId="3" borderId="24" xfId="3" applyFont="1" applyFill="1" applyBorder="1" applyAlignment="1">
      <alignment horizontal="left"/>
    </xf>
    <xf numFmtId="0" fontId="11" fillId="4" borderId="23" xfId="3" applyFont="1" applyFill="1" applyBorder="1" applyAlignment="1">
      <alignment horizontal="left"/>
    </xf>
    <xf numFmtId="0" fontId="8" fillId="5" borderId="26" xfId="3" applyFill="1" applyBorder="1" applyAlignment="1">
      <alignment horizontal="left"/>
    </xf>
    <xf numFmtId="0" fontId="11" fillId="0" borderId="0" xfId="3" applyFont="1"/>
    <xf numFmtId="0" fontId="1" fillId="4" borderId="31" xfId="0" applyFont="1" applyFill="1" applyBorder="1" applyAlignment="1">
      <alignment horizontal="center" wrapText="1"/>
    </xf>
    <xf numFmtId="0" fontId="1" fillId="4" borderId="32" xfId="0" applyFont="1" applyFill="1" applyBorder="1" applyAlignment="1">
      <alignment horizontal="center" wrapText="1"/>
    </xf>
    <xf numFmtId="0" fontId="1" fillId="4" borderId="34" xfId="0" applyFont="1" applyFill="1" applyBorder="1" applyAlignment="1">
      <alignment horizontal="center" wrapText="1"/>
    </xf>
    <xf numFmtId="0" fontId="1" fillId="3" borderId="31" xfId="0" applyFont="1" applyFill="1" applyBorder="1" applyAlignment="1">
      <alignment horizontal="center" wrapText="1"/>
    </xf>
    <xf numFmtId="0" fontId="1" fillId="3" borderId="32" xfId="0" applyFont="1" applyFill="1" applyBorder="1" applyAlignment="1">
      <alignment horizontal="center" wrapText="1"/>
    </xf>
    <xf numFmtId="0" fontId="1" fillId="3" borderId="33" xfId="0" applyFont="1" applyFill="1" applyBorder="1" applyAlignment="1">
      <alignment horizontal="center" wrapText="1"/>
    </xf>
  </cellXfs>
  <cellStyles count="4">
    <cellStyle name="Hypertextový odkaz" xfId="1" builtinId="8"/>
    <cellStyle name="Měna" xfId="2" builtinId="4"/>
    <cellStyle name="Normální" xfId="0" builtinId="0"/>
    <cellStyle name="Normální 2" xfId="3" xr:uid="{ABE24306-8D28-476B-B429-EF6F8AAC76D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708024</xdr:colOff>
      <xdr:row>0</xdr:row>
      <xdr:rowOff>190500</xdr:rowOff>
    </xdr:from>
    <xdr:to>
      <xdr:col>10</xdr:col>
      <xdr:colOff>537799</xdr:colOff>
      <xdr:row>18</xdr:row>
      <xdr:rowOff>28575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F1F24E73-289E-4673-AABC-5BE437E6EF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61399" y="190500"/>
          <a:ext cx="4020775" cy="3438525"/>
        </a:xfrm>
        <a:prstGeom prst="rect">
          <a:avLst/>
        </a:prstGeom>
      </xdr:spPr>
    </xdr:pic>
    <xdr:clientData/>
  </xdr:twoCellAnchor>
  <xdr:twoCellAnchor editAs="oneCell">
    <xdr:from>
      <xdr:col>5</xdr:col>
      <xdr:colOff>384175</xdr:colOff>
      <xdr:row>18</xdr:row>
      <xdr:rowOff>193675</xdr:rowOff>
    </xdr:from>
    <xdr:to>
      <xdr:col>13</xdr:col>
      <xdr:colOff>434975</xdr:colOff>
      <xdr:row>51</xdr:row>
      <xdr:rowOff>133350</xdr:rowOff>
    </xdr:to>
    <xdr:pic>
      <xdr:nvPicPr>
        <xdr:cNvPr id="3" name="Obrázek 2">
          <a:extLst>
            <a:ext uri="{FF2B5EF4-FFF2-40B4-BE49-F238E27FC236}">
              <a16:creationId xmlns:a16="http://schemas.microsoft.com/office/drawing/2014/main" id="{3A60BADE-9CFD-438B-97B5-D245CFC8BD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37550" y="3794125"/>
          <a:ext cx="6756400" cy="655002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Ondrej Svoboda" id="{0B199B96-282F-44F5-ACAC-D512AE683ED1}" userId="S::osvoboda@img.cas.cz::384012ac-9dc3-482b-8b70-1c6020bb9a1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3" dT="2024-03-21T12:48:00.16" personId="{0B199B96-282F-44F5-ACAC-D512AE683ED1}" id="{347F1B6F-916D-46A5-BBDF-E459439CE371}">
    <text>Valid on 21.3.2024</text>
  </threadedComment>
  <threadedComment ref="H3" dT="2024-03-21T12:48:18.47" personId="{0B199B96-282F-44F5-ACAC-D512AE683ED1}" id="{38103908-ADF8-49FA-A607-55D1B30C2D9E}">
    <text>Valid on 21.3.2024</text>
  </threadedComment>
  <threadedComment ref="C28" dT="2024-03-21T16:48:21.17" personId="{0B199B96-282F-44F5-ACAC-D512AE683ED1}" id="{4EB2F827-3225-44FC-A21A-D97BB402BBDD}">
    <text>https://huiskenlab.com/sample-mounting/</text>
    <extLst>
      <x:ext xmlns:xltc2="http://schemas.microsoft.com/office/spreadsheetml/2020/threadedcomments2" uri="{F7C98A9C-CBB3-438F-8F68-D28B6AF4A901}">
        <xltc2:checksum>310792420</xltc2:checksum>
        <xltc2:hyperlink startIndex="0" length="39" url="https://huiskenlab.com/sample-mounting/"/>
      </x:ext>
    </extLst>
  </threadedComment>
  <threadedComment ref="E33" dT="2024-03-22T12:43:09.52" personId="{0B199B96-282F-44F5-ACAC-D512AE683ED1}" id="{8C24B3C2-E4D9-49A0-8518-62AD0CF3F5E4}">
    <text>See above</text>
  </threadedComment>
</ThreadedComments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liexpress.com/item/32999887844.html" TargetMode="External"/><Relationship Id="rId21" Type="http://schemas.openxmlformats.org/officeDocument/2006/relationships/hyperlink" Target="https://www.aliexpress.com/item/1005006127462938.html" TargetMode="External"/><Relationship Id="rId42" Type="http://schemas.openxmlformats.org/officeDocument/2006/relationships/hyperlink" Target="https://www.aliexpress.com/item/1005003923351753.html" TargetMode="External"/><Relationship Id="rId47" Type="http://schemas.openxmlformats.org/officeDocument/2006/relationships/hyperlink" Target="https://www.aliexpress.com/item/1005002285099311.html" TargetMode="External"/><Relationship Id="rId63" Type="http://schemas.openxmlformats.org/officeDocument/2006/relationships/hyperlink" Target="https://www.amazon.com/Screwdriver-Precision-Electronics-Eyeglasses-tasainu/dp/B0BQFG32DV/" TargetMode="External"/><Relationship Id="rId68" Type="http://schemas.openxmlformats.org/officeDocument/2006/relationships/hyperlink" Target="https://www.amazon.com/SUNLU-Filament-Transparent-Dimensional-Accuracy/dp/B07ZNG4L9P/" TargetMode="External"/><Relationship Id="rId16" Type="http://schemas.openxmlformats.org/officeDocument/2006/relationships/hyperlink" Target="https://www.aliexpress.com/item/1005006259158854.html" TargetMode="External"/><Relationship Id="rId11" Type="http://schemas.openxmlformats.org/officeDocument/2006/relationships/hyperlink" Target="https://www.aliexpress.com/item/1005005074685168.html" TargetMode="External"/><Relationship Id="rId24" Type="http://schemas.openxmlformats.org/officeDocument/2006/relationships/hyperlink" Target="https://www.alibaba.com/product-detail/Small-size-clear-FEP-tube-and_62201607168.html" TargetMode="External"/><Relationship Id="rId32" Type="http://schemas.openxmlformats.org/officeDocument/2006/relationships/hyperlink" Target="https://www.aliexpress.com/item/32781681772.html" TargetMode="External"/><Relationship Id="rId37" Type="http://schemas.openxmlformats.org/officeDocument/2006/relationships/hyperlink" Target="https://www.amazon.com/Electrical-Terminals-Connectors-0-5-2-5mm2-Inflaming/dp/B078S6SMQ2/" TargetMode="External"/><Relationship Id="rId40" Type="http://schemas.openxmlformats.org/officeDocument/2006/relationships/hyperlink" Target="https://www.amazon.com/Microscope-Cover-Glass-24x40mm-thickness/dp/B00CD80JI0/" TargetMode="External"/><Relationship Id="rId45" Type="http://schemas.openxmlformats.org/officeDocument/2006/relationships/hyperlink" Target="https://www.aliexpress.com/item/32921042288.html" TargetMode="External"/><Relationship Id="rId53" Type="http://schemas.openxmlformats.org/officeDocument/2006/relationships/hyperlink" Target="https://www.aliexpress.com/item/1005006127479576.html" TargetMode="External"/><Relationship Id="rId58" Type="http://schemas.openxmlformats.org/officeDocument/2006/relationships/hyperlink" Target="https://www.aliexpress.com/item/1005006440382823.html" TargetMode="External"/><Relationship Id="rId66" Type="http://schemas.openxmlformats.org/officeDocument/2006/relationships/hyperlink" Target="https://www.amazon.com/Gikfun-Solderless-Prototype-Breadboard-Arduino/dp/B0146MGBWI/" TargetMode="External"/><Relationship Id="rId74" Type="http://schemas.openxmlformats.org/officeDocument/2006/relationships/printerSettings" Target="../printerSettings/printerSettings1.bin"/><Relationship Id="rId5" Type="http://schemas.openxmlformats.org/officeDocument/2006/relationships/hyperlink" Target="https://www.amazon.com/Arducam-Module-Camera-Arduino-Mega2560/dp/B013JUKZ48/" TargetMode="External"/><Relationship Id="rId61" Type="http://schemas.openxmlformats.org/officeDocument/2006/relationships/hyperlink" Target="https://www.aliexpress.com/item/1000007480470.html" TargetMode="External"/><Relationship Id="rId19" Type="http://schemas.openxmlformats.org/officeDocument/2006/relationships/hyperlink" Target="https://www.amazon.com/EDGELEC-Resistor-Tolerance-Resistance-Optional/dp/B07HDFLWNB" TargetMode="External"/><Relationship Id="rId14" Type="http://schemas.openxmlformats.org/officeDocument/2006/relationships/hyperlink" Target="https://www.aliexpress.com/item/1005002882657685.html" TargetMode="External"/><Relationship Id="rId22" Type="http://schemas.openxmlformats.org/officeDocument/2006/relationships/hyperlink" Target="https://www.ebay.com/itm/255345211017" TargetMode="External"/><Relationship Id="rId27" Type="http://schemas.openxmlformats.org/officeDocument/2006/relationships/hyperlink" Target="https://www.amazon.com/Quickun-Silicone-Brewing-Kegerator-Aquaponics/dp/B08JQQ68R7/" TargetMode="External"/><Relationship Id="rId30" Type="http://schemas.openxmlformats.org/officeDocument/2006/relationships/hyperlink" Target="https://www.amazon.com/HJ-Garden-Aluminium-Synchronous-Mechanical/dp/B07LGTSYQ5/" TargetMode="External"/><Relationship Id="rId35" Type="http://schemas.openxmlformats.org/officeDocument/2006/relationships/hyperlink" Target="https://www.amazon.com/100mm-Miniature-Bearing-Linear-Motion/dp/B07MR1S43Z/" TargetMode="External"/><Relationship Id="rId43" Type="http://schemas.openxmlformats.org/officeDocument/2006/relationships/hyperlink" Target="https://www.allworldmachinery.com/itemdetail/?itemCode=NBU-15%20%2830CC%20SYRINGE%29" TargetMode="External"/><Relationship Id="rId48" Type="http://schemas.openxmlformats.org/officeDocument/2006/relationships/hyperlink" Target="https://www.amazon.com/Magnets-Refrigerator-Neodymium-Whiteboard-Kitchen/dp/B0CCXY6WBR/" TargetMode="External"/><Relationship Id="rId56" Type="http://schemas.openxmlformats.org/officeDocument/2006/relationships/hyperlink" Target="https://www.ebay.com/itm/224381797069" TargetMode="External"/><Relationship Id="rId64" Type="http://schemas.openxmlformats.org/officeDocument/2006/relationships/hyperlink" Target="https://www.prusa3d.com/en/category/pla/" TargetMode="External"/><Relationship Id="rId69" Type="http://schemas.openxmlformats.org/officeDocument/2006/relationships/hyperlink" Target="https://www.aliexpress.com/item/1005005171730265.html" TargetMode="External"/><Relationship Id="rId77" Type="http://schemas.microsoft.com/office/2017/10/relationships/threadedComment" Target="../threadedComments/threadedComment1.xml"/><Relationship Id="rId8" Type="http://schemas.openxmlformats.org/officeDocument/2006/relationships/hyperlink" Target="https://www.aliexpress.com/item/1005002756457153.html" TargetMode="External"/><Relationship Id="rId51" Type="http://schemas.openxmlformats.org/officeDocument/2006/relationships/hyperlink" Target="https://www.amazon.com/43x2pcs-Connector-Security-Surveillance-MILAPEAK/dp/B07CWQPPTW/" TargetMode="External"/><Relationship Id="rId72" Type="http://schemas.openxmlformats.org/officeDocument/2006/relationships/hyperlink" Target="https://www.amazon.com/ZYAMY-2-54mm-Standard-Circuit-Connection/dp/B077957RN7/" TargetMode="External"/><Relationship Id="rId3" Type="http://schemas.openxmlformats.org/officeDocument/2006/relationships/hyperlink" Target="https://www.amazon.com/Teyleten-Robot-Printer-DRV8825-StepStick/dp/B0CP92T4QR/" TargetMode="External"/><Relationship Id="rId12" Type="http://schemas.openxmlformats.org/officeDocument/2006/relationships/hyperlink" Target="https://www.amazon.com/HiLetgo-TEC1-12706-Semiconductor-Refrigeration-Thermoelectric/dp/B00M1PM7H6/" TargetMode="External"/><Relationship Id="rId17" Type="http://schemas.openxmlformats.org/officeDocument/2006/relationships/hyperlink" Target="https://www.aliexpress.com/item/1005005669886834.html" TargetMode="External"/><Relationship Id="rId25" Type="http://schemas.openxmlformats.org/officeDocument/2006/relationships/hyperlink" Target="https://www.proliquid.de/index.php?Schlauchfinder" TargetMode="External"/><Relationship Id="rId33" Type="http://schemas.openxmlformats.org/officeDocument/2006/relationships/hyperlink" Target="https://www.amazon.com/SIMAX3D-Alumium-20teeth-3D-Printer/dp/B07TZZ2YCS/" TargetMode="External"/><Relationship Id="rId38" Type="http://schemas.openxmlformats.org/officeDocument/2006/relationships/hyperlink" Target="https://www.aliexpress.com/item/10000139502321.html" TargetMode="External"/><Relationship Id="rId46" Type="http://schemas.openxmlformats.org/officeDocument/2006/relationships/hyperlink" Target="https://www.amazon.com/Alex-Tech-10ft-Protector-Sleeving/dp/B07FW3GTXB/" TargetMode="External"/><Relationship Id="rId59" Type="http://schemas.openxmlformats.org/officeDocument/2006/relationships/hyperlink" Target="https://www.aliexpress.com/item/32977835401.html" TargetMode="External"/><Relationship Id="rId67" Type="http://schemas.openxmlformats.org/officeDocument/2006/relationships/hyperlink" Target="https://www.amazon.com/PRUSA-ORIGINAL-MINI-Semi-Assembled/dp/B0933LV2JW/" TargetMode="External"/><Relationship Id="rId20" Type="http://schemas.openxmlformats.org/officeDocument/2006/relationships/hyperlink" Target="https://www.amazon.com/EDGELEC-Resistor-Tolerance-Resistance-Optional/dp/B07HDFLWNB" TargetMode="External"/><Relationship Id="rId41" Type="http://schemas.openxmlformats.org/officeDocument/2006/relationships/hyperlink" Target="https://www.amazon.com/Krytox-GPL-205-GD0-Lubricant-GPL-205-Mechanical-Stabilizers/dp/B0CQV2TXLB/" TargetMode="External"/><Relationship Id="rId54" Type="http://schemas.openxmlformats.org/officeDocument/2006/relationships/hyperlink" Target="https://www.aliexpress.com/item/1005005235755503.html" TargetMode="External"/><Relationship Id="rId62" Type="http://schemas.openxmlformats.org/officeDocument/2006/relationships/hyperlink" Target="https://www.amazon.com/dp/B0BX44TF3R/" TargetMode="External"/><Relationship Id="rId70" Type="http://schemas.openxmlformats.org/officeDocument/2006/relationships/hyperlink" Target="https://www.aliexpress.com/item/4000432467039.html" TargetMode="External"/><Relationship Id="rId75" Type="http://schemas.openxmlformats.org/officeDocument/2006/relationships/vmlDrawing" Target="../drawings/vmlDrawing1.vml"/><Relationship Id="rId1" Type="http://schemas.openxmlformats.org/officeDocument/2006/relationships/hyperlink" Target="https://www.amazon.com/Arduino-A000066-ARDUINO-UNO-R3/dp/B008GRTSV6" TargetMode="External"/><Relationship Id="rId6" Type="http://schemas.openxmlformats.org/officeDocument/2006/relationships/hyperlink" Target="https://www.alibaba.com/product-detail/ARDUCAM-5MP-PLUS-OV5642-MINI-CAM_1600630833583.html" TargetMode="External"/><Relationship Id="rId15" Type="http://schemas.openxmlformats.org/officeDocument/2006/relationships/hyperlink" Target="https://www.amazon.com/HiLetgo-Single-Joint-Potentiometer-Variable-Resistors/dp/B00MCK7JMS/" TargetMode="External"/><Relationship Id="rId23" Type="http://schemas.openxmlformats.org/officeDocument/2006/relationships/hyperlink" Target="https://www.ebay.com/itm/315179700963" TargetMode="External"/><Relationship Id="rId28" Type="http://schemas.openxmlformats.org/officeDocument/2006/relationships/hyperlink" Target="https://www.bola.de/en/tubing-bola?c=179" TargetMode="External"/><Relationship Id="rId36" Type="http://schemas.openxmlformats.org/officeDocument/2006/relationships/hyperlink" Target="https://www.aliexpress.com/item/1005005940788522.html" TargetMode="External"/><Relationship Id="rId49" Type="http://schemas.openxmlformats.org/officeDocument/2006/relationships/hyperlink" Target="https://www.aliexpress.com/item/1005004599068177.html" TargetMode="External"/><Relationship Id="rId57" Type="http://schemas.openxmlformats.org/officeDocument/2006/relationships/hyperlink" Target="https://www.amazon.com/ONiLAB-Pipette-Scientific-Disposable-Pipettes/dp/B0B1QB53F8/" TargetMode="External"/><Relationship Id="rId10" Type="http://schemas.openxmlformats.org/officeDocument/2006/relationships/hyperlink" Target="https://www.amazon.com/Printer-17HS2408-Stepper-Certification-4-Lead/dp/B098L2R5M4/" TargetMode="External"/><Relationship Id="rId31" Type="http://schemas.openxmlformats.org/officeDocument/2006/relationships/hyperlink" Target="https://www.aliexpress.com/item/32890073873.html" TargetMode="External"/><Relationship Id="rId44" Type="http://schemas.openxmlformats.org/officeDocument/2006/relationships/hyperlink" Target="https://www.alibaba.com/product-detail/Medical-Micro-18x18-20x20-22x22-24x24_1600166160763.html" TargetMode="External"/><Relationship Id="rId52" Type="http://schemas.openxmlformats.org/officeDocument/2006/relationships/hyperlink" Target="https://www.amazon.com/43x2pcs-Connector-Security-Surveillance-MILAPEAK/dp/B07CWQPPTW/" TargetMode="External"/><Relationship Id="rId60" Type="http://schemas.openxmlformats.org/officeDocument/2006/relationships/hyperlink" Target="https://www.aliexpress.com/item/1005003241995713.html" TargetMode="External"/><Relationship Id="rId65" Type="http://schemas.openxmlformats.org/officeDocument/2006/relationships/hyperlink" Target="https://www.prusa3d.com/en/product/original-prusa-mini-semi-assembled-3d-printer-4/" TargetMode="External"/><Relationship Id="rId73" Type="http://schemas.openxmlformats.org/officeDocument/2006/relationships/hyperlink" Target="https://www.aliexpress.com/item/1005005414075962.html" TargetMode="External"/><Relationship Id="rId4" Type="http://schemas.openxmlformats.org/officeDocument/2006/relationships/hyperlink" Target="https://www.amazon.com/WWZMDiB-CNC-Shield-V3-Engraving/dp/B0BQDW1H8Z/" TargetMode="External"/><Relationship Id="rId9" Type="http://schemas.openxmlformats.org/officeDocument/2006/relationships/hyperlink" Target="https://www.aliexpress.com/item/1005006133851072.html" TargetMode="External"/><Relationship Id="rId13" Type="http://schemas.openxmlformats.org/officeDocument/2006/relationships/hyperlink" Target="https://www.aliexpress.com/item/1005006080475551.html" TargetMode="External"/><Relationship Id="rId18" Type="http://schemas.openxmlformats.org/officeDocument/2006/relationships/hyperlink" Target="https://www.aliexpress.com/item/1005005669886834.html" TargetMode="External"/><Relationship Id="rId39" Type="http://schemas.openxmlformats.org/officeDocument/2006/relationships/hyperlink" Target="https://www.amazon.com/Ochoos-Stainless-DIN912-Hexagon-Socket/dp/B07R68NQYP/" TargetMode="External"/><Relationship Id="rId34" Type="http://schemas.openxmlformats.org/officeDocument/2006/relationships/hyperlink" Target="https://www.amazon.com/Power-Supply12Volt-Adapter-Connectivity-Devices/dp/B0BMPYVBDT/" TargetMode="External"/><Relationship Id="rId50" Type="http://schemas.openxmlformats.org/officeDocument/2006/relationships/hyperlink" Target="https://www.aliexpress.com/item/1005005601514426.html" TargetMode="External"/><Relationship Id="rId55" Type="http://schemas.openxmlformats.org/officeDocument/2006/relationships/hyperlink" Target="https://www.amazon.com/Solderless-Multicolor-Electronic-Breadboard-Protoboard/dp/B09FPJ9TSP/" TargetMode="External"/><Relationship Id="rId76" Type="http://schemas.openxmlformats.org/officeDocument/2006/relationships/comments" Target="../comments1.xml"/><Relationship Id="rId7" Type="http://schemas.openxmlformats.org/officeDocument/2006/relationships/hyperlink" Target="https://www.aliexpress.com/item/32967974360.html" TargetMode="External"/><Relationship Id="rId71" Type="http://schemas.openxmlformats.org/officeDocument/2006/relationships/hyperlink" Target="https://www.aliexpress.com/item/1005005449368419.html" TargetMode="External"/><Relationship Id="rId2" Type="http://schemas.openxmlformats.org/officeDocument/2006/relationships/hyperlink" Target="https://www.aliexpress.us/item/3256805071306083.html" TargetMode="External"/><Relationship Id="rId29" Type="http://schemas.openxmlformats.org/officeDocument/2006/relationships/hyperlink" Target="https://www.amazon.com/WINSINN-Aluminum-Synchronous-Timing-Printer/dp/B077GMR328/r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50"/>
  <sheetViews>
    <sheetView tabSelected="1" zoomScale="93" zoomScaleNormal="93" workbookViewId="0">
      <selection activeCell="C30" sqref="C30"/>
    </sheetView>
  </sheetViews>
  <sheetFormatPr defaultRowHeight="15" x14ac:dyDescent="0.25"/>
  <cols>
    <col min="1" max="1" width="3.85546875" customWidth="1"/>
    <col min="2" max="2" width="11.28515625" bestFit="1" customWidth="1"/>
    <col min="3" max="3" width="50.85546875" style="4" customWidth="1"/>
    <col min="4" max="4" width="9.85546875" style="4" bestFit="1" customWidth="1"/>
    <col min="5" max="5" width="9.140625" style="4"/>
    <col min="6" max="6" width="14.85546875" customWidth="1"/>
    <col min="7" max="7" width="9.7109375" style="4" bestFit="1" customWidth="1"/>
    <col min="8" max="8" width="10.85546875" style="4" bestFit="1" customWidth="1"/>
    <col min="9" max="9" width="17.42578125" customWidth="1"/>
    <col min="10" max="10" width="18.42578125" style="4" customWidth="1"/>
    <col min="12" max="12" width="24.85546875" bestFit="1" customWidth="1"/>
    <col min="13" max="13" width="12.28515625" customWidth="1"/>
  </cols>
  <sheetData>
    <row r="1" spans="2:14" ht="15.75" thickBot="1" x14ac:dyDescent="0.3"/>
    <row r="2" spans="2:14" x14ac:dyDescent="0.25">
      <c r="B2" s="5"/>
      <c r="C2" s="11"/>
      <c r="D2" s="13"/>
      <c r="E2" s="94" t="s">
        <v>142</v>
      </c>
      <c r="F2" s="95"/>
      <c r="G2" s="96"/>
      <c r="H2" s="91" t="s">
        <v>143</v>
      </c>
      <c r="I2" s="92"/>
      <c r="J2" s="93"/>
    </row>
    <row r="3" spans="2:14" x14ac:dyDescent="0.25">
      <c r="B3" s="10"/>
      <c r="C3" s="12" t="s">
        <v>0</v>
      </c>
      <c r="D3" s="33" t="s">
        <v>138</v>
      </c>
      <c r="E3" s="34" t="s">
        <v>140</v>
      </c>
      <c r="F3" s="35" t="s">
        <v>141</v>
      </c>
      <c r="G3" s="36" t="s">
        <v>27</v>
      </c>
      <c r="H3" s="37" t="s">
        <v>140</v>
      </c>
      <c r="I3" s="38" t="s">
        <v>141</v>
      </c>
      <c r="J3" s="39" t="s">
        <v>27</v>
      </c>
    </row>
    <row r="4" spans="2:14" x14ac:dyDescent="0.25">
      <c r="B4" s="6" t="s">
        <v>1</v>
      </c>
      <c r="C4" s="14" t="s">
        <v>7</v>
      </c>
      <c r="D4" s="15">
        <v>1</v>
      </c>
      <c r="E4" s="40">
        <f>D4*27.6</f>
        <v>27.6</v>
      </c>
      <c r="F4" s="26" t="s">
        <v>9</v>
      </c>
      <c r="G4" s="16" t="s">
        <v>29</v>
      </c>
      <c r="H4" s="44">
        <f>D4*26.71</f>
        <v>26.71</v>
      </c>
      <c r="I4" s="29" t="s">
        <v>8</v>
      </c>
      <c r="J4" s="17" t="s">
        <v>29</v>
      </c>
    </row>
    <row r="5" spans="2:14" x14ac:dyDescent="0.25">
      <c r="B5" s="6"/>
      <c r="C5" s="18" t="s">
        <v>6</v>
      </c>
      <c r="D5" s="19">
        <v>1</v>
      </c>
      <c r="E5" s="41">
        <f>D5*39.99</f>
        <v>39.99</v>
      </c>
      <c r="F5" s="27" t="s">
        <v>10</v>
      </c>
      <c r="G5" s="20" t="s">
        <v>29</v>
      </c>
      <c r="H5" s="45">
        <f>D5*63</f>
        <v>63</v>
      </c>
      <c r="I5" s="30" t="s">
        <v>11</v>
      </c>
      <c r="J5" s="21" t="s">
        <v>29</v>
      </c>
    </row>
    <row r="6" spans="2:14" x14ac:dyDescent="0.25">
      <c r="B6" s="6"/>
      <c r="C6" s="18" t="s">
        <v>12</v>
      </c>
      <c r="D6" s="19">
        <v>1</v>
      </c>
      <c r="E6" s="41">
        <f>D6*4.47</f>
        <v>4.47</v>
      </c>
      <c r="F6" s="27" t="s">
        <v>44</v>
      </c>
      <c r="G6" s="20" t="s">
        <v>29</v>
      </c>
      <c r="H6" s="45">
        <f>D6*0.52</f>
        <v>0.52</v>
      </c>
      <c r="I6" s="30" t="s">
        <v>13</v>
      </c>
      <c r="J6" s="21" t="s">
        <v>29</v>
      </c>
      <c r="L6" s="54"/>
      <c r="M6" s="54" t="s">
        <v>142</v>
      </c>
      <c r="N6" s="54" t="s">
        <v>143</v>
      </c>
    </row>
    <row r="7" spans="2:14" x14ac:dyDescent="0.25">
      <c r="B7" s="6"/>
      <c r="C7" s="18" t="s">
        <v>16</v>
      </c>
      <c r="D7" s="19">
        <v>1</v>
      </c>
      <c r="E7" s="41">
        <f>D7*7.99</f>
        <v>7.99</v>
      </c>
      <c r="F7" s="27" t="s">
        <v>14</v>
      </c>
      <c r="G7" s="20" t="s">
        <v>29</v>
      </c>
      <c r="H7" s="45">
        <f>D7*2.41</f>
        <v>2.41</v>
      </c>
      <c r="I7" s="30" t="s">
        <v>15</v>
      </c>
      <c r="J7" s="21" t="s">
        <v>29</v>
      </c>
      <c r="L7" s="55" t="str">
        <f>B4</f>
        <v>Electronics</v>
      </c>
      <c r="M7" s="56">
        <f>SUM(E4:E16)</f>
        <v>175.1</v>
      </c>
      <c r="N7" s="56">
        <f>SUM(H4:H16)</f>
        <v>128.44999999999999</v>
      </c>
    </row>
    <row r="8" spans="2:14" x14ac:dyDescent="0.25">
      <c r="B8" s="6"/>
      <c r="C8" s="18" t="s">
        <v>18</v>
      </c>
      <c r="D8" s="19">
        <v>2</v>
      </c>
      <c r="E8" s="42">
        <f>9.99*D8</f>
        <v>19.98</v>
      </c>
      <c r="F8" s="27" t="s">
        <v>17</v>
      </c>
      <c r="G8" s="20" t="s">
        <v>29</v>
      </c>
      <c r="H8" s="45">
        <f>D8*1.88</f>
        <v>3.76</v>
      </c>
      <c r="I8" s="30" t="s">
        <v>19</v>
      </c>
      <c r="J8" s="21" t="s">
        <v>29</v>
      </c>
      <c r="L8" s="57" t="str">
        <f>B18</f>
        <v>Accessories</v>
      </c>
      <c r="M8" s="58">
        <f>SUM(E18:E30)</f>
        <v>222.4</v>
      </c>
      <c r="N8" s="58">
        <f>SUM(H18:H30)</f>
        <v>62.18</v>
      </c>
    </row>
    <row r="9" spans="2:14" x14ac:dyDescent="0.25">
      <c r="B9" s="6"/>
      <c r="C9" s="18" t="s">
        <v>20</v>
      </c>
      <c r="D9" s="19">
        <v>2</v>
      </c>
      <c r="E9" s="41">
        <f>D9*16.93</f>
        <v>33.86</v>
      </c>
      <c r="F9" s="27" t="s">
        <v>21</v>
      </c>
      <c r="G9" s="20" t="s">
        <v>29</v>
      </c>
      <c r="H9" s="45">
        <f>D9*9.16</f>
        <v>18.32</v>
      </c>
      <c r="I9" s="30" t="s">
        <v>22</v>
      </c>
      <c r="J9" s="21" t="s">
        <v>29</v>
      </c>
      <c r="L9" s="57" t="s">
        <v>4</v>
      </c>
      <c r="M9" s="58">
        <f>SUM(E32:E37)</f>
        <v>57.239999999999995</v>
      </c>
      <c r="N9" s="58">
        <f>SUM(H32:H37)</f>
        <v>28.62</v>
      </c>
    </row>
    <row r="10" spans="2:14" x14ac:dyDescent="0.25">
      <c r="B10" s="6"/>
      <c r="C10" s="18" t="s">
        <v>23</v>
      </c>
      <c r="D10" s="19">
        <v>1</v>
      </c>
      <c r="E10" s="41">
        <f>D10*9.79</f>
        <v>9.7899999999999991</v>
      </c>
      <c r="F10" s="27" t="s">
        <v>25</v>
      </c>
      <c r="G10" s="20" t="s">
        <v>29</v>
      </c>
      <c r="H10" s="45">
        <f>D10*3.23</f>
        <v>3.23</v>
      </c>
      <c r="I10" s="30" t="s">
        <v>24</v>
      </c>
      <c r="J10" s="21" t="s">
        <v>29</v>
      </c>
      <c r="L10" s="57" t="s">
        <v>144</v>
      </c>
      <c r="M10" s="58">
        <f>SUM(E40:E41)</f>
        <v>627.84</v>
      </c>
      <c r="N10" s="58">
        <f>SUM(H40:H41)</f>
        <v>696.8</v>
      </c>
    </row>
    <row r="11" spans="2:14" x14ac:dyDescent="0.25">
      <c r="B11" s="6"/>
      <c r="C11" s="18" t="s">
        <v>26</v>
      </c>
      <c r="D11" s="19">
        <v>1</v>
      </c>
      <c r="E11" s="41">
        <f>D11*2.39</f>
        <v>2.39</v>
      </c>
      <c r="F11" s="27" t="s">
        <v>43</v>
      </c>
      <c r="G11" s="20" t="s">
        <v>29</v>
      </c>
      <c r="H11" s="45">
        <v>0.36</v>
      </c>
      <c r="I11" s="30" t="s">
        <v>30</v>
      </c>
      <c r="J11" s="21" t="s">
        <v>29</v>
      </c>
      <c r="L11" s="57" t="s">
        <v>139</v>
      </c>
      <c r="M11" s="58">
        <f>SUM(E41)</f>
        <v>115.84</v>
      </c>
      <c r="N11" s="58">
        <f>SUM(H41)</f>
        <v>47.8</v>
      </c>
    </row>
    <row r="12" spans="2:14" x14ac:dyDescent="0.25">
      <c r="B12" s="6"/>
      <c r="C12" s="18" t="s">
        <v>38</v>
      </c>
      <c r="D12" s="19">
        <v>1</v>
      </c>
      <c r="E12" s="41">
        <f>D12*5.49</f>
        <v>5.49</v>
      </c>
      <c r="F12" s="27" t="s">
        <v>37</v>
      </c>
      <c r="G12" s="20" t="s">
        <v>36</v>
      </c>
      <c r="H12" s="45">
        <f>D12*1.53</f>
        <v>1.53</v>
      </c>
      <c r="I12" s="30" t="s">
        <v>35</v>
      </c>
      <c r="J12" s="21" t="s">
        <v>36</v>
      </c>
      <c r="L12" s="57" t="str">
        <f>B43</f>
        <v>Tools</v>
      </c>
      <c r="M12" s="58">
        <f>SUM(E43:E46)</f>
        <v>69.760000000000005</v>
      </c>
      <c r="N12" s="58">
        <f>SUM(H43:H46)</f>
        <v>30.2</v>
      </c>
    </row>
    <row r="13" spans="2:14" x14ac:dyDescent="0.25">
      <c r="B13" s="6"/>
      <c r="C13" s="18" t="s">
        <v>39</v>
      </c>
      <c r="D13" s="19">
        <v>1</v>
      </c>
      <c r="E13" s="41">
        <f>D13*5.49</f>
        <v>5.49</v>
      </c>
      <c r="F13" s="27" t="s">
        <v>37</v>
      </c>
      <c r="G13" s="20" t="s">
        <v>36</v>
      </c>
      <c r="H13" s="45">
        <f>D13*1.52</f>
        <v>1.52</v>
      </c>
      <c r="I13" s="30" t="s">
        <v>35</v>
      </c>
      <c r="J13" s="21" t="s">
        <v>36</v>
      </c>
      <c r="L13" s="59" t="s">
        <v>145</v>
      </c>
      <c r="M13" s="60">
        <f>M12+M10+M9+M8+M7</f>
        <v>1152.3399999999999</v>
      </c>
      <c r="N13" s="60">
        <f>N12+N10+N9+N8+N7</f>
        <v>946.25</v>
      </c>
    </row>
    <row r="14" spans="2:14" x14ac:dyDescent="0.25">
      <c r="B14" s="6"/>
      <c r="C14" s="18" t="s">
        <v>34</v>
      </c>
      <c r="D14" s="19">
        <v>1</v>
      </c>
      <c r="E14" s="41">
        <f>D14*9.29</f>
        <v>9.2899999999999991</v>
      </c>
      <c r="F14" s="27" t="s">
        <v>31</v>
      </c>
      <c r="G14" s="20" t="s">
        <v>32</v>
      </c>
      <c r="H14" s="45">
        <v>1.73</v>
      </c>
      <c r="I14" s="30" t="s">
        <v>33</v>
      </c>
      <c r="J14" s="21" t="s">
        <v>28</v>
      </c>
      <c r="L14" s="61" t="s">
        <v>146</v>
      </c>
      <c r="M14" s="62">
        <f>M7+M8+M9+M11+M12</f>
        <v>640.34</v>
      </c>
      <c r="N14" s="62">
        <f>N7+N8+N9+N11+N12</f>
        <v>297.25</v>
      </c>
    </row>
    <row r="15" spans="2:14" ht="30" x14ac:dyDescent="0.25">
      <c r="B15" s="6"/>
      <c r="C15" s="18" t="s">
        <v>42</v>
      </c>
      <c r="D15" s="19">
        <v>1</v>
      </c>
      <c r="E15" s="41">
        <f>D15*0.99</f>
        <v>0.99</v>
      </c>
      <c r="F15" s="27" t="s">
        <v>41</v>
      </c>
      <c r="G15" s="20" t="s">
        <v>29</v>
      </c>
      <c r="H15" s="45">
        <f>D15*1.57</f>
        <v>1.57</v>
      </c>
      <c r="I15" s="30" t="s">
        <v>40</v>
      </c>
      <c r="J15" s="21" t="s">
        <v>29</v>
      </c>
    </row>
    <row r="16" spans="2:14" x14ac:dyDescent="0.25">
      <c r="B16" s="6"/>
      <c r="C16" s="18" t="s">
        <v>66</v>
      </c>
      <c r="D16" s="19">
        <v>1</v>
      </c>
      <c r="E16" s="41">
        <f>D16*7.77</f>
        <v>7.77</v>
      </c>
      <c r="F16" s="27" t="s">
        <v>65</v>
      </c>
      <c r="G16" s="20" t="s">
        <v>29</v>
      </c>
      <c r="H16" s="45">
        <f>D16*3.79</f>
        <v>3.79</v>
      </c>
      <c r="I16" s="30" t="s">
        <v>67</v>
      </c>
      <c r="J16" s="21" t="s">
        <v>29</v>
      </c>
    </row>
    <row r="17" spans="2:10" x14ac:dyDescent="0.25">
      <c r="B17" s="6"/>
      <c r="C17" s="48"/>
      <c r="D17" s="19"/>
      <c r="E17" s="49"/>
      <c r="F17" s="50"/>
      <c r="G17" s="51"/>
      <c r="H17" s="49"/>
      <c r="I17" s="50"/>
      <c r="J17" s="52"/>
    </row>
    <row r="18" spans="2:10" x14ac:dyDescent="0.25">
      <c r="B18" s="6" t="s">
        <v>3</v>
      </c>
      <c r="C18" s="18" t="s">
        <v>56</v>
      </c>
      <c r="D18" s="19">
        <v>1</v>
      </c>
      <c r="E18" s="41">
        <f>D18*6.99</f>
        <v>6.99</v>
      </c>
      <c r="F18" s="27" t="s">
        <v>55</v>
      </c>
      <c r="G18" s="20" t="s">
        <v>28</v>
      </c>
      <c r="H18" s="45">
        <f>D18*1.78</f>
        <v>1.78</v>
      </c>
      <c r="I18" s="30" t="s">
        <v>57</v>
      </c>
      <c r="J18" s="21" t="s">
        <v>29</v>
      </c>
    </row>
    <row r="19" spans="2:10" ht="30" x14ac:dyDescent="0.25">
      <c r="B19" s="7"/>
      <c r="C19" s="18" t="s">
        <v>59</v>
      </c>
      <c r="D19" s="19">
        <v>1</v>
      </c>
      <c r="E19" s="41">
        <f>D19*7.29</f>
        <v>7.29</v>
      </c>
      <c r="F19" s="27" t="s">
        <v>60</v>
      </c>
      <c r="G19" s="20" t="s">
        <v>61</v>
      </c>
      <c r="H19" s="45">
        <f>D19*0.6</f>
        <v>0.6</v>
      </c>
      <c r="I19" s="30" t="s">
        <v>58</v>
      </c>
      <c r="J19" s="21" t="s">
        <v>29</v>
      </c>
    </row>
    <row r="20" spans="2:10" x14ac:dyDescent="0.25">
      <c r="B20" s="7"/>
      <c r="C20" s="18" t="s">
        <v>63</v>
      </c>
      <c r="D20" s="19">
        <v>1</v>
      </c>
      <c r="E20" s="41">
        <f>D20*9.99</f>
        <v>9.99</v>
      </c>
      <c r="F20" s="27" t="s">
        <v>62</v>
      </c>
      <c r="G20" s="20" t="s">
        <v>48</v>
      </c>
      <c r="H20" s="45">
        <f>D20*3.74</f>
        <v>3.74</v>
      </c>
      <c r="I20" s="30" t="s">
        <v>64</v>
      </c>
      <c r="J20" s="21" t="s">
        <v>29</v>
      </c>
    </row>
    <row r="21" spans="2:10" x14ac:dyDescent="0.25">
      <c r="B21" s="6"/>
      <c r="C21" s="18" t="s">
        <v>69</v>
      </c>
      <c r="D21" s="19">
        <v>1</v>
      </c>
      <c r="E21" s="41">
        <f>D21*11.47</f>
        <v>11.47</v>
      </c>
      <c r="F21" s="27" t="s">
        <v>70</v>
      </c>
      <c r="G21" s="20" t="s">
        <v>29</v>
      </c>
      <c r="H21" s="45">
        <f>D21*5.93</f>
        <v>5.93</v>
      </c>
      <c r="I21" s="30" t="s">
        <v>68</v>
      </c>
      <c r="J21" s="21" t="s">
        <v>29</v>
      </c>
    </row>
    <row r="22" spans="2:10" ht="30" x14ac:dyDescent="0.25">
      <c r="B22" s="6"/>
      <c r="C22" s="18" t="s">
        <v>91</v>
      </c>
      <c r="D22" s="19">
        <v>4</v>
      </c>
      <c r="E22" s="41">
        <f>7.99+8.39+8.59+10.09</f>
        <v>35.06</v>
      </c>
      <c r="F22" s="27" t="s">
        <v>79</v>
      </c>
      <c r="G22" s="20" t="s">
        <v>29</v>
      </c>
      <c r="H22" s="45">
        <f>D22*1.8</f>
        <v>7.2</v>
      </c>
      <c r="I22" s="30" t="s">
        <v>77</v>
      </c>
      <c r="J22" s="21" t="s">
        <v>78</v>
      </c>
    </row>
    <row r="23" spans="2:10" x14ac:dyDescent="0.25">
      <c r="B23" s="6"/>
      <c r="C23" s="18" t="s">
        <v>94</v>
      </c>
      <c r="D23" s="19">
        <v>1</v>
      </c>
      <c r="E23" s="41">
        <f>D23*8.99</f>
        <v>8.99</v>
      </c>
      <c r="F23" s="27" t="s">
        <v>93</v>
      </c>
      <c r="G23" s="20" t="s">
        <v>36</v>
      </c>
      <c r="H23" s="45">
        <f>D23*10*0.45</f>
        <v>4.5</v>
      </c>
      <c r="I23" s="30" t="s">
        <v>95</v>
      </c>
      <c r="J23" s="21" t="s">
        <v>96</v>
      </c>
    </row>
    <row r="24" spans="2:10" x14ac:dyDescent="0.25">
      <c r="B24" s="6"/>
      <c r="C24" s="18" t="s">
        <v>80</v>
      </c>
      <c r="D24" s="19">
        <v>1</v>
      </c>
      <c r="E24" s="41">
        <f>D24*10</f>
        <v>10</v>
      </c>
      <c r="F24" s="27" t="s">
        <v>81</v>
      </c>
      <c r="G24" s="20" t="s">
        <v>36</v>
      </c>
      <c r="H24" s="45">
        <v>3</v>
      </c>
      <c r="I24" s="30" t="s">
        <v>82</v>
      </c>
      <c r="J24" s="21" t="s">
        <v>83</v>
      </c>
    </row>
    <row r="25" spans="2:10" x14ac:dyDescent="0.25">
      <c r="B25" s="6"/>
      <c r="C25" s="18" t="s">
        <v>85</v>
      </c>
      <c r="D25" s="19">
        <v>1</v>
      </c>
      <c r="E25" s="41">
        <f>D25*19.99</f>
        <v>19.989999999999998</v>
      </c>
      <c r="F25" s="27" t="s">
        <v>84</v>
      </c>
      <c r="G25" s="20" t="s">
        <v>29</v>
      </c>
      <c r="H25" s="45">
        <f>D25*23</f>
        <v>23</v>
      </c>
      <c r="I25" s="30" t="s">
        <v>86</v>
      </c>
      <c r="J25" s="21" t="s">
        <v>29</v>
      </c>
    </row>
    <row r="26" spans="2:10" x14ac:dyDescent="0.25">
      <c r="B26" s="6"/>
      <c r="C26" s="18" t="s">
        <v>90</v>
      </c>
      <c r="D26" s="19">
        <v>1</v>
      </c>
      <c r="E26" s="41">
        <f>D26*8.99</f>
        <v>8.99</v>
      </c>
      <c r="F26" s="27" t="s">
        <v>89</v>
      </c>
      <c r="G26" s="20" t="s">
        <v>92</v>
      </c>
      <c r="H26" s="45">
        <f>D26*2.9</f>
        <v>2.9</v>
      </c>
      <c r="I26" s="30" t="s">
        <v>87</v>
      </c>
      <c r="J26" s="21" t="s">
        <v>88</v>
      </c>
    </row>
    <row r="27" spans="2:10" x14ac:dyDescent="0.25">
      <c r="B27" s="6"/>
      <c r="C27" s="18" t="s">
        <v>98</v>
      </c>
      <c r="D27" s="19">
        <v>1</v>
      </c>
      <c r="E27" s="41">
        <f>D27*6.99</f>
        <v>6.99</v>
      </c>
      <c r="F27" s="27" t="s">
        <v>100</v>
      </c>
      <c r="G27" s="20" t="s">
        <v>99</v>
      </c>
      <c r="H27" s="45">
        <f>D27*0.92</f>
        <v>0.92</v>
      </c>
      <c r="I27" s="30" t="s">
        <v>97</v>
      </c>
      <c r="J27" s="21" t="s">
        <v>99</v>
      </c>
    </row>
    <row r="28" spans="2:10" ht="45" x14ac:dyDescent="0.25">
      <c r="B28" s="6"/>
      <c r="C28" s="18" t="s">
        <v>51</v>
      </c>
      <c r="D28" s="19">
        <v>1</v>
      </c>
      <c r="E28" s="41">
        <f>25*2.67</f>
        <v>66.75</v>
      </c>
      <c r="F28" s="27" t="s">
        <v>46</v>
      </c>
      <c r="G28" s="20" t="s">
        <v>49</v>
      </c>
      <c r="H28" s="45">
        <f>D28*1</f>
        <v>1</v>
      </c>
      <c r="I28" s="30" t="s">
        <v>45</v>
      </c>
      <c r="J28" s="21" t="s">
        <v>137</v>
      </c>
    </row>
    <row r="29" spans="2:10" x14ac:dyDescent="0.25">
      <c r="B29" s="6"/>
      <c r="C29" s="18" t="s">
        <v>50</v>
      </c>
      <c r="D29" s="19">
        <v>1</v>
      </c>
      <c r="E29" s="41">
        <f>5*4.46</f>
        <v>22.3</v>
      </c>
      <c r="F29" s="27" t="s">
        <v>47</v>
      </c>
      <c r="G29" s="20" t="s">
        <v>48</v>
      </c>
      <c r="H29" s="46" t="s">
        <v>29</v>
      </c>
      <c r="I29" s="31" t="s">
        <v>29</v>
      </c>
      <c r="J29" s="21"/>
    </row>
    <row r="30" spans="2:10" x14ac:dyDescent="0.25">
      <c r="B30" s="6"/>
      <c r="C30" s="18" t="s">
        <v>214</v>
      </c>
      <c r="D30" s="19">
        <v>1</v>
      </c>
      <c r="E30" s="41">
        <f>D30*7.59</f>
        <v>7.59</v>
      </c>
      <c r="F30" s="27" t="s">
        <v>52</v>
      </c>
      <c r="G30" s="20" t="s">
        <v>53</v>
      </c>
      <c r="H30" s="45">
        <f>D30*7.61</f>
        <v>7.61</v>
      </c>
      <c r="I30" s="30" t="s">
        <v>54</v>
      </c>
      <c r="J30" s="21" t="s">
        <v>29</v>
      </c>
    </row>
    <row r="31" spans="2:10" x14ac:dyDescent="0.25">
      <c r="B31" s="7"/>
      <c r="C31" s="48"/>
      <c r="D31" s="19"/>
      <c r="E31" s="49"/>
      <c r="F31" s="50"/>
      <c r="G31" s="51"/>
      <c r="H31" s="49"/>
      <c r="I31" s="50"/>
      <c r="J31" s="52"/>
    </row>
    <row r="32" spans="2:10" x14ac:dyDescent="0.25">
      <c r="B32" s="6" t="s">
        <v>4</v>
      </c>
      <c r="C32" s="18" t="s">
        <v>102</v>
      </c>
      <c r="D32" s="19">
        <v>1</v>
      </c>
      <c r="E32" s="41">
        <f>D32*11.89</f>
        <v>11.89</v>
      </c>
      <c r="F32" s="27" t="s">
        <v>107</v>
      </c>
      <c r="G32" s="20" t="s">
        <v>106</v>
      </c>
      <c r="H32" s="45">
        <f>D32*11.71</f>
        <v>11.71</v>
      </c>
      <c r="I32" s="30" t="s">
        <v>101</v>
      </c>
      <c r="J32" s="21" t="s">
        <v>28</v>
      </c>
    </row>
    <row r="33" spans="2:10" x14ac:dyDescent="0.25">
      <c r="B33" s="6"/>
      <c r="C33" s="18" t="s">
        <v>104</v>
      </c>
      <c r="D33" s="19">
        <v>1</v>
      </c>
      <c r="E33" s="41">
        <v>0</v>
      </c>
      <c r="F33" s="27" t="s">
        <v>107</v>
      </c>
      <c r="G33" s="20" t="s">
        <v>106</v>
      </c>
      <c r="H33" s="45">
        <f>D33*2.27</f>
        <v>2.27</v>
      </c>
      <c r="I33" s="30" t="s">
        <v>103</v>
      </c>
      <c r="J33" s="21" t="s">
        <v>105</v>
      </c>
    </row>
    <row r="34" spans="2:10" x14ac:dyDescent="0.25">
      <c r="B34" s="6"/>
      <c r="C34" s="18" t="s">
        <v>72</v>
      </c>
      <c r="D34" s="19">
        <v>1</v>
      </c>
      <c r="E34" s="41">
        <f>D34*6.95</f>
        <v>6.95</v>
      </c>
      <c r="F34" s="27" t="s">
        <v>76</v>
      </c>
      <c r="G34" s="20" t="s">
        <v>29</v>
      </c>
      <c r="H34" s="45">
        <f>D34*3.62</f>
        <v>3.62</v>
      </c>
      <c r="I34" s="30" t="s">
        <v>75</v>
      </c>
      <c r="J34" s="21" t="s">
        <v>29</v>
      </c>
    </row>
    <row r="35" spans="2:10" x14ac:dyDescent="0.25">
      <c r="B35" s="6"/>
      <c r="C35" s="18" t="s">
        <v>109</v>
      </c>
      <c r="D35" s="19">
        <v>2</v>
      </c>
      <c r="E35" s="41">
        <f>8.99+9.99</f>
        <v>18.98</v>
      </c>
      <c r="F35" s="27" t="s">
        <v>111</v>
      </c>
      <c r="G35" s="20" t="s">
        <v>29</v>
      </c>
      <c r="H35" s="45">
        <f>D35*3.27</f>
        <v>6.54</v>
      </c>
      <c r="I35" s="30" t="s">
        <v>108</v>
      </c>
      <c r="J35" s="21" t="s">
        <v>110</v>
      </c>
    </row>
    <row r="36" spans="2:10" x14ac:dyDescent="0.25">
      <c r="B36" s="6"/>
      <c r="C36" s="18" t="s">
        <v>113</v>
      </c>
      <c r="D36" s="19">
        <v>1</v>
      </c>
      <c r="E36" s="41">
        <f>D36*11.44</f>
        <v>11.44</v>
      </c>
      <c r="F36" s="27" t="s">
        <v>114</v>
      </c>
      <c r="G36" s="20" t="s">
        <v>83</v>
      </c>
      <c r="H36" s="45">
        <f>D36*2.09</f>
        <v>2.09</v>
      </c>
      <c r="I36" s="30" t="s">
        <v>112</v>
      </c>
      <c r="J36" s="21" t="s">
        <v>83</v>
      </c>
    </row>
    <row r="37" spans="2:10" x14ac:dyDescent="0.25">
      <c r="B37" s="6"/>
      <c r="C37" s="18" t="s">
        <v>117</v>
      </c>
      <c r="D37" s="19">
        <v>1</v>
      </c>
      <c r="E37" s="41">
        <f>D37*7.98</f>
        <v>7.98</v>
      </c>
      <c r="F37" s="27" t="s">
        <v>115</v>
      </c>
      <c r="G37" s="20" t="s">
        <v>116</v>
      </c>
      <c r="H37" s="45">
        <f>D37*2.39</f>
        <v>2.39</v>
      </c>
      <c r="I37" s="30" t="s">
        <v>118</v>
      </c>
      <c r="J37" s="21" t="s">
        <v>116</v>
      </c>
    </row>
    <row r="38" spans="2:10" x14ac:dyDescent="0.25">
      <c r="B38" s="6"/>
      <c r="C38" s="18" t="s">
        <v>210</v>
      </c>
      <c r="D38" s="19">
        <v>1</v>
      </c>
      <c r="E38" s="41">
        <v>5.48</v>
      </c>
      <c r="F38" s="27" t="s">
        <v>209</v>
      </c>
      <c r="G38" s="20" t="s">
        <v>211</v>
      </c>
      <c r="H38" s="45">
        <v>0.39</v>
      </c>
      <c r="I38" s="30" t="s">
        <v>212</v>
      </c>
      <c r="J38" s="21" t="s">
        <v>36</v>
      </c>
    </row>
    <row r="39" spans="2:10" x14ac:dyDescent="0.25">
      <c r="B39" s="6"/>
      <c r="C39" s="18"/>
      <c r="D39" s="19"/>
      <c r="E39" s="49"/>
      <c r="F39" s="53"/>
      <c r="G39" s="51"/>
      <c r="H39" s="49"/>
      <c r="I39" s="53"/>
      <c r="J39" s="52"/>
    </row>
    <row r="40" spans="2:10" x14ac:dyDescent="0.25">
      <c r="B40" s="6" t="s">
        <v>5</v>
      </c>
      <c r="C40" s="18" t="s">
        <v>119</v>
      </c>
      <c r="D40" s="19">
        <v>1</v>
      </c>
      <c r="E40" s="41">
        <f>D40*512</f>
        <v>512</v>
      </c>
      <c r="F40" s="27" t="s">
        <v>121</v>
      </c>
      <c r="G40" s="20" t="s">
        <v>29</v>
      </c>
      <c r="H40" s="45">
        <f>D40*649</f>
        <v>649</v>
      </c>
      <c r="I40" s="30" t="s">
        <v>120</v>
      </c>
      <c r="J40" s="21" t="s">
        <v>29</v>
      </c>
    </row>
    <row r="41" spans="2:10" x14ac:dyDescent="0.25">
      <c r="B41" s="6"/>
      <c r="C41" s="18" t="s">
        <v>125</v>
      </c>
      <c r="D41" s="19">
        <v>2</v>
      </c>
      <c r="E41" s="41">
        <f>D41*57.92</f>
        <v>115.84</v>
      </c>
      <c r="F41" s="27" t="s">
        <v>126</v>
      </c>
      <c r="G41" s="20" t="s">
        <v>29</v>
      </c>
      <c r="H41" s="45">
        <f>D41*23.9</f>
        <v>47.8</v>
      </c>
      <c r="I41" s="30" t="s">
        <v>124</v>
      </c>
      <c r="J41" s="21" t="s">
        <v>29</v>
      </c>
    </row>
    <row r="42" spans="2:10" x14ac:dyDescent="0.25">
      <c r="B42" s="6"/>
      <c r="C42" s="48"/>
      <c r="D42" s="19"/>
      <c r="E42" s="49"/>
      <c r="F42" s="50"/>
      <c r="G42" s="51"/>
      <c r="H42" s="49"/>
      <c r="I42" s="50"/>
      <c r="J42" s="52"/>
    </row>
    <row r="43" spans="2:10" x14ac:dyDescent="0.25">
      <c r="B43" s="6" t="s">
        <v>2</v>
      </c>
      <c r="C43" s="18" t="s">
        <v>128</v>
      </c>
      <c r="D43" s="19">
        <v>1</v>
      </c>
      <c r="E43" s="41">
        <f>D43*8.99</f>
        <v>8.99</v>
      </c>
      <c r="F43" s="27" t="s">
        <v>127</v>
      </c>
      <c r="G43" s="20" t="s">
        <v>29</v>
      </c>
      <c r="H43" s="45">
        <f>D43*0.49</f>
        <v>0.49</v>
      </c>
      <c r="I43" s="30" t="s">
        <v>129</v>
      </c>
      <c r="J43" s="21" t="s">
        <v>29</v>
      </c>
    </row>
    <row r="44" spans="2:10" x14ac:dyDescent="0.25">
      <c r="B44" s="6"/>
      <c r="C44" s="18" t="s">
        <v>131</v>
      </c>
      <c r="D44" s="19">
        <v>1</v>
      </c>
      <c r="E44" s="41">
        <f>D44*36.62</f>
        <v>36.619999999999997</v>
      </c>
      <c r="F44" s="27" t="s">
        <v>130</v>
      </c>
      <c r="G44" s="20" t="s">
        <v>132</v>
      </c>
      <c r="H44" s="45">
        <f>D44*8.21</f>
        <v>8.2100000000000009</v>
      </c>
      <c r="I44" s="30" t="s">
        <v>133</v>
      </c>
      <c r="J44" s="21" t="s">
        <v>83</v>
      </c>
    </row>
    <row r="45" spans="2:10" x14ac:dyDescent="0.25">
      <c r="B45" s="6"/>
      <c r="C45" s="18" t="s">
        <v>73</v>
      </c>
      <c r="D45" s="19">
        <v>1</v>
      </c>
      <c r="E45" s="41">
        <f>D45*18.98</f>
        <v>18.98</v>
      </c>
      <c r="F45" s="27" t="s">
        <v>74</v>
      </c>
      <c r="G45" s="20" t="s">
        <v>29</v>
      </c>
      <c r="H45" s="45">
        <f>D45*21.01</f>
        <v>21.01</v>
      </c>
      <c r="I45" s="30" t="s">
        <v>71</v>
      </c>
      <c r="J45" s="21" t="s">
        <v>29</v>
      </c>
    </row>
    <row r="46" spans="2:10" ht="15.75" thickBot="1" x14ac:dyDescent="0.3">
      <c r="B46" s="8"/>
      <c r="C46" s="22" t="s">
        <v>134</v>
      </c>
      <c r="D46" s="23">
        <v>1</v>
      </c>
      <c r="E46" s="43">
        <f>D46*5.17</f>
        <v>5.17</v>
      </c>
      <c r="F46" s="28" t="s">
        <v>136</v>
      </c>
      <c r="G46" s="24" t="s">
        <v>29</v>
      </c>
      <c r="H46" s="47">
        <v>0.49</v>
      </c>
      <c r="I46" s="32" t="s">
        <v>135</v>
      </c>
      <c r="J46" s="25" t="s">
        <v>29</v>
      </c>
    </row>
    <row r="47" spans="2:10" x14ac:dyDescent="0.25">
      <c r="B47" s="1"/>
      <c r="C47" s="3"/>
    </row>
    <row r="48" spans="2:10" x14ac:dyDescent="0.25">
      <c r="B48" s="2" t="s">
        <v>147</v>
      </c>
      <c r="C48" s="9"/>
      <c r="D48" s="9"/>
      <c r="E48" s="9"/>
    </row>
    <row r="49" spans="2:5" x14ac:dyDescent="0.25">
      <c r="B49" s="2" t="s">
        <v>122</v>
      </c>
      <c r="C49" s="9"/>
      <c r="D49" s="9"/>
      <c r="E49" s="9"/>
    </row>
    <row r="50" spans="2:5" x14ac:dyDescent="0.25">
      <c r="B50" s="2" t="s">
        <v>123</v>
      </c>
      <c r="C50" s="9"/>
      <c r="D50" s="9"/>
      <c r="E50" s="9"/>
    </row>
  </sheetData>
  <mergeCells count="2">
    <mergeCell ref="H2:J2"/>
    <mergeCell ref="E2:G2"/>
  </mergeCells>
  <hyperlinks>
    <hyperlink ref="F4" r:id="rId1" xr:uid="{B8E12E18-A8C9-4A26-8A00-023DADFF672E}"/>
    <hyperlink ref="I4" r:id="rId2" xr:uid="{0D22AEB9-0F85-4E9D-8D9E-A136E8821FD2}"/>
    <hyperlink ref="F8" r:id="rId3" xr:uid="{36BA5FDB-7E03-4D4F-B050-F25D9AAD4741}"/>
    <hyperlink ref="F7" r:id="rId4" xr:uid="{95BD2D5D-B214-4213-980C-5ABDE7CCE924}"/>
    <hyperlink ref="F5" r:id="rId5" xr:uid="{F515132A-09E9-4FEC-87B8-F1D321C4CC2D}"/>
    <hyperlink ref="I5" r:id="rId6" xr:uid="{0522C15B-C664-4F55-90CF-1D66B4D0E70C}"/>
    <hyperlink ref="I6" r:id="rId7" xr:uid="{6B72EF5D-CD9D-4CAE-8FB2-DB03701922F0}"/>
    <hyperlink ref="I7" r:id="rId8" xr:uid="{D28ED891-7DDB-456B-94D9-45D5B09763CF}"/>
    <hyperlink ref="I8" r:id="rId9" xr:uid="{A4CCC1D2-B18E-4BDA-8CCE-088EEF840C48}"/>
    <hyperlink ref="F9" r:id="rId10" xr:uid="{6B8A13B5-53A4-45F1-BA8F-6F6C56662BDC}"/>
    <hyperlink ref="I9" r:id="rId11" xr:uid="{18E32F79-1CD4-42A0-BA19-107EEDAA607D}"/>
    <hyperlink ref="F10" r:id="rId12" xr:uid="{8E3DFA15-C63C-4D4F-8FA4-133CBA03DA07}"/>
    <hyperlink ref="I10" r:id="rId13" xr:uid="{194C30DC-914F-44AD-8CE7-A109757FB736}"/>
    <hyperlink ref="I11" r:id="rId14" xr:uid="{C05AEB6F-8B7D-4AB3-AF01-DFBDFB3490E5}"/>
    <hyperlink ref="F14" r:id="rId15" xr:uid="{4CC11042-1ECD-4165-8E6B-D9D3CB0EE68A}"/>
    <hyperlink ref="I14" r:id="rId16" xr:uid="{53193903-851B-4BC3-A42F-7DB16BADF900}"/>
    <hyperlink ref="I12" r:id="rId17" xr:uid="{F693857A-E4C9-4430-BABD-8D6F3DBB646C}"/>
    <hyperlink ref="I13" r:id="rId18" xr:uid="{D1A4CB04-6674-4C36-BCC4-4ADF07D9F6EC}"/>
    <hyperlink ref="F12" r:id="rId19" xr:uid="{61B8AC57-4AA3-4213-BCDC-9858345060A2}"/>
    <hyperlink ref="F13" r:id="rId20" xr:uid="{0AAFD64B-15C1-493F-8B6E-6EB371E2B156}"/>
    <hyperlink ref="I15" r:id="rId21" xr:uid="{B03ACDEC-7EFD-47EC-A4C4-50D5D40BCA0A}"/>
    <hyperlink ref="F15" r:id="rId22" xr:uid="{F8E36FB6-BB86-492D-A463-F3ACF8B4EFDF}"/>
    <hyperlink ref="F11" r:id="rId23" xr:uid="{16EBEA37-7F59-4634-A647-62D3D5162046}"/>
    <hyperlink ref="I28" r:id="rId24" xr:uid="{EC66CDC1-F361-417C-9E34-9288C2A619A4}"/>
    <hyperlink ref="F28" r:id="rId25" xr:uid="{B95F1567-76D7-4237-A51E-470C9CB78ECF}"/>
    <hyperlink ref="I30" r:id="rId26" xr:uid="{C601ACC3-2FE3-4864-A905-B0B10CA20E6D}"/>
    <hyperlink ref="F30" r:id="rId27" xr:uid="{89255A99-0C3B-46C4-ABF9-470DDA754E03}"/>
    <hyperlink ref="F29" r:id="rId28" xr:uid="{83442148-D4CF-41BD-A41A-E2060F8C4E34}"/>
    <hyperlink ref="F18" r:id="rId29" xr:uid="{4260061F-2A94-4BBB-9E87-FF1B731F2E7E}"/>
    <hyperlink ref="F19" r:id="rId30" xr:uid="{E141FF46-758A-4F5A-BBD9-67BD8037B014}"/>
    <hyperlink ref="I19" r:id="rId31" xr:uid="{AD3C756D-2E17-4B5D-9C73-21D9A8C22206}"/>
    <hyperlink ref="I18" r:id="rId32" xr:uid="{E6E42CD3-F0C5-4CF0-A7EF-4E8B217E9F6C}"/>
    <hyperlink ref="F20" r:id="rId33" xr:uid="{42FBD7C3-0102-44F3-BFBC-F953FFE0801A}"/>
    <hyperlink ref="F16" r:id="rId34" xr:uid="{D5220A37-D358-4132-BF40-7C26EE121670}"/>
    <hyperlink ref="F21" r:id="rId35" xr:uid="{9B9A782D-9D85-4EB4-A906-F3AAE71544DF}"/>
    <hyperlink ref="I45" r:id="rId36" xr:uid="{AB72A20D-298F-4EDB-92A6-1D82BE7790A0}"/>
    <hyperlink ref="F34" r:id="rId37" xr:uid="{4851C431-9D1E-43E3-9817-EB97FCD103A6}"/>
    <hyperlink ref="I22" r:id="rId38" xr:uid="{8EBDEDDC-2DD3-454F-BAA2-0F402F0AF7AC}"/>
    <hyperlink ref="F22" r:id="rId39" xr:uid="{8285B365-1FA5-4528-8CD1-ED418C452941}"/>
    <hyperlink ref="F24" r:id="rId40" xr:uid="{86ABFDA0-BBE1-4DB2-ABBE-4D872220F4CC}"/>
    <hyperlink ref="F25" r:id="rId41" xr:uid="{D66480FD-3DA0-438A-BDB3-91A21A4C02D0}"/>
    <hyperlink ref="I26" r:id="rId42" xr:uid="{F23B2A72-C1B2-42C1-841D-A52446137A57}"/>
    <hyperlink ref="I25" r:id="rId43" xr:uid="{703168F9-355C-46B2-AD6A-39C0FBC175FC}"/>
    <hyperlink ref="I24" r:id="rId44" xr:uid="{7848D008-C0A6-45A7-93B9-291F49387CFC}"/>
    <hyperlink ref="I20" r:id="rId45" xr:uid="{5AFAD5A2-3F60-46B8-B1A4-19554A441408}"/>
    <hyperlink ref="F26" r:id="rId46" xr:uid="{F5CDED28-07B3-4F64-93F4-BDDA4656C170}"/>
    <hyperlink ref="I27" r:id="rId47" xr:uid="{66397AA5-29AD-499B-9C03-4B06DE806E44}"/>
    <hyperlink ref="F27" r:id="rId48" xr:uid="{B4B41EC4-6A91-4F10-9FE6-630D792C6857}"/>
    <hyperlink ref="I32" r:id="rId49" xr:uid="{AB50A7E7-D1F9-4DC5-8F1F-442C9E61EB24}"/>
    <hyperlink ref="I33" r:id="rId50" xr:uid="{5DCEB218-EE99-4E50-AFCD-DF3451168197}"/>
    <hyperlink ref="F32" r:id="rId51" xr:uid="{65A4C3E1-E04F-4951-8D02-8095F7E08E57}"/>
    <hyperlink ref="F33" r:id="rId52" xr:uid="{8AE1A54E-062B-4E08-8C90-24E8F8C10BFD}"/>
    <hyperlink ref="I35" r:id="rId53" xr:uid="{54BEC8BA-D85F-4037-870C-C57CEE9EF76F}"/>
    <hyperlink ref="I36" r:id="rId54" xr:uid="{ECAF7888-3CCC-46F3-B265-059FF9EC5067}"/>
    <hyperlink ref="F35" r:id="rId55" xr:uid="{4545286D-0C93-47A6-B9F1-0F0759957510}"/>
    <hyperlink ref="F36" r:id="rId56" xr:uid="{05E1778E-32DE-4DBC-9082-DFE38BC1FEEA}"/>
    <hyperlink ref="F43" r:id="rId57" xr:uid="{9D6FDAAC-1731-42CB-8CF0-E2FB3F84002C}"/>
    <hyperlink ref="I37" r:id="rId58" xr:uid="{9ABCB213-94D5-4650-B41C-98784FA746EF}"/>
    <hyperlink ref="I34" r:id="rId59" xr:uid="{49E2BB2C-3A7F-4AAA-8AA9-A9DBBFA6AA8E}"/>
    <hyperlink ref="I23" r:id="rId60" xr:uid="{7C861C66-F438-4E65-A343-D37DBD61EDA4}"/>
    <hyperlink ref="I21" r:id="rId61" xr:uid="{159E0B24-D023-465C-8F69-C42CC880CC97}"/>
    <hyperlink ref="F45" r:id="rId62" xr:uid="{ECB75579-D4E2-4FF5-87D0-0F6AAF9BAF54}"/>
    <hyperlink ref="F46" r:id="rId63" xr:uid="{4A1EB5A9-21C3-4897-9D45-440418CB1B90}"/>
    <hyperlink ref="F41" r:id="rId64" xr:uid="{5F6CF9FE-D871-4ECC-8ADC-DF505159E55E}"/>
    <hyperlink ref="F40" r:id="rId65" xr:uid="{1870EF37-F4A0-40A8-A2E2-E9BEAC2A5096}"/>
    <hyperlink ref="F37" r:id="rId66" xr:uid="{BABA0E14-15FA-414D-AF92-857F8FC91BDC}"/>
    <hyperlink ref="I40" r:id="rId67" xr:uid="{D60DAEAA-F879-4258-A165-51A987FD55DF}"/>
    <hyperlink ref="I41" r:id="rId68" xr:uid="{E95D7704-5E0A-49AA-8F2C-CC1C1852015B}"/>
    <hyperlink ref="I43" r:id="rId69" xr:uid="{7292E82E-9414-4F3E-9DDD-CA87E381256E}"/>
    <hyperlink ref="I44" r:id="rId70" xr:uid="{5B4E2C81-4EB2-4B49-ABCB-55E4707471E2}"/>
    <hyperlink ref="I46" r:id="rId71" xr:uid="{9540456E-E96E-4B38-90BE-FA9FDBFDEE3A}"/>
    <hyperlink ref="F38" r:id="rId72" xr:uid="{5B98F336-86D3-44D3-B2D5-08B8BED107AE}"/>
    <hyperlink ref="I38" r:id="rId73" xr:uid="{782AD4E1-34F5-437A-9DE7-6299F747DE04}"/>
  </hyperlinks>
  <pageMargins left="0.7" right="0.7" top="0.75" bottom="0.75" header="0.3" footer="0.3"/>
  <pageSetup paperSize="9" orientation="portrait" r:id="rId74"/>
  <legacyDrawing r:id="rId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6A40A-FDA8-47DE-9C3D-14AD50A186E9}">
  <dimension ref="A1:N31"/>
  <sheetViews>
    <sheetView zoomScaleNormal="100" workbookViewId="0">
      <selection activeCell="E5" sqref="E5"/>
    </sheetView>
  </sheetViews>
  <sheetFormatPr defaultColWidth="12.5703125" defaultRowHeight="15.75" x14ac:dyDescent="0.25"/>
  <cols>
    <col min="1" max="1" width="18.5703125" style="74" customWidth="1"/>
    <col min="2" max="2" width="23.85546875" style="74" customWidth="1"/>
    <col min="3" max="3" width="33.7109375" style="74" customWidth="1"/>
    <col min="4" max="4" width="27" style="74" customWidth="1"/>
    <col min="5" max="5" width="16.140625" style="74" bestFit="1" customWidth="1"/>
    <col min="6" max="16384" width="12.5703125" style="74"/>
  </cols>
  <sheetData>
    <row r="1" spans="1:14" s="68" customFormat="1" x14ac:dyDescent="0.25">
      <c r="A1" s="63" t="s">
        <v>148</v>
      </c>
      <c r="B1" s="64" t="s">
        <v>149</v>
      </c>
      <c r="C1" s="65" t="s">
        <v>150</v>
      </c>
      <c r="D1" s="66" t="s">
        <v>151</v>
      </c>
      <c r="E1" s="67" t="s">
        <v>152</v>
      </c>
    </row>
    <row r="2" spans="1:14" x14ac:dyDescent="0.25">
      <c r="A2" s="69">
        <v>0</v>
      </c>
      <c r="B2" s="70" t="s">
        <v>153</v>
      </c>
      <c r="C2" s="71" t="s">
        <v>154</v>
      </c>
      <c r="D2" s="72"/>
      <c r="E2" s="73"/>
      <c r="I2" s="68"/>
      <c r="J2" s="68"/>
      <c r="K2" s="68"/>
      <c r="L2" s="68"/>
      <c r="M2" s="68"/>
      <c r="N2" s="68"/>
    </row>
    <row r="3" spans="1:14" x14ac:dyDescent="0.25">
      <c r="A3" s="75">
        <v>1</v>
      </c>
      <c r="B3" s="76" t="s">
        <v>153</v>
      </c>
      <c r="C3" s="77" t="s">
        <v>155</v>
      </c>
      <c r="D3" s="78"/>
      <c r="E3" s="79"/>
    </row>
    <row r="4" spans="1:14" x14ac:dyDescent="0.25">
      <c r="A4" s="75">
        <v>2</v>
      </c>
      <c r="B4" s="76" t="s">
        <v>153</v>
      </c>
      <c r="C4" s="77"/>
      <c r="D4" s="78" t="s">
        <v>156</v>
      </c>
      <c r="E4" s="80" t="s">
        <v>157</v>
      </c>
    </row>
    <row r="5" spans="1:14" x14ac:dyDescent="0.25">
      <c r="A5" s="75">
        <v>3</v>
      </c>
      <c r="B5" s="76" t="s">
        <v>153</v>
      </c>
      <c r="C5" s="77" t="s">
        <v>158</v>
      </c>
      <c r="D5" s="81" t="s">
        <v>159</v>
      </c>
      <c r="E5" s="80" t="s">
        <v>160</v>
      </c>
    </row>
    <row r="6" spans="1:14" x14ac:dyDescent="0.25">
      <c r="A6" s="75">
        <v>4</v>
      </c>
      <c r="B6" s="76" t="s">
        <v>153</v>
      </c>
      <c r="C6" s="82"/>
      <c r="D6" s="81" t="s">
        <v>161</v>
      </c>
      <c r="E6" s="80" t="s">
        <v>162</v>
      </c>
    </row>
    <row r="7" spans="1:14" x14ac:dyDescent="0.25">
      <c r="A7" s="75">
        <v>5</v>
      </c>
      <c r="B7" s="76" t="s">
        <v>153</v>
      </c>
      <c r="C7" s="77" t="s">
        <v>158</v>
      </c>
      <c r="D7" s="81" t="s">
        <v>163</v>
      </c>
      <c r="E7" s="80" t="s">
        <v>164</v>
      </c>
    </row>
    <row r="8" spans="1:14" x14ac:dyDescent="0.25">
      <c r="A8" s="75">
        <v>6</v>
      </c>
      <c r="B8" s="76" t="s">
        <v>153</v>
      </c>
      <c r="C8" s="77" t="s">
        <v>158</v>
      </c>
      <c r="D8" s="81" t="s">
        <v>165</v>
      </c>
      <c r="E8" s="80" t="s">
        <v>166</v>
      </c>
    </row>
    <row r="9" spans="1:14" x14ac:dyDescent="0.25">
      <c r="A9" s="75">
        <v>7</v>
      </c>
      <c r="B9" s="76" t="s">
        <v>153</v>
      </c>
      <c r="C9" s="82"/>
      <c r="D9" s="81" t="s">
        <v>167</v>
      </c>
      <c r="E9" s="80" t="s">
        <v>168</v>
      </c>
    </row>
    <row r="10" spans="1:14" x14ac:dyDescent="0.25">
      <c r="A10" s="75">
        <v>8</v>
      </c>
      <c r="B10" s="76" t="s">
        <v>153</v>
      </c>
      <c r="C10" s="82"/>
      <c r="D10" s="81" t="s">
        <v>169</v>
      </c>
      <c r="E10" s="80" t="s">
        <v>170</v>
      </c>
    </row>
    <row r="11" spans="1:14" x14ac:dyDescent="0.25">
      <c r="A11" s="75">
        <v>9</v>
      </c>
      <c r="B11" s="76" t="s">
        <v>153</v>
      </c>
      <c r="C11" s="82" t="s">
        <v>158</v>
      </c>
      <c r="D11" s="81" t="s">
        <v>171</v>
      </c>
      <c r="E11" s="80"/>
    </row>
    <row r="12" spans="1:14" x14ac:dyDescent="0.25">
      <c r="A12" s="75">
        <v>10</v>
      </c>
      <c r="B12" s="76" t="s">
        <v>153</v>
      </c>
      <c r="C12" s="82" t="s">
        <v>158</v>
      </c>
      <c r="D12" s="81" t="s">
        <v>172</v>
      </c>
      <c r="E12" s="80" t="s">
        <v>173</v>
      </c>
    </row>
    <row r="13" spans="1:14" x14ac:dyDescent="0.25">
      <c r="A13" s="75">
        <v>11</v>
      </c>
      <c r="B13" s="76" t="s">
        <v>153</v>
      </c>
      <c r="C13" s="82" t="s">
        <v>158</v>
      </c>
      <c r="D13" s="81" t="s">
        <v>174</v>
      </c>
      <c r="E13" s="80" t="s">
        <v>175</v>
      </c>
    </row>
    <row r="14" spans="1:14" x14ac:dyDescent="0.25">
      <c r="A14" s="75">
        <v>12</v>
      </c>
      <c r="B14" s="76" t="s">
        <v>153</v>
      </c>
      <c r="C14" s="82"/>
      <c r="D14" s="81" t="s">
        <v>176</v>
      </c>
      <c r="E14" s="80" t="s">
        <v>177</v>
      </c>
    </row>
    <row r="15" spans="1:14" x14ac:dyDescent="0.25">
      <c r="A15" s="75">
        <v>13</v>
      </c>
      <c r="B15" s="76" t="s">
        <v>153</v>
      </c>
      <c r="C15" s="82"/>
      <c r="D15" s="81" t="s">
        <v>178</v>
      </c>
      <c r="E15" s="80" t="s">
        <v>179</v>
      </c>
    </row>
    <row r="16" spans="1:14" x14ac:dyDescent="0.25">
      <c r="A16" s="83" t="s">
        <v>180</v>
      </c>
      <c r="B16" s="76" t="s">
        <v>181</v>
      </c>
      <c r="C16" s="82"/>
      <c r="D16" s="81" t="s">
        <v>182</v>
      </c>
      <c r="E16" s="80" t="s">
        <v>213</v>
      </c>
    </row>
    <row r="17" spans="1:5" x14ac:dyDescent="0.25">
      <c r="A17" s="83" t="s">
        <v>183</v>
      </c>
      <c r="B17" s="76" t="s">
        <v>181</v>
      </c>
      <c r="C17" s="82"/>
      <c r="D17" s="81" t="s">
        <v>184</v>
      </c>
      <c r="E17" s="80" t="s">
        <v>185</v>
      </c>
    </row>
    <row r="18" spans="1:5" x14ac:dyDescent="0.25">
      <c r="A18" s="83" t="s">
        <v>186</v>
      </c>
      <c r="B18" s="76" t="s">
        <v>181</v>
      </c>
      <c r="C18" s="82"/>
      <c r="D18" s="81" t="s">
        <v>187</v>
      </c>
      <c r="E18" s="80"/>
    </row>
    <row r="19" spans="1:5" x14ac:dyDescent="0.25">
      <c r="A19" s="83" t="s">
        <v>188</v>
      </c>
      <c r="B19" s="76" t="s">
        <v>181</v>
      </c>
      <c r="C19" s="82"/>
      <c r="D19" s="81" t="s">
        <v>189</v>
      </c>
      <c r="E19" s="80"/>
    </row>
    <row r="20" spans="1:5" x14ac:dyDescent="0.25">
      <c r="A20" s="83" t="s">
        <v>190</v>
      </c>
      <c r="B20" s="76" t="s">
        <v>181</v>
      </c>
      <c r="C20" s="82"/>
      <c r="D20" s="81" t="s">
        <v>191</v>
      </c>
      <c r="E20" s="80" t="s">
        <v>192</v>
      </c>
    </row>
    <row r="21" spans="1:5" x14ac:dyDescent="0.25">
      <c r="A21" s="83" t="s">
        <v>193</v>
      </c>
      <c r="B21" s="76" t="s">
        <v>181</v>
      </c>
      <c r="C21" s="82"/>
      <c r="D21" s="81" t="s">
        <v>194</v>
      </c>
      <c r="E21" s="80" t="s">
        <v>195</v>
      </c>
    </row>
    <row r="22" spans="1:5" x14ac:dyDescent="0.25">
      <c r="A22" s="84" t="s">
        <v>196</v>
      </c>
      <c r="B22" s="76" t="s">
        <v>197</v>
      </c>
      <c r="C22" s="77" t="s">
        <v>198</v>
      </c>
      <c r="D22" s="81"/>
      <c r="E22" s="80"/>
    </row>
    <row r="23" spans="1:5" x14ac:dyDescent="0.25">
      <c r="A23" s="84" t="s">
        <v>199</v>
      </c>
      <c r="B23" s="76"/>
      <c r="C23" s="77" t="s">
        <v>200</v>
      </c>
      <c r="D23" s="81"/>
      <c r="E23" s="80"/>
    </row>
    <row r="24" spans="1:5" x14ac:dyDescent="0.25">
      <c r="A24" s="84" t="s">
        <v>201</v>
      </c>
      <c r="B24" s="76"/>
      <c r="C24" s="77" t="s">
        <v>202</v>
      </c>
      <c r="D24" s="78"/>
      <c r="E24" s="79"/>
    </row>
    <row r="25" spans="1:5" x14ac:dyDescent="0.25">
      <c r="A25" s="84" t="s">
        <v>203</v>
      </c>
      <c r="B25" s="76"/>
      <c r="C25" s="77" t="s">
        <v>204</v>
      </c>
      <c r="D25" s="78"/>
      <c r="E25" s="79"/>
    </row>
    <row r="26" spans="1:5" x14ac:dyDescent="0.25">
      <c r="A26" s="84" t="s">
        <v>205</v>
      </c>
      <c r="B26" s="76"/>
      <c r="C26" s="77" t="s">
        <v>206</v>
      </c>
      <c r="D26" s="78"/>
      <c r="E26" s="79"/>
    </row>
    <row r="27" spans="1:5" ht="16.5" thickBot="1" x14ac:dyDescent="0.3">
      <c r="A27" s="85" t="s">
        <v>207</v>
      </c>
      <c r="B27" s="86"/>
      <c r="C27" s="87" t="s">
        <v>208</v>
      </c>
      <c r="D27" s="88"/>
      <c r="E27" s="89"/>
    </row>
    <row r="28" spans="1:5" x14ac:dyDescent="0.25">
      <c r="D28" s="90"/>
    </row>
    <row r="29" spans="1:5" x14ac:dyDescent="0.25">
      <c r="D29" s="90"/>
    </row>
    <row r="30" spans="1:5" x14ac:dyDescent="0.25">
      <c r="D30" s="90"/>
    </row>
    <row r="31" spans="1:5" x14ac:dyDescent="0.25">
      <c r="D31" s="90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components</vt:lpstr>
      <vt:lpstr>pinout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Ondrej</dc:creator>
  <cp:lastModifiedBy>Ondrej Svoboda</cp:lastModifiedBy>
  <dcterms:created xsi:type="dcterms:W3CDTF">2015-06-05T18:19:34Z</dcterms:created>
  <dcterms:modified xsi:type="dcterms:W3CDTF">2024-08-15T14:30:32Z</dcterms:modified>
</cp:coreProperties>
</file>